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Market" sheetId="5" r:id="rId7"/>
    <sheet state="hidden" name="Alert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Selection" sheetId="11" r:id="rId13"/>
    <sheet state="visible" name="Allocation" sheetId="12" r:id="rId14"/>
    <sheet state="visible" name="AllocationHistoric" sheetId="13" r:id="rId15"/>
    <sheet state="visible" name="Expenses" sheetId="14" r:id="rId16"/>
    <sheet state="visible" name="ExpensesHistoric" sheetId="15" r:id="rId17"/>
    <sheet state="visible" name="BankAccount" sheetId="16" r:id="rId18"/>
    <sheet state="visible" name="Client" sheetId="17" r:id="rId19"/>
    <sheet state="visible" name="Budget" sheetId="18" r:id="rId20"/>
    <sheet state="hidden" name="Boubou" sheetId="19" r:id="rId21"/>
  </sheets>
  <definedNames>
    <definedName hidden="1" localSheetId="3" name="_xlnm._FilterDatabase">Result!$A$1:$H$510</definedName>
    <definedName hidden="1" localSheetId="14" name="_xlnm._FilterDatabase">ExpensesHistoric!$A$1:$D$302</definedName>
    <definedName hidden="1" localSheetId="8" name="_xlnm._FilterDatabase">Historic!$A$1:$J$621</definedName>
    <definedName hidden="1" localSheetId="2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5">
      <text>
        <t xml:space="preserve">Sum own by / due to others</t>
      </text>
    </comment>
    <comment authorId="0" ref="A31">
      <text>
        <t xml:space="preserve">"Valeur des titres" DEGIRO</t>
      </text>
    </comment>
    <comment authorId="0" ref="A32">
      <text>
        <t xml:space="preserve">"Fond Monétaires EUR" DEGIRO</t>
      </text>
    </comment>
    <comment authorId="0" ref="A33">
      <text>
        <t xml:space="preserve">"Total portefeuille" DEGIRO</t>
      </text>
    </comment>
    <comment authorId="0" ref="A34">
      <text>
        <t xml:space="preserve">"Variation cumulée" DEGIRO</t>
      </text>
    </comment>
    <comment authorId="0" ref="B43">
      <text>
        <t xml:space="preserve">Earn / Loss from past performances (without current portfolio)</t>
      </text>
    </comment>
    <comment authorId="0" ref="A46">
      <text>
        <t xml:space="preserve">"Espace libre" DEGIRO</t>
      </text>
    </comment>
    <comment authorId="0" ref="A52">
      <text>
        <t xml:space="preserve">EONIA+1.25%</t>
      </text>
    </comment>
    <comment authorId="0" ref="B6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code.</t>
      </text>
    </comment>
    <comment authorId="0" ref="B1">
      <text>
        <t xml:space="preserve">Current best stock (recalculated monthly).</t>
      </text>
    </comment>
    <comment authorId="0" ref="C1">
      <text>
        <t xml:space="preserve">ISIN code.</t>
      </text>
    </comment>
    <comment authorId="0" ref="D1">
      <text>
        <t xml:space="preserve">Stock name.</t>
      </text>
    </comment>
    <comment authorId="0" ref="E1">
      <text>
        <t xml:space="preserve">Stock type.</t>
      </text>
    </comment>
    <comment authorId="0" ref="F1">
      <text>
        <t xml:space="preserve">Target distribution.</t>
      </text>
    </comment>
    <comment authorId="0" ref="G1">
      <text>
        <t xml:space="preserve">Yearly cost of stock management.</t>
      </text>
    </comment>
    <comment authorId="0" ref="I1">
      <text>
        <t xml:space="preserve">Market code.</t>
      </text>
    </comment>
    <comment authorId="0" ref="J1">
      <text>
        <t xml:space="preserve">Number of stock shares bought.</t>
      </text>
    </comment>
    <comment authorId="0" ref="K1">
      <text>
        <t xml:space="preserve">Current stock price in $.</t>
      </text>
    </comment>
    <comment authorId="0" ref="L1">
      <text>
        <t xml:space="preserve">Current stock price in €.</t>
      </text>
    </comment>
    <comment authorId="0" ref="M1">
      <text>
        <t xml:space="preserve">Bought stock value.</t>
      </text>
    </comment>
    <comment authorId="0" ref="N1">
      <text>
        <t xml:space="preserve">Current stock value.</t>
      </text>
    </comment>
    <comment authorId="0" ref="O1">
      <text>
        <t xml:space="preserve">Estimated amount to invest.</t>
      </text>
    </comment>
    <comment authorId="0" ref="P1">
      <text>
        <t xml:space="preserve">Amount of trade for the current month.</t>
      </text>
    </comment>
    <comment authorId="0" ref="Q1">
      <text>
        <t xml:space="preserve">Rebalance order from 0 to end.</t>
      </text>
    </comment>
    <comment authorId="0" ref="R1">
      <text>
        <t xml:space="preserve">Number of stock to buy/sell to rebalance the portfolio.</t>
      </text>
    </comment>
    <comment authorId="0" ref="S1">
      <text>
        <t xml:space="preserve">Stock amount to buy/sell to rebalance the portfolio.</t>
      </text>
    </comment>
    <comment authorId="0" ref="T1">
      <text>
        <t xml:space="preserve">Amount to add to rebalance to be the closest to target rebalance total amount</t>
      </text>
    </comment>
    <comment authorId="0" ref="V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Cost to buy/sell stocks</t>
      </text>
    </comment>
    <comment authorId="0" ref="AF1">
      <text>
        <t xml:space="preserve">Average Price paid for the current stock detained</t>
      </text>
    </comment>
    <comment authorId="0" ref="AG1">
      <text>
        <t xml:space="preserve">Average price for last year</t>
      </text>
    </comment>
    <comment authorId="0" ref="AH1">
      <text>
        <t xml:space="preserve">Difference between price paid and current price (green =current price is lower [BUY], red = current price is higher [SELL])</t>
      </text>
    </comment>
    <comment authorId="0" ref="AI1">
      <text>
        <t xml:space="preserve">Actual distribution ratio.</t>
      </text>
    </comment>
    <comment authorId="0" ref="AJ1">
      <text>
        <t xml:space="preserve">Difference between the current and the desired ratio.</t>
      </text>
    </comment>
    <comment authorId="0" ref="AK1">
      <text>
        <t xml:space="preserve">Rectification of the price compared to the real one</t>
      </text>
    </comment>
    <comment authorId="0" ref="AL1">
      <text>
        <t xml:space="preserve">Last time price was updated</t>
      </text>
    </comment>
    <comment authorId="0" ref="AM1">
      <text>
        <t xml:space="preserve">Stock market status (Open/Closed)</t>
      </text>
    </comment>
    <comment authorId="0" ref="AN1">
      <text>
        <t xml:space="preserve">Time before next market event (open if closed, close if opened)</t>
      </text>
    </comment>
    <comment authorId="0" ref="AO1">
      <text>
        <t xml:space="preserve">When last dividend has been paid</t>
      </text>
    </comment>
    <comment authorId="0" ref="AP1">
      <text>
        <t xml:space="preserve">When next dividend will be paid</t>
      </text>
    </comment>
    <comment authorId="0" ref="AQ1">
      <text>
        <t xml:space="preserve">Number of day (months) before next dividend is paid</t>
      </text>
    </comment>
    <comment authorId="0" ref="AR1">
      <text>
        <t xml:space="preserve">Estimated dividend corresponding to current share owned</t>
      </text>
    </comment>
    <comment authorId="0" ref="AS1">
      <text>
        <t xml:space="preserve">Dividend paid averaged on a month basis</t>
      </text>
    </comment>
    <comment authorId="0" ref="AT1">
      <text>
        <t xml:space="preserve">Dividend left to paid soon (next 30 days)</t>
      </text>
    </comment>
    <comment authorId="0" ref="AU1">
      <text>
        <t xml:space="preserve">Estimation of price when bought (using Selection sheet)</t>
      </text>
    </comment>
    <comment authorId="0" ref="AV1">
      <text>
        <t xml:space="preserve">Estimated money return if invested this way from the begining of the strategy</t>
      </text>
    </comment>
    <comment authorId="0" ref="AW1">
      <text>
        <t xml:space="preserve">Estimated money earned if invested this way from the begining of investing</t>
      </text>
    </comment>
    <comment authorId="0" ref="AX1">
      <text>
        <t xml:space="preserve">The max value progress rate</t>
      </text>
    </comment>
    <comment authorId="0" ref="AY1">
      <text>
        <t xml:space="preserve">Average value if stock were costing the average price</t>
      </text>
    </comment>
    <comment authorId="0" ref="AZ1">
      <text>
        <t xml:space="preserve">Simplest : stock / number to buy</t>
      </text>
    </comment>
    <comment authorId="0" ref="BA1">
      <text>
        <t xml:space="preserve">Opportunity : use tendency to predict opportunity</t>
      </text>
    </comment>
    <comment authorId="0" ref="A7">
      <text>
        <t xml:space="preserve">Hack to load Dollar conversion value only if needed</t>
      </text>
    </comment>
    <comment authorId="0" ref="B7">
      <text>
        <t xml:space="preserve">Dollar conversion symbol</t>
      </text>
    </comment>
    <comment authorId="0" ref="K7">
      <text>
        <t xml:space="preserve">Euro to Dollar conversion</t>
      </text>
    </comment>
    <comment authorId="0" ref="R7">
      <text>
        <t xml:space="preserve">Amount left to use for rebalance</t>
      </text>
    </comment>
    <comment authorId="0" ref="T7">
      <text>
        <t xml:space="preserve">Remaining value after rebalancing (used to buy some stocks).</t>
      </text>
    </comment>
    <comment authorId="0" ref="AE7">
      <text>
        <t xml:space="preserve">Trading total cost.</t>
      </text>
    </comment>
    <comment authorId="0" ref="AI7">
      <text>
        <t xml:space="preserve">Hack to circonvene the case where some values are already bought but some are not yet</t>
      </text>
    </comment>
    <comment authorId="0" ref="AK7">
      <text>
        <t xml:space="preserve">Use to adjust "Current portfolio total profit"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27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Cached value</t>
      </text>
    </comment>
    <comment authorId="0" ref="F2">
      <text>
        <t xml:space="preserve">https://www.bloomberg.com/quote/TLT:US</t>
      </text>
    </comment>
    <comment authorId="0" ref="F3">
      <text>
        <t xml:space="preserve">https://www.bloomberg.com/quote/TBF:US</t>
      </text>
    </comment>
    <comment authorId="0" ref="F4">
      <text>
        <t xml:space="preserve">https://www.bloomberg.com/quote/TBT:US</t>
      </text>
    </comment>
    <comment authorId="0" ref="F5">
      <text>
        <t xml:space="preserve">https://www.bloomberg.com/quote/EDV:US</t>
      </text>
    </comment>
    <comment authorId="0" ref="F6">
      <text>
        <t xml:space="preserve">https://www.bloomberg.com/quote/IS04:GR</t>
      </text>
    </comment>
    <comment authorId="0" ref="F7">
      <text>
        <t xml:space="preserve">https://www.bloomberg.com/quote/IDTL:LN</t>
      </text>
    </comment>
    <comment authorId="0" ref="F8">
      <text>
        <t xml:space="preserve">https://www.bloomberg.com/quote/VWO:US</t>
      </text>
    </comment>
    <comment authorId="0" ref="F9">
      <text>
        <t xml:space="preserve">https://www.bloomberg.com/quote/QUAL:US</t>
      </text>
    </comment>
    <comment authorId="0" ref="F10">
      <text>
        <t xml:space="preserve">https://www.bloomberg.com/quote/SCHD:US</t>
      </text>
    </comment>
    <comment authorId="0" ref="F11">
      <text>
        <t xml:space="preserve">https://www.bloomberg.com/quote/SPY:US</t>
      </text>
    </comment>
    <comment authorId="0" ref="F12">
      <text>
        <t xml:space="preserve">https://www.bloomberg.com/quote/VOO:US</t>
      </text>
    </comment>
    <comment authorId="0" ref="F13">
      <text>
        <t xml:space="preserve">https://www.bloomberg.com/quote/SCHB:US</t>
      </text>
    </comment>
    <comment authorId="0" ref="F14">
      <text>
        <t xml:space="preserve">https://www.bloomberg.com/quote/ITOT:US</t>
      </text>
    </comment>
    <comment authorId="0" ref="F15">
      <text>
        <t xml:space="preserve">https://www.bloomberg.com/quote/VTI:US</t>
      </text>
    </comment>
    <comment authorId="0" ref="F16">
      <text>
        <t xml:space="preserve">https://www.bloomberg.com/quote/USMV:US</t>
      </text>
    </comment>
    <comment authorId="0" ref="F17">
      <text>
        <t xml:space="preserve">https://www.bloomberg.com/quote/VYM:US</t>
      </text>
    </comment>
    <comment authorId="0" ref="F18">
      <text>
        <t xml:space="preserve">https://www.bloomberg.com/quote/IWV:US</t>
      </text>
    </comment>
    <comment authorId="0" ref="F19">
      <text>
        <t xml:space="preserve">https://www.bloomberg.com/quote/SCHR:US</t>
      </text>
    </comment>
    <comment authorId="0" ref="F20">
      <text>
        <t xml:space="preserve">https://www.bloomberg.com/quote/VUSA:NA</t>
      </text>
    </comment>
    <comment authorId="0" ref="F21">
      <text>
        <t xml:space="preserve">https://www.bloomberg.com/quote/IUSA:NA</t>
      </text>
    </comment>
    <comment authorId="0" ref="F22">
      <text>
        <t xml:space="preserve">https://www.bloomberg.com/quote/IEF:US</t>
      </text>
    </comment>
    <comment authorId="0" ref="F23">
      <text>
        <t xml:space="preserve">https://www.bloomberg.com/quote/VGIT:US</t>
      </text>
    </comment>
    <comment authorId="0" ref="F24">
      <text>
        <t xml:space="preserve">https://www.bloomberg.com/quote/BTMA:NA</t>
      </text>
    </comment>
    <comment authorId="0" ref="F25">
      <text>
        <t xml:space="preserve">https://www.bloomberg.com/quote/DBC:US</t>
      </text>
    </comment>
    <comment authorId="0" ref="F26">
      <text>
        <t xml:space="preserve">https://www.bloomberg.com/quote/GSG:US</t>
      </text>
    </comment>
    <comment authorId="0" ref="F27">
      <text>
        <t xml:space="preserve">https://www.bloomberg.com/quote/USCI:US</t>
      </text>
    </comment>
    <comment authorId="0" ref="F28">
      <text>
        <t xml:space="preserve">https://www.bloomberg.com/quote/DJP:US</t>
      </text>
    </comment>
    <comment authorId="0" ref="F29">
      <text>
        <t xml:space="preserve">https://www.bloomberg.com/quote/AIGCP:FP</t>
      </text>
    </comment>
    <comment authorId="0" ref="F30">
      <text>
        <t xml:space="preserve">https://www.bloomberg.com/quote/EXXY:TH</t>
      </text>
    </comment>
    <comment authorId="0" ref="F31">
      <text>
        <t xml:space="preserve">https://www.bloomberg.com/quote/OUNZ:US</t>
      </text>
    </comment>
    <comment authorId="0" ref="F32">
      <text>
        <t xml:space="preserve">https://www.bloomberg.com/quote/IAU:US</t>
      </text>
    </comment>
    <comment authorId="0" ref="F33">
      <text>
        <t xml:space="preserve">https://www.bloomberg.com/quote/SGOL:US</t>
      </text>
    </comment>
    <comment authorId="0" ref="F34">
      <text>
        <t xml:space="preserve">https://www.bloomberg.com/quote/GLD:US</t>
      </text>
    </comment>
    <comment authorId="0" ref="F35">
      <text>
        <t xml:space="preserve">https://www.bloomberg.com/quote/DGL:US</t>
      </text>
    </comment>
    <comment authorId="0" ref="F36">
      <text>
        <t xml:space="preserve">https://www.bloomberg.com/quote/PHAU:NA</t>
      </text>
    </comment>
    <comment authorId="0" ref="F37">
      <text>
        <t xml:space="preserve">https://www.bloomberg.com/quote/GBS:FP</t>
      </text>
    </comment>
    <comment authorId="0" ref="F38">
      <text>
        <t xml:space="preserve">https://www.bloomberg.com/quote/EURUSD:CUR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Monthly progress on total value</t>
      </text>
    </comment>
    <comment authorId="0" ref="F1">
      <text>
        <t xml:space="preserve">Allocation / Portfolio</t>
      </text>
    </comment>
    <comment authorId="0" ref="G1">
      <text>
        <t xml:space="preserve">Interest based on an estimate until real value is taken from the account</t>
      </text>
    </comment>
    <comment authorId="0" ref="H1">
      <text>
        <t xml:space="preserve">Interest / Allocation</t>
      </text>
    </comment>
    <comment authorId="0" ref="I1">
      <text>
        <t xml:space="preserve">Dividend received during the month</t>
      </text>
    </comment>
    <comment authorId="0" ref="J1">
      <text>
        <t xml:space="preserve">Average monthly income on a year basis.</t>
      </text>
    </comment>
    <comment authorId="0" ref="K1">
      <text>
        <t xml:space="preserve">Monthly progress on average monthly income</t>
      </text>
    </comment>
    <comment authorId="0" ref="L1">
      <text>
        <t xml:space="preserve">Income / Portfolio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=Montly rent - Boursorama loan (B3)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Current rate</t>
      </text>
    </comment>
    <comment authorId="0" ref="D1">
      <text>
        <t xml:space="preserve">Current gain (= Value * Rate / 12)</t>
      </text>
    </comment>
    <comment authorId="0" ref="E1">
      <text>
        <t xml:space="preserve">Amount added/withdrawed by the client</t>
      </text>
    </comment>
    <comment authorId="0" ref="F1">
      <text>
        <t xml:space="preserve">Total cumulated amount (= Value + Gain)</t>
      </text>
    </comment>
  </commentList>
</comments>
</file>

<file path=xl/sharedStrings.xml><?xml version="1.0" encoding="utf-8"?>
<sst xmlns="http://schemas.openxmlformats.org/spreadsheetml/2006/main" count="4345" uniqueCount="1532">
  <si>
    <t>Savings</t>
  </si>
  <si>
    <t>Cumulated saving</t>
  </si>
  <si>
    <t>Date</t>
  </si>
  <si>
    <t>Savings available</t>
  </si>
  <si>
    <t>Owing</t>
  </si>
  <si>
    <t>Loan</t>
  </si>
  <si>
    <t>Client</t>
  </si>
  <si>
    <t>Expenses</t>
  </si>
  <si>
    <t>Cash balance</t>
  </si>
  <si>
    <t>Currency</t>
  </si>
  <si>
    <t>Current expense</t>
  </si>
  <si>
    <t>Allocated rate</t>
  </si>
  <si>
    <t>Non-allocated rate</t>
  </si>
  <si>
    <t>Day count</t>
  </si>
  <si>
    <t>Monthly expenses</t>
  </si>
  <si>
    <t xml:space="preserve">Expense gap </t>
  </si>
  <si>
    <t>Monthly payment</t>
  </si>
  <si>
    <t>Heure</t>
  </si>
  <si>
    <t>Monthly interest</t>
  </si>
  <si>
    <t xml:space="preserve">Date de </t>
  </si>
  <si>
    <t>Produit</t>
  </si>
  <si>
    <t>Account</t>
  </si>
  <si>
    <t>Code ISIN</t>
  </si>
  <si>
    <t>Description</t>
  </si>
  <si>
    <t>Total Approvisionnement</t>
  </si>
  <si>
    <t>Previous profit</t>
  </si>
  <si>
    <t>Current Approvisionnement</t>
  </si>
  <si>
    <t>Day interest</t>
  </si>
  <si>
    <t>Monthly investment progress average</t>
  </si>
  <si>
    <t>FX</t>
  </si>
  <si>
    <t>Mouvements</t>
  </si>
  <si>
    <t>Solde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</si>
  <si>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</si>
  <si>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</si>
  <si>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</si>
  <si>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</si>
  <si>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</si>
  <si>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</si>
  <si>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</si>
  <si>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Allocated</t>
  </si>
  <si>
    <t>Allocations</t>
  </si>
  <si>
    <t>Current Allocation</t>
  </si>
  <si>
    <t>Margin</t>
  </si>
  <si>
    <t>Next Allocation</t>
  </si>
  <si>
    <t>Current Allocation percentage</t>
  </si>
  <si>
    <t>Interest rate</t>
  </si>
  <si>
    <t>Performances</t>
  </si>
  <si>
    <t>Average profit per transaction</t>
  </si>
  <si>
    <t>Over allocation</t>
  </si>
  <si>
    <t>Transaction per month</t>
  </si>
  <si>
    <t>Cumulative interest</t>
  </si>
  <si>
    <t>Average profit per month</t>
  </si>
  <si>
    <t>Current monthly dividend</t>
  </si>
  <si>
    <t>Total profit per month</t>
  </si>
  <si>
    <t>Total portfolio</t>
  </si>
  <si>
    <t>Stock value</t>
  </si>
  <si>
    <t>Cash Fund</t>
  </si>
  <si>
    <t>Today's result</t>
  </si>
  <si>
    <t>Cumulated result</t>
  </si>
  <si>
    <t>Type</t>
  </si>
  <si>
    <t>Label</t>
  </si>
  <si>
    <t>Transaction</t>
  </si>
  <si>
    <t>Quantity</t>
  </si>
  <si>
    <t>Price</t>
  </si>
  <si>
    <t>Value</t>
  </si>
  <si>
    <t>11-05-2019</t>
  </si>
  <si>
    <t>21:46</t>
  </si>
  <si>
    <t>Retrait de fonds en cours</t>
  </si>
  <si>
    <t>EUR</t>
  </si>
  <si>
    <t>-500,00</t>
  </si>
  <si>
    <t>-440786,54</t>
  </si>
  <si>
    <t>08-05-2019</t>
  </si>
  <si>
    <t>12:46</t>
  </si>
  <si>
    <t>ISHSIV-DL T.BD20+YR DL D</t>
  </si>
  <si>
    <t>IE00BSKRJZ44</t>
  </si>
  <si>
    <t>Frais de courtage</t>
  </si>
  <si>
    <t>-2,00</t>
  </si>
  <si>
    <t>-440286,54</t>
  </si>
  <si>
    <t>-0,35</t>
  </si>
  <si>
    <t>-440284,54</t>
  </si>
  <si>
    <t>Vente 412 ISHSIV-DL T.BD20+YR DL D@4,2208 EUR (IE00BSKRJZ44)</t>
  </si>
  <si>
    <t>1738,97</t>
  </si>
  <si>
    <t>-440284,19</t>
  </si>
  <si>
    <t>ID</t>
  </si>
  <si>
    <t>12:16</t>
  </si>
  <si>
    <t>ISHARES US T 7-10</t>
  </si>
  <si>
    <t>IE00B1FZS798</t>
  </si>
  <si>
    <t>Vente 7 ISHARES US T 7-10@176,2 EUR (IE00B1FZS798)</t>
  </si>
  <si>
    <t>1233,40</t>
  </si>
  <si>
    <t>-442023,16</t>
  </si>
  <si>
    <t>11:30</t>
  </si>
  <si>
    <t>-443256,56</t>
  </si>
  <si>
    <t>Market</t>
  </si>
  <si>
    <t>-0,33</t>
  </si>
  <si>
    <t>-443254,56</t>
  </si>
  <si>
    <t>Code</t>
  </si>
  <si>
    <t>Time Lag</t>
  </si>
  <si>
    <t>Opening local</t>
  </si>
  <si>
    <t>Closing local</t>
  </si>
  <si>
    <t>Opening</t>
  </si>
  <si>
    <t>Closing</t>
  </si>
  <si>
    <t>Next opening</t>
  </si>
  <si>
    <t>Next closing</t>
  </si>
  <si>
    <t>Opening days</t>
  </si>
  <si>
    <t>Preclose</t>
  </si>
  <si>
    <t>Status</t>
  </si>
  <si>
    <t>Countdown</t>
  </si>
  <si>
    <t>NASDAQ</t>
  </si>
  <si>
    <t>1;2;3;4;5</t>
  </si>
  <si>
    <t>Vente 388 ISHSIV-DL T.BD20+YR DL D@4,211 EUR (IE00BSKRJZ44)</t>
  </si>
  <si>
    <t>1633,87</t>
  </si>
  <si>
    <t>-443254,23</t>
  </si>
  <si>
    <t>NYSEARCA</t>
  </si>
  <si>
    <t>BATS</t>
  </si>
  <si>
    <t>LON</t>
  </si>
  <si>
    <t>AMS</t>
  </si>
  <si>
    <t>07-05-2019</t>
  </si>
  <si>
    <t>17:00</t>
  </si>
  <si>
    <t>EPA</t>
  </si>
  <si>
    <t>-444888,09</t>
  </si>
  <si>
    <t>FRA</t>
  </si>
  <si>
    <t>XETR</t>
  </si>
  <si>
    <t>GR</t>
  </si>
  <si>
    <t>SWX</t>
  </si>
  <si>
    <t>-0,23</t>
  </si>
  <si>
    <t>-444886,09</t>
  </si>
  <si>
    <t>CURRENCY</t>
  </si>
  <si>
    <t>CUR</t>
  </si>
  <si>
    <t>Vente 277 ISHSIV-DL T.BD20+YR DL D@4,198 EUR (IE00BSKRJZ44)</t>
  </si>
  <si>
    <t>1162,85</t>
  </si>
  <si>
    <t>-444885,86</t>
  </si>
  <si>
    <t>Current value</t>
  </si>
  <si>
    <t>Sent value</t>
  </si>
  <si>
    <t>Sent time</t>
  </si>
  <si>
    <t>Object</t>
  </si>
  <si>
    <t>Subject</t>
  </si>
  <si>
    <t>!!REBALANCE!!</t>
  </si>
  <si>
    <t>Investment sheet has $X values to rebalance in: $APPLINK that should be rebalanced in: $DEGLINK</t>
  </si>
  <si>
    <t>06-05-2019</t>
  </si>
  <si>
    <t>14:30</t>
  </si>
  <si>
    <t>Vente 6 ISHARES US T 7-10@175,51 EUR (IE00B1FZS798)</t>
  </si>
  <si>
    <t>1053,06</t>
  </si>
  <si>
    <t>-446048,71</t>
  </si>
  <si>
    <t>ALERT VALUE UPDATE</t>
  </si>
  <si>
    <t>Investment sheet has $X values not updated since more than 16min ! Check it out in $APPLINK</t>
  </si>
  <si>
    <t>RELOAD ACCOUNT</t>
  </si>
  <si>
    <t>Historic sheet has $X temporary rows. Reload Account in: $APPLINK from: $DEGLINK</t>
  </si>
  <si>
    <t>NEW ALLOCATION</t>
  </si>
  <si>
    <t>New Allocation of $X € should be allocated in: DEGLINK and reported in: $APPLINK</t>
  </si>
  <si>
    <t>12:31</t>
  </si>
  <si>
    <t>-447101,77</t>
  </si>
  <si>
    <t>Cumulated profit total rate</t>
  </si>
  <si>
    <t>Cumulated profit</t>
  </si>
  <si>
    <t>Cumulated profit rate</t>
  </si>
  <si>
    <t>Cumulated dividend</t>
  </si>
  <si>
    <t>-0,77</t>
  </si>
  <si>
    <t>-447099,77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</si>
  <si>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</si>
  <si>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</si>
  <si>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</si>
  <si>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</si>
  <si>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</si>
  <si>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</si>
  <si>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Vente 925 ISHSIV-DL T.BD20+YR DL D@4,1872 EUR (IE00BSKRJZ44)</t>
  </si>
  <si>
    <t>3873,16</t>
  </si>
  <si>
    <t>-447099,00</t>
  </si>
  <si>
    <t>Monthly income</t>
  </si>
  <si>
    <t>Income use</t>
  </si>
  <si>
    <t>Current monthly dividend / thousand</t>
  </si>
  <si>
    <t xml:space="preserve">Last year monthly dividend </t>
  </si>
  <si>
    <t>03-05-2019</t>
  </si>
  <si>
    <t>15:25</t>
  </si>
  <si>
    <t>-450972,16</t>
  </si>
  <si>
    <t>Debt</t>
  </si>
  <si>
    <t>Current portfolio duration</t>
  </si>
  <si>
    <t>-0,25</t>
  </si>
  <si>
    <t>-450970,16</t>
  </si>
  <si>
    <t>Vente 295 ISHSIV-DL T.BD20+YR DL D@4,1686 EUR (IE00BSKRJZ44)</t>
  </si>
  <si>
    <t>1229,74</t>
  </si>
  <si>
    <t>-450969,91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</si>
  <si>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</si>
  <si>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</si>
  <si>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</si>
  <si>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</si>
  <si>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</si>
  <si>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13:46</t>
  </si>
  <si>
    <t>30-04-2019</t>
  </si>
  <si>
    <t>Frais de connexion aux places boursières 2019 (Xetra - XET)</t>
  </si>
  <si>
    <t>-2,50</t>
  </si>
  <si>
    <t>-452199,65</t>
  </si>
  <si>
    <t>Overall dividend rate</t>
  </si>
  <si>
    <t>Last year dividend rate</t>
  </si>
  <si>
    <t>Livret A</t>
  </si>
  <si>
    <t>EONIA</t>
  </si>
  <si>
    <t>Provision</t>
  </si>
  <si>
    <t>13:21</t>
  </si>
  <si>
    <t>Retrait de fonds</t>
  </si>
  <si>
    <t>-452197,15</t>
  </si>
  <si>
    <t>Instant profit per trading day</t>
  </si>
  <si>
    <t>Instant profit per transaction</t>
  </si>
  <si>
    <t>Instant profit per month</t>
  </si>
  <si>
    <t>Last updated</t>
  </si>
  <si>
    <t>App link</t>
  </si>
  <si>
    <t>https://goo.gl/amjmSv</t>
  </si>
  <si>
    <t xml:space="preserve">Top </t>
  </si>
  <si>
    <t>ISIN</t>
  </si>
  <si>
    <t>Name</t>
  </si>
  <si>
    <t>Target Dist</t>
  </si>
  <si>
    <t>Cost</t>
  </si>
  <si>
    <t>Inst profit</t>
  </si>
  <si>
    <t>Avg profit</t>
  </si>
  <si>
    <t>Symbol</t>
  </si>
  <si>
    <t>Shares</t>
  </si>
  <si>
    <t>Price ($)</t>
  </si>
  <si>
    <t>Buy</t>
  </si>
  <si>
    <t>Sell</t>
  </si>
  <si>
    <t>Estimation</t>
  </si>
  <si>
    <t>Commodities</t>
  </si>
  <si>
    <t>Monthly trade</t>
  </si>
  <si>
    <t>Rank</t>
  </si>
  <si>
    <t>ETFS All Commodities</t>
  </si>
  <si>
    <t>Rebalance</t>
  </si>
  <si>
    <t>BUY</t>
  </si>
  <si>
    <t>Rest</t>
  </si>
  <si>
    <t>Tendency</t>
  </si>
  <si>
    <t>Daily result</t>
  </si>
  <si>
    <t>ETFS All Commodities@BUY@461@-3286.93</t>
  </si>
  <si>
    <t>08:42</t>
  </si>
  <si>
    <t>Intérêts débiteurs mensuels (Débit Argent)</t>
  </si>
  <si>
    <t>-547,92</t>
  </si>
  <si>
    <t>-451697,15</t>
  </si>
  <si>
    <t>Rate</t>
  </si>
  <si>
    <t>Dividend</t>
  </si>
  <si>
    <t>Stock</t>
  </si>
  <si>
    <t>Total</t>
  </si>
  <si>
    <t>Mean price</t>
  </si>
  <si>
    <t>Avg price</t>
  </si>
  <si>
    <t>Gap</t>
  </si>
  <si>
    <t>Distrib</t>
  </si>
  <si>
    <t>Price Gap</t>
  </si>
  <si>
    <t>Last upd</t>
  </si>
  <si>
    <t>Last div</t>
  </si>
  <si>
    <t>Next div</t>
  </si>
  <si>
    <t>Long term US bonds (20-25 year)</t>
  </si>
  <si>
    <t>iShares USD Treasury Bond 20+yr UCITS ETF</t>
  </si>
  <si>
    <t>SELL</t>
  </si>
  <si>
    <t>iShares USD Treasury Bond 20+yr UCITS ETF@SELL@-552@2320.83</t>
  </si>
  <si>
    <t>Est div</t>
  </si>
  <si>
    <t>Div / month</t>
  </si>
  <si>
    <t>Div left</t>
  </si>
  <si>
    <t>Initial price</t>
  </si>
  <si>
    <t>Potential value</t>
  </si>
  <si>
    <t>Max value</t>
  </si>
  <si>
    <t>Avg value</t>
  </si>
  <si>
    <t>TEST</t>
  </si>
  <si>
    <t>IS04</t>
  </si>
  <si>
    <t>29-04-2019</t>
  </si>
  <si>
    <t>16:43</t>
  </si>
  <si>
    <t>VANGUARD S&amp;P500</t>
  </si>
  <si>
    <t>IE00B3XXRP09</t>
  </si>
  <si>
    <t>Vente 25 VANGUARD S&amp;P500@50,092 EUR (IE00B3XXRP09)</t>
  </si>
  <si>
    <t>1252,30</t>
  </si>
  <si>
    <t>-451149,23</t>
  </si>
  <si>
    <t>COST</t>
  </si>
  <si>
    <t>iShares USD Treasury Bond 20+yr UCITS ETF@COST@@-2.46</t>
  </si>
  <si>
    <t>25-04-2019</t>
  </si>
  <si>
    <t>09:24</t>
  </si>
  <si>
    <t>-452401,53</t>
  </si>
  <si>
    <t>APPROVISIONNEMENT</t>
  </si>
  <si>
    <t>@APPROVISIONNEMENT@@-500</t>
  </si>
  <si>
    <t>iShares USD Treasury Bond 20+yr UCITS ETF@SELL@-412@1738.97</t>
  </si>
  <si>
    <t>-0,45</t>
  </si>
  <si>
    <t>-452399,53</t>
  </si>
  <si>
    <t>iShares USD Treasury Bond 20+yr UCITS ETF@COST@@-2.35</t>
  </si>
  <si>
    <t>Vente 544 ISHSIV-DL T.BD20+YR DL D@4,163 EUR (IE00BSKRJZ44)</t>
  </si>
  <si>
    <t>2264,67</t>
  </si>
  <si>
    <t>-452399,08</t>
  </si>
  <si>
    <t>Intermediate US bonds (7-10 year)</t>
  </si>
  <si>
    <t>iShares USD Treasury Bond 7-10yr UCITS ETF</t>
  </si>
  <si>
    <t>iShares USD Treasury Bond 7-10yr UCITS ETF@SELL@-7@1233.4</t>
  </si>
  <si>
    <t>24-04-2019</t>
  </si>
  <si>
    <t>17:27</t>
  </si>
  <si>
    <t>Vente 6 ISHARES US T 7-10@175 EUR (IE00B1FZS798)</t>
  </si>
  <si>
    <t>1050,00</t>
  </si>
  <si>
    <t>-454663,75</t>
  </si>
  <si>
    <t>iShares USD Treasury Bond 20+yr UCITS ETF@SELL@-388@1633.87</t>
  </si>
  <si>
    <t>iShares USD Treasury Bond 20+yr UCITS ETF@COST@@-2.33</t>
  </si>
  <si>
    <t>VUSA</t>
  </si>
  <si>
    <t>iShares USD Treasury Bond 20+yr UCITS ETF@SELL@-277@1162.85</t>
  </si>
  <si>
    <t>iShares USD Treasury Bond 20+yr UCITS ETF@COST@@-2.23</t>
  </si>
  <si>
    <t>iShares USD Treasury Bond 7-10yr UCITS ETF@SELL@-6@1053.06</t>
  </si>
  <si>
    <t>iShares USD Treasury Bond 20+yr UCITS ETF@SELL@-925@3873.16</t>
  </si>
  <si>
    <t>BTMA</t>
  </si>
  <si>
    <t>iShares USD Treasury Bond 20+yr UCITS ETF@COST@@-2.77</t>
  </si>
  <si>
    <t>16:13</t>
  </si>
  <si>
    <t>Vente 21 VANGUARD S&amp;P500@49,729 EUR (IE00B3XXRP09)</t>
  </si>
  <si>
    <t>1044,31</t>
  </si>
  <si>
    <t>-455713,75</t>
  </si>
  <si>
    <t>@COST@@-547.92</t>
  </si>
  <si>
    <t>15:47</t>
  </si>
  <si>
    <t>-456758,06</t>
  </si>
  <si>
    <t>@COST@@-2.5</t>
  </si>
  <si>
    <t>-0,27</t>
  </si>
  <si>
    <t>-456756,06</t>
  </si>
  <si>
    <t>iShares USD Treasury Bond 20+yr UCITS ETF@SELL@-295@1229.74</t>
  </si>
  <si>
    <t>AIGCP</t>
  </si>
  <si>
    <t>iShares USD Treasury Bond 20+yr UCITS ETF@COST@@-2.25</t>
  </si>
  <si>
    <t>Stocks</t>
  </si>
  <si>
    <t>Vanguard S&amp;P 500 UCITS ETF</t>
  </si>
  <si>
    <t>Vanguard S&amp;P 500 UCITS ETF@SELL@-25@1252.3</t>
  </si>
  <si>
    <t>Vente 330 ISHSIV-DL T.BD20+YR DL D@4,141 EUR (IE00BSKRJZ44)</t>
  </si>
  <si>
    <t>1366,53</t>
  </si>
  <si>
    <t>-456755,79</t>
  </si>
  <si>
    <t>iShares USD Treasury Bond 20+yr UCITS ETF@SELL@-544@2264.67</t>
  </si>
  <si>
    <t>iShares USD Treasury Bond 20+yr UCITS ETF@COST@@-2.45</t>
  </si>
  <si>
    <t>14:48</t>
  </si>
  <si>
    <t>-458122,32</t>
  </si>
  <si>
    <t>iShares USD Treasury Bond 7-10yr UCITS ETF@SELL@-6@1050</t>
  </si>
  <si>
    <t>PHAU</t>
  </si>
  <si>
    <t>-0,26</t>
  </si>
  <si>
    <t>-458120,32</t>
  </si>
  <si>
    <t>Vanguard S&amp;P 500 UCITS ETF@SELL@-21@1044.31</t>
  </si>
  <si>
    <t>iShares USD Treasury Bond 20+yr UCITS ETF@SELL@-330@1366.53</t>
  </si>
  <si>
    <t>Vente 320 ISHSIV-DL T.BD20+YR DL D@4,1357 EUR (IE00BSKRJZ44)</t>
  </si>
  <si>
    <t>1323,42</t>
  </si>
  <si>
    <t>-458120,06</t>
  </si>
  <si>
    <t>iShares USD Treasury Bond 20+yr UCITS ETF@COST@@-2.27</t>
  </si>
  <si>
    <t>Vente 23 VANGUARD S&amp;P500@49,7 EUR (IE00B3XXRP09)</t>
  </si>
  <si>
    <t>1143,10</t>
  </si>
  <si>
    <t>-459443,48</t>
  </si>
  <si>
    <t>Vanguard S&amp;P 500 UCITS ETF@SELL@-23@1143.1</t>
  </si>
  <si>
    <t>14:38</t>
  </si>
  <si>
    <t>Vente 6 ISHARES US T 7-10@174,67 EUR (IE00B1FZS798)</t>
  </si>
  <si>
    <t>1048,02</t>
  </si>
  <si>
    <t>-460586,58</t>
  </si>
  <si>
    <t>iShares USD Treasury Bond 20+yr UCITS ETF@SELL@-320@1323.42</t>
  </si>
  <si>
    <t>iShares USD Treasury Bond 20+yr UCITS ETF@COST@@-2.26</t>
  </si>
  <si>
    <t>EURUSD</t>
  </si>
  <si>
    <t>TOTAL</t>
  </si>
  <si>
    <t>11:32</t>
  </si>
  <si>
    <t>-461634,60</t>
  </si>
  <si>
    <t>iShares USD Treasury Bond 7-10yr UCITS ETF@SELL@-6@1048.02</t>
  </si>
  <si>
    <t>iShares USD Treasury Bond 20+yr UCITS ETF@SELL@-285@1174.71</t>
  </si>
  <si>
    <t>-461632,60</t>
  </si>
  <si>
    <t>Vanguard S&amp;P 500 UCITS ETF@SELL@-25@1240.5</t>
  </si>
  <si>
    <t>Vente 285 ISHSIV-DL T.BD20+YR DL D@4,1218 EUR (IE00BSKRJZ44)</t>
  </si>
  <si>
    <t>1174,71</t>
  </si>
  <si>
    <t>-461632,37</t>
  </si>
  <si>
    <t>Vanguard S&amp;P 500 UCITS ETF@SELL@-25@1230.12</t>
  </si>
  <si>
    <t>ETFS All Commodities@SELL@-150@1114.5</t>
  </si>
  <si>
    <t>11:02</t>
  </si>
  <si>
    <t>Vente 25 VANGUARD S&amp;P500@49,62 EUR (IE00B3XXRP09)</t>
  </si>
  <si>
    <t>1240,50</t>
  </si>
  <si>
    <t>-462807,09</t>
  </si>
  <si>
    <t>@COST@@-29.90</t>
  </si>
  <si>
    <t>Vanguard S&amp;P 500 UCITS ETF@SELL@-25@1225.75</t>
  </si>
  <si>
    <t>Div</t>
  </si>
  <si>
    <t>Progress</t>
  </si>
  <si>
    <t>Evolution</t>
  </si>
  <si>
    <t>Total profit</t>
  </si>
  <si>
    <t>iShares USD Treasury Bond 20+yr UCITS ETF@SELL@-879@3603.2</t>
  </si>
  <si>
    <t>Gold</t>
  </si>
  <si>
    <t>23-04-2019</t>
  </si>
  <si>
    <t>14:46</t>
  </si>
  <si>
    <t>Vente 25 VANGUARD S&amp;P500@49,205 EUR (IE00B3XXRP09)</t>
  </si>
  <si>
    <t>1230,12</t>
  </si>
  <si>
    <t>iShares USD Treasury Bond 20+yr UCITS ETF@COST@@-2.72</t>
  </si>
  <si>
    <t>-464047,59</t>
  </si>
  <si>
    <t>Vanguard S&amp;P 500 UCITS ETF@SELL@-25@1224.75</t>
  </si>
  <si>
    <t>Vanguard S&amp;P 500 UCITS ETF@SELL@-25@1219.88</t>
  </si>
  <si>
    <t>12:09</t>
  </si>
  <si>
    <t>ETFS ALL COMMODIT.</t>
  </si>
  <si>
    <t>GB00B15KY989</t>
  </si>
  <si>
    <t>Vente 150 ETFS ALL COMMODIT.@7,43 EUR (GB00B15KY989)</t>
  </si>
  <si>
    <t>1114,50</t>
  </si>
  <si>
    <t>-465277,71</t>
  </si>
  <si>
    <t>iShares USD Treasury Bond 20+yr UCITS ETF@BUY@60580@-248256.84</t>
  </si>
  <si>
    <t>18-04-2019</t>
  </si>
  <si>
    <t>15:18</t>
  </si>
  <si>
    <t>Vente 25 VANGUARD S&amp;P500@49,03 EUR (IE00B3XXRP09)</t>
  </si>
  <si>
    <t>1225,75</t>
  </si>
  <si>
    <t>-466392,21</t>
  </si>
  <si>
    <t>iShares USD Treasury Bond 20+yr UCITS ETF@COST@@-51.65</t>
  </si>
  <si>
    <t>iShares USD Treasury Bond 20+yr UCITS ETF@BUY@12775@-52351.56</t>
  </si>
  <si>
    <t>10:00</t>
  </si>
  <si>
    <t>-467617,96</t>
  </si>
  <si>
    <t>iShares USD Treasury Bond 20+yr UCITS ETF@COST@@-12.47</t>
  </si>
  <si>
    <t>Vanguard S&amp;P 500 UCITS ETF@SELL@-26@1265.94</t>
  </si>
  <si>
    <t>-0,72</t>
  </si>
  <si>
    <t>-467615,96</t>
  </si>
  <si>
    <t>DIVIDEND</t>
  </si>
  <si>
    <t>Vanguard S&amp;P 500 UCITS ETF@DIVIDEND@@-125.08</t>
  </si>
  <si>
    <t>Vente 879 ISHSIV-DL T.BD20+YR DL D@4,0992 EUR (IE00BSKRJZ44)</t>
  </si>
  <si>
    <t>3603,20</t>
  </si>
  <si>
    <t>-467615,24</t>
  </si>
  <si>
    <t>Vanguard S&amp;P 500 UCITS ETF@COST@@17.94</t>
  </si>
  <si>
    <t>Vanguard S&amp;P 500 UCITS ETF@DIVIDEND@@1098.21</t>
  </si>
  <si>
    <t>Vanguard S&amp;P 500 UCITS ETF@SELL@-30@1462.5</t>
  </si>
  <si>
    <t>ETFS All Commodities@SELL@-155@1153.2</t>
  </si>
  <si>
    <t>ETFS All Commodities@SELL@-145@1077.64</t>
  </si>
  <si>
    <t>ETFS All Commodities@SELL@-220@1632.4</t>
  </si>
  <si>
    <t>ETFS All Commodities@SELL@-200@1484</t>
  </si>
  <si>
    <t>@COST@@-618.92</t>
  </si>
  <si>
    <t>iShares USD Treasury Bond 20+yr UCITS ETF USD Dist</t>
  </si>
  <si>
    <t>iShares USD Treasury Bond 20+yr UCITS ETF@COST@@-51.46</t>
  </si>
  <si>
    <t>iShares USD Treasury Bond 20+yr UCITS ETF@SELL@-60000@246774.25</t>
  </si>
  <si>
    <t>iShares USD Treasury Bond 20+yr UCITS ETF@COST@@-12.88</t>
  </si>
  <si>
    <t>iShares USD Treasury Bond 20+yr UCITS ETF@SELL@-13195@54273.96</t>
  </si>
  <si>
    <t>Vanguard S&amp;P 500 UCITS ETF@SELL@-22@1048.96</t>
  </si>
  <si>
    <t>16-04-2019</t>
  </si>
  <si>
    <t>11:27</t>
  </si>
  <si>
    <t>Vente 25 VANGUARD S&amp;P500@48,99 EUR (IE00B3XXRP09)</t>
  </si>
  <si>
    <t>1224,75</t>
  </si>
  <si>
    <t>-471218,44</t>
  </si>
  <si>
    <t>iShares USD Treasury Bond 20+yr UCITS ETF@COST@@-2.73</t>
  </si>
  <si>
    <t>iShares USD Treasury Bond 20+yr UCITS ETF@SELL@-900@3649.01</t>
  </si>
  <si>
    <t>15-04-2019</t>
  </si>
  <si>
    <t>13:25</t>
  </si>
  <si>
    <t>Vente 25 VANGUARD S&amp;P500@48,795 EUR (IE00B3XXRP09)</t>
  </si>
  <si>
    <t>1219,88</t>
  </si>
  <si>
    <t>-472443,19</t>
  </si>
  <si>
    <t>ETFS All Commodities@BUY@185@-1350.13</t>
  </si>
  <si>
    <t>12-04-2019</t>
  </si>
  <si>
    <t>12:48</t>
  </si>
  <si>
    <t>Vente 26 VANGUARD S&amp;P500@48,69 EUR (IE00B3XXRP09)</t>
  </si>
  <si>
    <t>1265,94</t>
  </si>
  <si>
    <t>-473663,06</t>
  </si>
  <si>
    <t>iShares USD Treasury Bond 7-10yr UCITS ETF@SELL@-8@1380.8</t>
  </si>
  <si>
    <t>11:57</t>
  </si>
  <si>
    <t>-7,26</t>
  </si>
  <si>
    <t>-474929,00</t>
  </si>
  <si>
    <t>iShares USD Treasury Bond 20+yr UCITS ETF@SELL@-10@40.41</t>
  </si>
  <si>
    <t>iShares USD Treasury Bond 20+yr UCITS ETF@COST@@-2.01</t>
  </si>
  <si>
    <t>iShares USD Treasury Bond 7-10yr UCITS ETF@SELL@-6@1019.4</t>
  </si>
  <si>
    <t>@APPROVISIONNEMENT@@-700</t>
  </si>
  <si>
    <t>@COST@@-534.72</t>
  </si>
  <si>
    <t>Vanguard S&amp;P 500 UCITS ETF@SELL@-75@3538.5</t>
  </si>
  <si>
    <t>Vanguard S&amp;P 500 UCITS ETF@SELL@-29@1363.72</t>
  </si>
  <si>
    <t>Vanguard S&amp;P 500 UCITS ETF@SELL@-1@47.04</t>
  </si>
  <si>
    <t>Vanguard S&amp;P 500 UCITS ETF@SELL@-45@2090.25</t>
  </si>
  <si>
    <t>-474921,74</t>
  </si>
  <si>
    <t>Vanguard S&amp;P 500 UCITS ETF@SELL@-38@1753.13</t>
  </si>
  <si>
    <t>-3,21</t>
  </si>
  <si>
    <t>-474919,74</t>
  </si>
  <si>
    <t>Vanguard S&amp;P 500 UCITS ETF@SELL@-14@642.83</t>
  </si>
  <si>
    <t>Achat 8 864 ISHSIV-DL T.BD20+YR DL D@4,098 EUR (IE00BSKRJZ44)</t>
  </si>
  <si>
    <t>-36324,67</t>
  </si>
  <si>
    <t>-474916,53</t>
  </si>
  <si>
    <t>ETFS All Commodities@BUY@170@-1226.21</t>
  </si>
  <si>
    <t>ETFS All Commodities@BUY@30@-216.42</t>
  </si>
  <si>
    <t>Achat 3 911 ISHSIV-DL T.BD20+YR DL D@4,0979 EUR (IE00BSKRJZ44)</t>
  </si>
  <si>
    <t>-16026,89</t>
  </si>
  <si>
    <t>-438591,86</t>
  </si>
  <si>
    <t>Vanguard S&amp;P 500 UCITS ETF@SELL@-54@2479.46</t>
  </si>
  <si>
    <t>iShares USD Treasury Bond 20+yr UCITS ETF@SELL@-270@1090.17</t>
  </si>
  <si>
    <t>11:49</t>
  </si>
  <si>
    <t>-36,45</t>
  </si>
  <si>
    <t>-422564,97</t>
  </si>
  <si>
    <t>iShares USD Treasury Bond 20+yr UCITS ETF@COST@@-2.22</t>
  </si>
  <si>
    <t>Achat 44 467 ISHSIV-DL T.BD20+YR DL D@4,098 EUR (IE00BSKRJZ44)</t>
  </si>
  <si>
    <t>-182225,77</t>
  </si>
  <si>
    <t>-422528,52</t>
  </si>
  <si>
    <t>iShares USD Treasury Bond 7-10yr UCITS ETF@SELL@-6@1023</t>
  </si>
  <si>
    <t>iShares USD Treasury Bond 20+yr UCITS ETF@SELL@-816@3289.3</t>
  </si>
  <si>
    <t>-5,63</t>
  </si>
  <si>
    <t>-240302,76</t>
  </si>
  <si>
    <t>iShares USD Treasury Bond 20+yr UCITS ETF@COST@@-2.66</t>
  </si>
  <si>
    <t>Achat 6 874 ISHSIV-DL T.BD20+YR DL D@4,098 EUR (IE00BSKRJZ44)</t>
  </si>
  <si>
    <t>-28169,65</t>
  </si>
  <si>
    <t>-240297,13</t>
  </si>
  <si>
    <t>iShares USD Treasury Bond 7-10yr UCITS ETF@SELL@-7@1189.79</t>
  </si>
  <si>
    <t>iShares USD Treasury Bond 20+yr UCITS ETF@SELL@-500@2003.03</t>
  </si>
  <si>
    <t>iShares USD Treasury Bond 20+yr UCITS ETF@COST@@-2.4</t>
  </si>
  <si>
    <t>-212127,48</t>
  </si>
  <si>
    <t>iShares USD Treasury Bond 20+yr UCITS ETF@COST@@-2.2</t>
  </si>
  <si>
    <t>-7,57</t>
  </si>
  <si>
    <t>-212125,48</t>
  </si>
  <si>
    <t>iShares USD Treasury Bond 20+yr UCITS ETF@SELL@-255@1017.88</t>
  </si>
  <si>
    <t>Achat 9 239 ISHSIV-DL T.BD20+YR DL D@4,098 EUR (IE00BSKRJZ44)</t>
  </si>
  <si>
    <t>-37861,42</t>
  </si>
  <si>
    <t>-212117,90</t>
  </si>
  <si>
    <t>Vanguard S&amp;P 500 UCITS ETF@SELL@-27@1225.15</t>
  </si>
  <si>
    <t>@APPROVISIONNEMENT@@-400</t>
  </si>
  <si>
    <t>11-04-2019</t>
  </si>
  <si>
    <t>06:50</t>
  </si>
  <si>
    <t>10-04-2019</t>
  </si>
  <si>
    <t>Operation de change - Crédit</t>
  </si>
  <si>
    <t>973,13</t>
  </si>
  <si>
    <t>-174256,48</t>
  </si>
  <si>
    <t>@COST@@-5</t>
  </si>
  <si>
    <t>Opération de change - Débit</t>
  </si>
  <si>
    <t>1,1274</t>
  </si>
  <si>
    <t>USD</t>
  </si>
  <si>
    <t>-1098,21</t>
  </si>
  <si>
    <t>0,00</t>
  </si>
  <si>
    <t>@COST@@5</t>
  </si>
  <si>
    <t>@COST@@-565.1</t>
  </si>
  <si>
    <t>Vanguard S&amp;P 500 UCITS ETF@SELL@-45@2025.81</t>
  </si>
  <si>
    <t>Vanguard S&amp;P 500 UCITS ETF@SELL@-10@447.97</t>
  </si>
  <si>
    <t>Vanguard S&amp;P 500 UCITS ETF@SELL@-8@358.38</t>
  </si>
  <si>
    <t>Vanguard S&amp;P 500 UCITS ETF@SELL@-5@223.98</t>
  </si>
  <si>
    <t>Vanguard S&amp;P 500 UCITS ETF@COST@@-3.89</t>
  </si>
  <si>
    <t>Vanguard S&amp;P 500 UCITS ETF@SELL@-213@9468.92</t>
  </si>
  <si>
    <t>Vanguard S&amp;P 500 UCITS ETF@COST@@-0.26</t>
  </si>
  <si>
    <t>Vanguard S&amp;P 500 UCITS ETF@SELL@-29@1290.09</t>
  </si>
  <si>
    <t>Vanguard S&amp;P 500 UCITS ETF@COST@@-2.01</t>
  </si>
  <si>
    <t>Vanguard S&amp;P 500 UCITS ETF@SELL@-1@44.5</t>
  </si>
  <si>
    <t>Vanguard S&amp;P 500 UCITS ETF@DIVIDEND@@-154.79</t>
  </si>
  <si>
    <t>Vanguard S&amp;P 500 UCITS ETF@DIVIDEND@@1151.07</t>
  </si>
  <si>
    <t>Vanguard S&amp;P 500 UCITS ETF@COST@@-2.29</t>
  </si>
  <si>
    <t>Vanguard S&amp;P 500 UCITS ETF@SELL@-34@1453.16</t>
  </si>
  <si>
    <t>iShares USD Treasury Bond 20+yr UCITS ETF@COST@@-2.53</t>
  </si>
  <si>
    <t>iShares USD Treasury Bond 20+yr UCITS ETF@BUY@666@-2652.35</t>
  </si>
  <si>
    <t>iShares USD Treasury Bond 7-10yr UCITS ETF@BUY@14@-2345.14</t>
  </si>
  <si>
    <t>iShares USD Treasury Bond 7-10yr UCITS ETF@COST@@-2.47</t>
  </si>
  <si>
    <t>Mkt code</t>
  </si>
  <si>
    <t>Free ETF</t>
  </si>
  <si>
    <t>Isin</t>
  </si>
  <si>
    <t>Incep Date</t>
  </si>
  <si>
    <t>Avg Return</t>
  </si>
  <si>
    <t>Div Yield</t>
  </si>
  <si>
    <t>Exp Ratio</t>
  </si>
  <si>
    <t>Change</t>
  </si>
  <si>
    <t>Div Reported</t>
  </si>
  <si>
    <t>Result</t>
  </si>
  <si>
    <t>TLT</t>
  </si>
  <si>
    <t>iShares USD Treasury Bond 7-10yr UCITS ETF@BUY@14@-2346.26</t>
  </si>
  <si>
    <t>X</t>
  </si>
  <si>
    <t>US4642874329</t>
  </si>
  <si>
    <t>iShares 20+ Year Treasury Bond ETF</t>
  </si>
  <si>
    <t>iShares USD Treasury Bond 7-10yr UCITS ETF@SELL@-7@1171.73</t>
  </si>
  <si>
    <t>iShares USD Treasury Bond 7-10yr UCITS ETF@COST@@-2.23</t>
  </si>
  <si>
    <t>Days To Maturity--</t>
  </si>
  <si>
    <t>3 Month Return2.62%</t>
  </si>
  <si>
    <t>YTD Return4.38%</t>
  </si>
  <si>
    <t>1 Year Return7.78%</t>
  </si>
  <si>
    <t>3 Year Return0.96%</t>
  </si>
  <si>
    <t>5 Year Return4.99%</t>
  </si>
  <si>
    <t>Nav (On 05/10/2019)124.83</t>
  </si>
  <si>
    <t>Total Assets (M USD) (On 05/10/2019)12,520.670</t>
  </si>
  <si>
    <t>Inception Date07/26/2002</t>
  </si>
  <si>
    <t>Premium/Discount-0.06%</t>
  </si>
  <si>
    <t>Average 52-week Premium0.05%</t>
  </si>
  <si>
    <t>Last Dividend Reported0.25891</t>
  </si>
  <si>
    <t>Dividend Indicated Gross Yield2.47%</t>
  </si>
  <si>
    <t>Front Load Fee--</t>
  </si>
  <si>
    <t>Back Load Fee--</t>
  </si>
  <si>
    <t>Redemption Fee--</t>
  </si>
  <si>
    <t>12B-1 Fee--</t>
  </si>
  <si>
    <t>Current Mgmt Fee--</t>
  </si>
  <si>
    <t>Expense Ratio0.15%</t>
  </si>
  <si>
    <t>TBF</t>
  </si>
  <si>
    <t>Vanguard S&amp;P 500 UCITS ETF@SELL@-110@4678.96</t>
  </si>
  <si>
    <t>US74347X8496</t>
  </si>
  <si>
    <t>ProShares Short 20+ Year Treasury</t>
  </si>
  <si>
    <t>3 Month Return-1.81%</t>
  </si>
  <si>
    <t>YTD Return-3.19%</t>
  </si>
  <si>
    <t>1 Year Return-5.11%</t>
  </si>
  <si>
    <t>3 Year Return-0.65%</t>
  </si>
  <si>
    <t>5 Year Return-5.70%</t>
  </si>
  <si>
    <t>Nav (On 05/10/2019)21.76</t>
  </si>
  <si>
    <t>Total Assets (M USD) (On 05/13/2019)338.348</t>
  </si>
  <si>
    <t>Inception Date08/20/2009</t>
  </si>
  <si>
    <t>Premium/Discount-0.05%</t>
  </si>
  <si>
    <t>Average 52-week Premium-0.03%</t>
  </si>
  <si>
    <t>Last Dividend Reported0.068425</t>
  </si>
  <si>
    <t>Dividend Indicated Gross Yield1.27%</t>
  </si>
  <si>
    <t>Current Mgmt Fee0.75%</t>
  </si>
  <si>
    <t>Expense Ratio0.91%</t>
  </si>
  <si>
    <t>TBT</t>
  </si>
  <si>
    <t>Vanguard S&amp;P 500 UCITS ETF@COST@@-2.94</t>
  </si>
  <si>
    <t>US74347B2016</t>
  </si>
  <si>
    <t>ProShares UltraShort 20+ Year Treasury</t>
  </si>
  <si>
    <t>3 Month Return-4.23%</t>
  </si>
  <si>
    <t>YTD Return-7.18%</t>
  </si>
  <si>
    <t>1 Year Return-11.74%</t>
  </si>
  <si>
    <t>3 Year Return-2.64%</t>
  </si>
  <si>
    <t>5 Year Return-12.19%</t>
  </si>
  <si>
    <t>Nav (On 05/10/2019)32.94</t>
  </si>
  <si>
    <t>Total Assets (M USD) (On 05/10/2019)925.958</t>
  </si>
  <si>
    <t>Inception Date05/01/2008</t>
  </si>
  <si>
    <t>Premium/Discount0.18%</t>
  </si>
  <si>
    <t>Average 52-week Premium-0.05%</t>
  </si>
  <si>
    <t>Last Dividend Reported0.113347</t>
  </si>
  <si>
    <t>Dividend Indicated Gross Yield1.40%</t>
  </si>
  <si>
    <t>Expense Ratio0.89%</t>
  </si>
  <si>
    <t>EDV</t>
  </si>
  <si>
    <t>US9219107094</t>
  </si>
  <si>
    <t>Vanguard Extended Duration Treasury ETF</t>
  </si>
  <si>
    <t>3 Month Return3.22%</t>
  </si>
  <si>
    <t>YTD Return5.52%</t>
  </si>
  <si>
    <t>1 Year Return8.88%</t>
  </si>
  <si>
    <t>3 Year Return1.05%</t>
  </si>
  <si>
    <t>5 Year Return6.76%</t>
  </si>
  <si>
    <t>Nav (On 05/10/2019)116.97</t>
  </si>
  <si>
    <t>Total Assets (M USD) (On 05/10/2019)924.063</t>
  </si>
  <si>
    <t>Inception Date12/13/2007</t>
  </si>
  <si>
    <t>Premium/Discount0.60%</t>
  </si>
  <si>
    <t>Average 52-week Premium0.50%</t>
  </si>
  <si>
    <t>Last Dividend Reported0.8203</t>
  </si>
  <si>
    <t>Dividend Indicated Gross Yield2.76%</t>
  </si>
  <si>
    <t>Current Mgmt Fee0.07%</t>
  </si>
  <si>
    <t>Expense Ratio0.07%</t>
  </si>
  <si>
    <t>3 Month Return3.98%</t>
  </si>
  <si>
    <t>YTD Return7.23%</t>
  </si>
  <si>
    <t>1 Year Return14.95%</t>
  </si>
  <si>
    <t>3 Year Return2.13%</t>
  </si>
  <si>
    <t>5 Year Return--</t>
  </si>
  <si>
    <t>Nav (On 05/10/2019)4.19</t>
  </si>
  <si>
    <t>Total Assets (M USD) (On 05/09/2019)657.085</t>
  </si>
  <si>
    <t>Inception Date01/22/2015</t>
  </si>
  <si>
    <t>Premium/Discount-0.00%</t>
  </si>
  <si>
    <t>Average 52-week Premium-0.35%</t>
  </si>
  <si>
    <t>Last Dividend Reported0.0634</t>
  </si>
  <si>
    <t>Dividend Indicated Gross Yield2.65%</t>
  </si>
  <si>
    <t>Current Mgmt Fee0.20%</t>
  </si>
  <si>
    <t>Expense Ratio0.2%</t>
  </si>
  <si>
    <t>IDTL</t>
  </si>
  <si>
    <t>3 Month Return3.13%</t>
  </si>
  <si>
    <t>YTD Return4.84%</t>
  </si>
  <si>
    <t>1 Year Return8.58%</t>
  </si>
  <si>
    <t>3 Year Return0.97%</t>
  </si>
  <si>
    <t>Nav (On 05/10/2019)4.71</t>
  </si>
  <si>
    <t>Inception Date01/21/2015</t>
  </si>
  <si>
    <t>Premium/Discount0.26%</t>
  </si>
  <si>
    <t>Average 52-week Premium0.04%</t>
  </si>
  <si>
    <t>Dividend Indicated Gross Yield2.67%</t>
  </si>
  <si>
    <t>VWO</t>
  </si>
  <si>
    <t>US9220428588</t>
  </si>
  <si>
    <t>Vanguard FTSE Emerging Markets ETF</t>
  </si>
  <si>
    <t>iShares USD Treasury Bond 20+yr UCITS ETF@COST@@-4.42</t>
  </si>
  <si>
    <t>3 Month Return1.93%</t>
  </si>
  <si>
    <t>YTD Return5.93%</t>
  </si>
  <si>
    <t>1 Year Return-7.46%</t>
  </si>
  <si>
    <t>3 Year Return10.22%</t>
  </si>
  <si>
    <t>5 Year Return2.85%</t>
  </si>
  <si>
    <t>Nav (On 05/10/2019)41.76</t>
  </si>
  <si>
    <t>Total Assets (M USD) (On 05/10/2019)63,189.270</t>
  </si>
  <si>
    <t>Inception Date03/10/2005</t>
  </si>
  <si>
    <t>Premium/Discount-0.17%</t>
  </si>
  <si>
    <t>Average 52-week Premium0.09%</t>
  </si>
  <si>
    <t>Last Dividend Reported0.0816</t>
  </si>
  <si>
    <t>Dividend Indicated Gross Yield0.81%</t>
  </si>
  <si>
    <t>Expense Ratio0.12%</t>
  </si>
  <si>
    <t>QUAL</t>
  </si>
  <si>
    <t>US46432F3394</t>
  </si>
  <si>
    <t>iShares Edge MSCI USA Quality Factor ETF</t>
  </si>
  <si>
    <t>iShares USD Treasury Bond 20+yr UCITS ETF@BUY@3038@-12116.07</t>
  </si>
  <si>
    <t>3 Month Return7.64%</t>
  </si>
  <si>
    <t>YTD Return14.63%</t>
  </si>
  <si>
    <t>1 Year Return8.78%</t>
  </si>
  <si>
    <t>3 Year Return12.90%</t>
  </si>
  <si>
    <t>5 Year Return11.58%</t>
  </si>
  <si>
    <t>Nav (On 05/10/2019)89.79</t>
  </si>
  <si>
    <t>Total Assets (M USD) (On 05/10/2019)11,156.970</t>
  </si>
  <si>
    <t>Inception Date07/18/2013</t>
  </si>
  <si>
    <t>Premium/Discount0.04%</t>
  </si>
  <si>
    <t>Average 52-week Premium0.01%</t>
  </si>
  <si>
    <t>Last Dividend Reported0.353689</t>
  </si>
  <si>
    <t>Dividend Indicated Gross Yield1.61%</t>
  </si>
  <si>
    <t>Current Mgmt Fee0.15%</t>
  </si>
  <si>
    <t>SCHD</t>
  </si>
  <si>
    <t>US8085247976</t>
  </si>
  <si>
    <t>Schwab US Dividend Equity ETF</t>
  </si>
  <si>
    <t>iShares USD Treasury Bond 7-10yr UCITS ETF@BUY@14@-2345</t>
  </si>
  <si>
    <t>3 Month Return5.68%</t>
  </si>
  <si>
    <t>YTD Return10.50%</t>
  </si>
  <si>
    <t>1 Year Return10.79%</t>
  </si>
  <si>
    <t>3 Year Return12.26%</t>
  </si>
  <si>
    <t>5 Year Return10.11%</t>
  </si>
  <si>
    <t>Nav (On 05/10/2019)52.65</t>
  </si>
  <si>
    <t>Total Assets (M USD) (On 05/10/2019)9,321.275</t>
  </si>
  <si>
    <t>Inception Date10/20/2011</t>
  </si>
  <si>
    <t>Last Dividend Reported0.352</t>
  </si>
  <si>
    <t>Dividend Indicated Gross Yield2.73%</t>
  </si>
  <si>
    <t>Current Mgmt Fee0.06%</t>
  </si>
  <si>
    <t>Expense Ratio0.06%</t>
  </si>
  <si>
    <t>SPY</t>
  </si>
  <si>
    <t>US78462F1030</t>
  </si>
  <si>
    <t>SPDR S&amp;P 500 ETF Trust</t>
  </si>
  <si>
    <t>@APPROVISIONNEMENT@@-1500</t>
  </si>
  <si>
    <t>3 Month Return6.99%</t>
  </si>
  <si>
    <t>YTD Return12.87%</t>
  </si>
  <si>
    <t>1 Year Return7.98%</t>
  </si>
  <si>
    <t>3 Year Return13.59%</t>
  </si>
  <si>
    <t>5 Year Return11.09%</t>
  </si>
  <si>
    <t>Nav (On 05/10/2019)287.93</t>
  </si>
  <si>
    <t>Total Assets (M USD) (On 05/10/2019)264,427.688</t>
  </si>
  <si>
    <t>Inception Date01/22/1993</t>
  </si>
  <si>
    <t>Premium/Discount0.06%</t>
  </si>
  <si>
    <t>Average 52-week Premium0.00%</t>
  </si>
  <si>
    <t>Last Dividend Reported1.233119</t>
  </si>
  <si>
    <t>Dividend Indicated Gross Yield1.76%</t>
  </si>
  <si>
    <t>12B-1 Fee0.01%</t>
  </si>
  <si>
    <t>Current Mgmt Fee0.09%</t>
  </si>
  <si>
    <t>Expense Ratio0.095%</t>
  </si>
  <si>
    <t>VOO</t>
  </si>
  <si>
    <t>US9229083632</t>
  </si>
  <si>
    <t>Vanguard S&amp;P 500 ETF</t>
  </si>
  <si>
    <t>@COST@@-534.69</t>
  </si>
  <si>
    <t>3 Month Return6.97%</t>
  </si>
  <si>
    <t>YTD Return12.90%</t>
  </si>
  <si>
    <t>1 Year Return8.03%</t>
  </si>
  <si>
    <t>3 Year Return13.66%</t>
  </si>
  <si>
    <t>5 Year Return11.15%</t>
  </si>
  <si>
    <t>Nav (On 05/10/2019)264.43</t>
  </si>
  <si>
    <t>Total Assets (M USD) (On 05/10/2019)110,930.766</t>
  </si>
  <si>
    <t>Inception Date09/09/2010</t>
  </si>
  <si>
    <t>Premium/Discount0.03%</t>
  </si>
  <si>
    <t>Last Dividend Reported1.4551</t>
  </si>
  <si>
    <t>Dividend Indicated Gross Yield2.26%</t>
  </si>
  <si>
    <t>Current Mgmt Fee0.04%</t>
  </si>
  <si>
    <t>Expense Ratio0.03%</t>
  </si>
  <si>
    <t>SCHB</t>
  </si>
  <si>
    <t>US8085241029</t>
  </si>
  <si>
    <t>Schwab US Broad Market ETF</t>
  </si>
  <si>
    <t>ETFS All Commodities@BUY@300@-2046</t>
  </si>
  <si>
    <t>3 Month Return6.65%</t>
  </si>
  <si>
    <t>YTD Return13.29%</t>
  </si>
  <si>
    <t>1 Year Return7.16%</t>
  </si>
  <si>
    <t>3 Year Return13.62%</t>
  </si>
  <si>
    <t>5 Year Return10.75%</t>
  </si>
  <si>
    <t>Nav (On 05/10/2019)69.34</t>
  </si>
  <si>
    <t>Total Assets (M USD) (On 05/10/2019)14,551.330</t>
  </si>
  <si>
    <t>Inception Date11/03/2009</t>
  </si>
  <si>
    <t>Last Dividend Reported0.2777</t>
  </si>
  <si>
    <t>Dividend Indicated Gross Yield1.64%</t>
  </si>
  <si>
    <t>Current Mgmt Fee0.03%</t>
  </si>
  <si>
    <t>ITOT</t>
  </si>
  <si>
    <t>US4642871507</t>
  </si>
  <si>
    <t>iShares Core S&amp;P Total US Stock Market ETF</t>
  </si>
  <si>
    <t>Vanguard S&amp;P 500 UCITS ETF@BUY@74@-3045.1</t>
  </si>
  <si>
    <t>3 Month Return6.61%</t>
  </si>
  <si>
    <t>YTD Return13.18%</t>
  </si>
  <si>
    <t>1 Year Return7.14%</t>
  </si>
  <si>
    <t>3 Year Return13.65%</t>
  </si>
  <si>
    <t>5 Year Return10.91%</t>
  </si>
  <si>
    <t>Nav (On 05/10/2019)65.64</t>
  </si>
  <si>
    <t>Total Assets (M USD) (On 05/10/2019)19,833.289</t>
  </si>
  <si>
    <t>Inception Date01/23/2004</t>
  </si>
  <si>
    <t>Average 52-week Premium0.02%</t>
  </si>
  <si>
    <t>Last Dividend Reported0.239244</t>
  </si>
  <si>
    <t>Dividend Indicated Gross Yield1.50%</t>
  </si>
  <si>
    <t>VTI</t>
  </si>
  <si>
    <t>US9229087690</t>
  </si>
  <si>
    <t>Vanguard Total Stock Market ETF</t>
  </si>
  <si>
    <t>@COST@@-0.04</t>
  </si>
  <si>
    <t>3 Month Return6.73%</t>
  </si>
  <si>
    <t>YTD Return13.28%</t>
  </si>
  <si>
    <t>1 Year Return7.33%</t>
  </si>
  <si>
    <t>3 Year Return13.72%</t>
  </si>
  <si>
    <t>5 Year Return10.82%</t>
  </si>
  <si>
    <t>Nav (On 05/10/2019)147.47</t>
  </si>
  <si>
    <t>Total Assets (M USD) (On 05/10/2019)113,424.781</t>
  </si>
  <si>
    <t>Inception Date05/31/2001</t>
  </si>
  <si>
    <t>Last Dividend Reported0.772</t>
  </si>
  <si>
    <t>Dividend Indicated Gross Yield2.15%</t>
  </si>
  <si>
    <t>USMV</t>
  </si>
  <si>
    <t>US46429B6974</t>
  </si>
  <si>
    <t>iShares Edge MSCI Min Vol USA ETF</t>
  </si>
  <si>
    <t>iShares USD Treasury Bond 20+yr UCITS ETF@DIVIDEND@@-618.490000000001</t>
  </si>
  <si>
    <t>3 Month Return6.46%</t>
  </si>
  <si>
    <t>YTD Return12.62%</t>
  </si>
  <si>
    <t>1 Year Return15.07%</t>
  </si>
  <si>
    <t>3 Year Return12.16%</t>
  </si>
  <si>
    <t>5 Year Return12.49%</t>
  </si>
  <si>
    <t>Nav (On 05/10/2019)59.45</t>
  </si>
  <si>
    <t>Total Assets (M USD) (On 05/10/2019)25,724.880</t>
  </si>
  <si>
    <t>Premium/Discount--</t>
  </si>
  <si>
    <t>Last Dividend Reported0.236344</t>
  </si>
  <si>
    <t>VYM</t>
  </si>
  <si>
    <t>US9219464065</t>
  </si>
  <si>
    <t>Vanguard High Dividend Yield ETF</t>
  </si>
  <si>
    <t>iShares USD Treasury Bond 20+yr UCITS ETF@DIVIDEND@@4867.15</t>
  </si>
  <si>
    <t>3 Month Return4.84%</t>
  </si>
  <si>
    <t>YTD Return9.52%</t>
  </si>
  <si>
    <t>1 Year Return6.18%</t>
  </si>
  <si>
    <t>3 Year Return10.61%</t>
  </si>
  <si>
    <t>5 Year Return9.43%</t>
  </si>
  <si>
    <t>Nav (On 05/10/2019)86.32</t>
  </si>
  <si>
    <t>Total Assets (M USD) (On 05/10/2019)23,469.720</t>
  </si>
  <si>
    <t>Inception Date11/16/2006</t>
  </si>
  <si>
    <t>Last Dividend Reported0.6516</t>
  </si>
  <si>
    <t>Dividend Indicated Gross Yield3.08%</t>
  </si>
  <si>
    <t>Current Mgmt Fee0.05%</t>
  </si>
  <si>
    <t>IWV</t>
  </si>
  <si>
    <t>US4642876894</t>
  </si>
  <si>
    <t>iShares Russell 3000 ETF</t>
  </si>
  <si>
    <t>iShares USD Treasury Bond 7-10yr UCITS ETF@SELL@-2@333.96</t>
  </si>
  <si>
    <t>3 Month Return6.75%</t>
  </si>
  <si>
    <t>YTD Return13.15%</t>
  </si>
  <si>
    <t>1 Year Return7.11%</t>
  </si>
  <si>
    <t>3 Year Return13.52%</t>
  </si>
  <si>
    <t>5 Year Return10.66%</t>
  </si>
  <si>
    <t>Nav (On 05/10/2019)169.94</t>
  </si>
  <si>
    <t>Total Assets (M USD) (On 05/10/2019)9,295.958</t>
  </si>
  <si>
    <t>Inception Date05/26/2000</t>
  </si>
  <si>
    <t>Premium/Discount0.07%</t>
  </si>
  <si>
    <t>Average 52-week Premium-0.00%</t>
  </si>
  <si>
    <t>Last Dividend Reported0.612851</t>
  </si>
  <si>
    <t>Dividend Indicated Gross Yield1.48%</t>
  </si>
  <si>
    <t>SCHR</t>
  </si>
  <si>
    <t>US8085248545</t>
  </si>
  <si>
    <t>Schwab Intermediate-Term U.S. Treasury ETF</t>
  </si>
  <si>
    <t>iShares USD Treasury Bond 7-10yr UCITS ETF@SELL@-5@834.9</t>
  </si>
  <si>
    <t>3 Month Return1.61%</t>
  </si>
  <si>
    <t>YTD Return2.44%</t>
  </si>
  <si>
    <t>1 Year Return5.70%</t>
  </si>
  <si>
    <t>3 Year Return0.82%</t>
  </si>
  <si>
    <t>5 Year Return1.99%</t>
  </si>
  <si>
    <t>Nav (On 05/10/2019)53.62</t>
  </si>
  <si>
    <t>Total Assets (M USD) (On 05/10/2019)3,983.815</t>
  </si>
  <si>
    <t>Inception Date08/05/2010</t>
  </si>
  <si>
    <t>Premium/Discount-0.03%</t>
  </si>
  <si>
    <t>Last Dividend Reported0.1075</t>
  </si>
  <si>
    <t>Dividend Indicated Gross Yield2.40%</t>
  </si>
  <si>
    <t>iShares USD Treasury Bond 7-10yr UCITS ETF@SELL@-9@1502.55</t>
  </si>
  <si>
    <t>3 Month Return6.66%</t>
  </si>
  <si>
    <t>YTD Return15.00%</t>
  </si>
  <si>
    <t>1 Year Return12.08%</t>
  </si>
  <si>
    <t>3 Year Return13.19%</t>
  </si>
  <si>
    <t>5 Year Return15.01%</t>
  </si>
  <si>
    <t>Nav (On 05/10/2019)48.68</t>
  </si>
  <si>
    <t>Total Assets (M USD) (On 05/10/2019)22,434.234</t>
  </si>
  <si>
    <t>Inception Date05/22/2012</t>
  </si>
  <si>
    <t>Premium/Discount-1.78%</t>
  </si>
  <si>
    <t>Last Dividend Reported0.23471</t>
  </si>
  <si>
    <t>IUSA</t>
  </si>
  <si>
    <t>IE0031442068</t>
  </si>
  <si>
    <t>iShares Core S&amp;P 500 UCITS ETF USD Dist</t>
  </si>
  <si>
    <t>ETFS Physical Gold</t>
  </si>
  <si>
    <t>ETFS Physical Gold@SELL@-11@1172.6</t>
  </si>
  <si>
    <t>3 Month Return6.63%</t>
  </si>
  <si>
    <t>YTD Return15.03%</t>
  </si>
  <si>
    <t>1 Year Return12.07%</t>
  </si>
  <si>
    <t>3 Year Return13.11%</t>
  </si>
  <si>
    <t>5 Year Return14.82%</t>
  </si>
  <si>
    <t>Nav (On 05/10/2019)25.56</t>
  </si>
  <si>
    <t>Total Assets (M USD) (On 05/10/2019)8,718.495</t>
  </si>
  <si>
    <t>Inception Date07/02/2004</t>
  </si>
  <si>
    <t>Premium/Discount-1.82%</t>
  </si>
  <si>
    <t>Last Dividend Reported0.1168</t>
  </si>
  <si>
    <t>Dividend Indicated Gross Yield1.58%</t>
  </si>
  <si>
    <t>IEF</t>
  </si>
  <si>
    <t>US4642874402</t>
  </si>
  <si>
    <t>iShares 7-10 Year Treasury Bond ETF</t>
  </si>
  <si>
    <t>iShares USD Treasury Bond 20+yr UCITS ETF@COST@@-2.28</t>
  </si>
  <si>
    <t>3 Month Return2.05%</t>
  </si>
  <si>
    <t>YTD Return3.18%</t>
  </si>
  <si>
    <t>1 Year Return7.22%</t>
  </si>
  <si>
    <t>3 Year Return0.64%</t>
  </si>
  <si>
    <t>5 Year Return2.66%</t>
  </si>
  <si>
    <t>Nav (On 05/10/2019)106.16</t>
  </si>
  <si>
    <t>Total Assets (M USD) (On 05/10/2019)13,269.710</t>
  </si>
  <si>
    <t>Premium/Discount-0.04%</t>
  </si>
  <si>
    <t>Average 52-week Premium0.03%</t>
  </si>
  <si>
    <t>Last Dividend Reported0.211512</t>
  </si>
  <si>
    <t>Dividend Indicated Gross Yield2.38%</t>
  </si>
  <si>
    <t>VGIT</t>
  </si>
  <si>
    <t>US92206C7065</t>
  </si>
  <si>
    <t>Vanguard Intermediate-Term Treasury ETF</t>
  </si>
  <si>
    <t>iShares USD Treasury Bond 20+yr UCITS ETF@SELL@-355@1405.1</t>
  </si>
  <si>
    <t>3 Month Return1.63%</t>
  </si>
  <si>
    <t>YTD Return2.48%</t>
  </si>
  <si>
    <t>1 Year Return5.77%</t>
  </si>
  <si>
    <t>3 Year Return0.83%</t>
  </si>
  <si>
    <t>5 Year Return1.97%</t>
  </si>
  <si>
    <t>Nav (On 05/10/2019)64.25</t>
  </si>
  <si>
    <t>Total Assets (M USD) (On 05/10/2019)3,768.198</t>
  </si>
  <si>
    <t>Inception Date11/23/2009</t>
  </si>
  <si>
    <t>Last Dividend Reported0.1244</t>
  </si>
  <si>
    <t>Dividend Indicated Gross Yield2.31%</t>
  </si>
  <si>
    <t>iShares USD Treasury Bond 20+yr UCITS ETF@COST@@-0.55</t>
  </si>
  <si>
    <t>3 Month Return2.95%</t>
  </si>
  <si>
    <t>YTD Return5.79%</t>
  </si>
  <si>
    <t>1 Year Return13.77%</t>
  </si>
  <si>
    <t>3 Year Return1.17%</t>
  </si>
  <si>
    <t>5 Year Return6.91%</t>
  </si>
  <si>
    <t>Nav (On 05/10/2019)175.31</t>
  </si>
  <si>
    <t>Total Assets (M USD) (On 05/10/2019)3,400.176</t>
  </si>
  <si>
    <t>Inception Date11/21/2008</t>
  </si>
  <si>
    <t>Premium/Discount0.20%</t>
  </si>
  <si>
    <t>Last Dividend Reported2.5263</t>
  </si>
  <si>
    <t>Dividend Indicated Gross Yield2.50%</t>
  </si>
  <si>
    <t>DBC</t>
  </si>
  <si>
    <t>US73935S1050</t>
  </si>
  <si>
    <t>Invesco DB Commodity Index Tracking Fund</t>
  </si>
  <si>
    <t>iShares USD Treasury Bond 20+yr UCITS ETF@SELL@-691@2733.44</t>
  </si>
  <si>
    <t>3 Month Return1.29%</t>
  </si>
  <si>
    <t>YTD Return7.73%</t>
  </si>
  <si>
    <t>1 Year Return-11.59%</t>
  </si>
  <si>
    <t>3 Year Return3.95%</t>
  </si>
  <si>
    <t>5 Year Return-9.43%</t>
  </si>
  <si>
    <t>Nav (On 05/10/2019)15.68</t>
  </si>
  <si>
    <t>Total Assets (M USD) (On 05/10/2019)1,702.941</t>
  </si>
  <si>
    <t>Inception Date02/03/2006</t>
  </si>
  <si>
    <t>Last Dividend Reported0.18853</t>
  </si>
  <si>
    <t>Dividend Indicated Gross Yield1.21%</t>
  </si>
  <si>
    <t>Current Mgmt Fee0.85%</t>
  </si>
  <si>
    <t>GSG</t>
  </si>
  <si>
    <t>ETFS Physical Gold@SELL@-10@1056.5</t>
  </si>
  <si>
    <t>US46428R1077</t>
  </si>
  <si>
    <t>iShares S&amp;P GSCI Commodity Indexed Trust</t>
  </si>
  <si>
    <t>3 Month Return5.82%</t>
  </si>
  <si>
    <t>YTD Return13.12%</t>
  </si>
  <si>
    <t>1 Year Return-10.61%</t>
  </si>
  <si>
    <t>3 Year Return2.65%</t>
  </si>
  <si>
    <t>5 Year Return-13.45%</t>
  </si>
  <si>
    <t>Nav (On 05/10/2019)16.02</t>
  </si>
  <si>
    <t>Total Assets (M USD) (On 05/10/2019)1,129.523</t>
  </si>
  <si>
    <t>Inception Date07/21/2006</t>
  </si>
  <si>
    <t>Last Dividend Reported--</t>
  </si>
  <si>
    <t>Dividend Indicated Gross Yield--</t>
  </si>
  <si>
    <t>Expense Ratio0.75%</t>
  </si>
  <si>
    <t>USCI</t>
  </si>
  <si>
    <t>US9117171069</t>
  </si>
  <si>
    <t>United States Commodity Index Fund</t>
  </si>
  <si>
    <t>iShares USD Treasury Bond 7-10yr UCITS ETF@SELL@-10@1665.5</t>
  </si>
  <si>
    <t>3 Month Return-3.24%</t>
  </si>
  <si>
    <t>YTD Return-1.60%</t>
  </si>
  <si>
    <t>1 Year Return-16.45%</t>
  </si>
  <si>
    <t>3 Year Return-3.62%</t>
  </si>
  <si>
    <t>5 Year Return-9.05%</t>
  </si>
  <si>
    <t>Nav (On 05/10/2019)37.40</t>
  </si>
  <si>
    <t>Total Assets (M USD) (On 05/10/2019)396.402</t>
  </si>
  <si>
    <t>Inception Date08/10/2010</t>
  </si>
  <si>
    <t>Average 52-week Premium-0.06%</t>
  </si>
  <si>
    <t>Current Mgmt Fee0.80%</t>
  </si>
  <si>
    <t>Expense Ratio1.11%</t>
  </si>
  <si>
    <t>DJP</t>
  </si>
  <si>
    <t>US06738C7781</t>
  </si>
  <si>
    <t>iPath Bloomberg Commodity Index Total Return ETN</t>
  </si>
  <si>
    <t>Vanguard S&amp;P 500 UCITS ETF@BUY@100@-4163</t>
  </si>
  <si>
    <t>3 Month Return-1.48%</t>
  </si>
  <si>
    <t>YTD Return2.64%</t>
  </si>
  <si>
    <t>1 Year Return-13.32%</t>
  </si>
  <si>
    <t>3 Year Return-1.55%</t>
  </si>
  <si>
    <t>5 Year Return-11.26%</t>
  </si>
  <si>
    <t>Nav (On 05/10/2019)21.92</t>
  </si>
  <si>
    <t>Total Assets (M USD) (On 05/10/2019)713.487</t>
  </si>
  <si>
    <t>Inception Date06/06/2006</t>
  </si>
  <si>
    <t>Premium/Discount0.05%</t>
  </si>
  <si>
    <t>Average 52-week Premium-0.02%</t>
  </si>
  <si>
    <t>Current Mgmt Fee0.70%</t>
  </si>
  <si>
    <t>Expense Ratio0.7%</t>
  </si>
  <si>
    <t>Vanguard S&amp;P 500 UCITS ETF@COST@@-2.83</t>
  </si>
  <si>
    <t>3 Month Return-0.70%</t>
  </si>
  <si>
    <t>YTD Return3.23%</t>
  </si>
  <si>
    <t>1 Year Return-7.30%</t>
  </si>
  <si>
    <t>3 Year Return-1.02%</t>
  </si>
  <si>
    <t>5 Year Return-6.84%</t>
  </si>
  <si>
    <t>Nav (On 05/10/2019)7.13</t>
  </si>
  <si>
    <t>Total Assets (M USD) (On 05/10/2019)207.284</t>
  </si>
  <si>
    <t>Inception Date02/28/2007</t>
  </si>
  <si>
    <t>Premium/Discount0.09%</t>
  </si>
  <si>
    <t>Current Mgmt Fee0.49%</t>
  </si>
  <si>
    <t>Expense Ratio0.49%</t>
  </si>
  <si>
    <t>EXXY</t>
  </si>
  <si>
    <t>DE000A0H0728</t>
  </si>
  <si>
    <t>iShares Diversified Commodity Swap UCITS ETF DE</t>
  </si>
  <si>
    <t>iShares USD Treasury Bond 20+yr UCITS ETF@COST@@-2.43</t>
  </si>
  <si>
    <t>3 Month Return-0.79%</t>
  </si>
  <si>
    <t>YTD Return3.36%</t>
  </si>
  <si>
    <t>1 Year Return-6.70%</t>
  </si>
  <si>
    <t>3 Year Return-0.69%</t>
  </si>
  <si>
    <t>5 Year Return-6.74%</t>
  </si>
  <si>
    <t>Nav (On Invalid date)27.29</t>
  </si>
  <si>
    <t>Total Assets (M EUR) (On 05/10/2019)295.660</t>
  </si>
  <si>
    <t>Inception Date08/07/2007</t>
  </si>
  <si>
    <t>Average 52-week Premium--</t>
  </si>
  <si>
    <t>Last Dividend Reported0.000423</t>
  </si>
  <si>
    <t>Expense Ratio0.46%</t>
  </si>
  <si>
    <t>OUNZ</t>
  </si>
  <si>
    <t>US9210781012</t>
  </si>
  <si>
    <t>VanEck Merk Gold Shares</t>
  </si>
  <si>
    <t>iShares USD Treasury Bond 20+yr UCITS ETF@SELL@-544@2160.24</t>
  </si>
  <si>
    <t>3 Month Return-2.32%</t>
  </si>
  <si>
    <t>YTD Return1.19%</t>
  </si>
  <si>
    <t>1 Year Return-3.07%</t>
  </si>
  <si>
    <t>3 Year Return0.09%</t>
  </si>
  <si>
    <t>Nav (On 05/13/2019)12.70</t>
  </si>
  <si>
    <t>Total Assets (M USD) (On 05/13/2019)145.822</t>
  </si>
  <si>
    <t>Inception Date05/16/2014</t>
  </si>
  <si>
    <t>Premium/Discount0.28%</t>
  </si>
  <si>
    <t>Current Mgmt Fee0.40%</t>
  </si>
  <si>
    <t>Expense Ratio0.4%</t>
  </si>
  <si>
    <t>IAU</t>
  </si>
  <si>
    <t>iShares USD Treasury Bond 20+yr UCITS ETF@COST@@-3.41</t>
  </si>
  <si>
    <t>US4642851053</t>
  </si>
  <si>
    <t>iShares Gold Trust</t>
  </si>
  <si>
    <t>3 Month Return-2.14%</t>
  </si>
  <si>
    <t>YTD Return1.22%</t>
  </si>
  <si>
    <t>1 Year Return-2.76%</t>
  </si>
  <si>
    <t>3 Year Return0.27%</t>
  </si>
  <si>
    <t>5 Year Return-0.29%</t>
  </si>
  <si>
    <t>Nav (On 05/10/2019)12.32</t>
  </si>
  <si>
    <t>Total Assets (M USD) (On 05/10/2019)11,852.740</t>
  </si>
  <si>
    <t>Inception Date01/28/2005</t>
  </si>
  <si>
    <t>Current Mgmt Fee0.25%</t>
  </si>
  <si>
    <t>Expense Ratio0.25%</t>
  </si>
  <si>
    <t>SGOL</t>
  </si>
  <si>
    <t>US26922Y1055</t>
  </si>
  <si>
    <t>Aberdeen Standard Physical Swiss Gold Shares ETF</t>
  </si>
  <si>
    <t>iShares USD Treasury Bond 20+yr UCITS ETF@SELL@-1760@7013.08</t>
  </si>
  <si>
    <t>3 Month Return-2.20%</t>
  </si>
  <si>
    <t>YTD Return1.27%</t>
  </si>
  <si>
    <t>1 Year Return-2.90%</t>
  </si>
  <si>
    <t>3 Year Return0.14%</t>
  </si>
  <si>
    <t>5 Year Return-0.42%</t>
  </si>
  <si>
    <t>Nav (On 05/10/2019)124.06</t>
  </si>
  <si>
    <t>Total Assets (M USD) (On 05/10/2019)849.802</t>
  </si>
  <si>
    <t>Inception Date09/09/2009</t>
  </si>
  <si>
    <t>Premium/Discount-0.08%</t>
  </si>
  <si>
    <t>Average 52-week Premium-0.01%</t>
  </si>
  <si>
    <t>Current Mgmt Fee0.17%</t>
  </si>
  <si>
    <t>Expense Ratio0.17%</t>
  </si>
  <si>
    <t>GLD</t>
  </si>
  <si>
    <t>US78463V1070</t>
  </si>
  <si>
    <t>SPDR Gold Shares</t>
  </si>
  <si>
    <t>iShares USD Treasury Bond 20+yr UCITS ETF@COST@@-2.92</t>
  </si>
  <si>
    <t>3 Month Return-2.24%</t>
  </si>
  <si>
    <t>YTD Return1.17%</t>
  </si>
  <si>
    <t>1 Year Return-3.00%</t>
  </si>
  <si>
    <t>3 Year Return0.12%</t>
  </si>
  <si>
    <t>5 Year Return-0.43%</t>
  </si>
  <si>
    <t>Nav (On 05/10/2019)121.50</t>
  </si>
  <si>
    <t>Total Assets (M USD) (On 05/10/2019)30,338.830</t>
  </si>
  <si>
    <t>Inception Date11/18/2004</t>
  </si>
  <si>
    <t>DGL</t>
  </si>
  <si>
    <t>US73936B6065</t>
  </si>
  <si>
    <t>Invesco DB Gold Fund</t>
  </si>
  <si>
    <t>iShares USD Treasury Bond 20+yr UCITS ETF@SELL@-1177@4613</t>
  </si>
  <si>
    <t>3 Month Return-2.54%</t>
  </si>
  <si>
    <t>YTD Return0.68%</t>
  </si>
  <si>
    <t>1 Year Return-4.13%</t>
  </si>
  <si>
    <t>3 Year Return-1.14%</t>
  </si>
  <si>
    <t>5 Year Return-1.47%</t>
  </si>
  <si>
    <t>Nav (On 05/10/2019)39.44</t>
  </si>
  <si>
    <t>Total Assets (M USD) (On 05/10/2019)102.543</t>
  </si>
  <si>
    <t>Inception Date01/05/2007</t>
  </si>
  <si>
    <t>Premium/Discount-0.10%</t>
  </si>
  <si>
    <t>Last Dividend Reported0.57908</t>
  </si>
  <si>
    <t>Dividend Indicated Gross Yield1.45%</t>
  </si>
  <si>
    <t>Expense Ratio0.78%</t>
  </si>
  <si>
    <t>JE00B1VS3770</t>
  </si>
  <si>
    <t>3 Month Return-1.37%</t>
  </si>
  <si>
    <t>YTD Return2.92%</t>
  </si>
  <si>
    <t>1 Year Return2.97%</t>
  </si>
  <si>
    <t>3 Year Return0.80%</t>
  </si>
  <si>
    <t>5 Year Return3.73%</t>
  </si>
  <si>
    <t>Nav (On 05/10/2019)109.21</t>
  </si>
  <si>
    <t>Total Assets (M USD) (On 05/10/2019)6,457.981</t>
  </si>
  <si>
    <t>Inception Date05/10/2007</t>
  </si>
  <si>
    <t>Premium/Discount0.08%</t>
  </si>
  <si>
    <t>iShares USD Treasury Bond 7-10yr UCITS ETF@SELL@-15@2494.5</t>
  </si>
  <si>
    <t>Current Mgmt Fee0.39%</t>
  </si>
  <si>
    <t>Expense Ratio0.39%</t>
  </si>
  <si>
    <t>GBS</t>
  </si>
  <si>
    <t>DE000A0LP781</t>
  </si>
  <si>
    <t>Gold Bullion Securities Ltd</t>
  </si>
  <si>
    <t>3 Month Return-1.36%</t>
  </si>
  <si>
    <t>YTD Return2.93%</t>
  </si>
  <si>
    <t>1 Year Return2.94%</t>
  </si>
  <si>
    <t>3 Year Return0.76%</t>
  </si>
  <si>
    <t>5 Year Return3.70%</t>
  </si>
  <si>
    <t>Nav (On 05/10/2019)107.61</t>
  </si>
  <si>
    <t>Total Assets (M USD) (On 05/10/2019)3,220.398</t>
  </si>
  <si>
    <t>Inception Date11/07/2005</t>
  </si>
  <si>
    <t>EUR-USD X-RATE</t>
  </si>
  <si>
    <t>ETFS Physical Gold@SELL@-10@1048.3</t>
  </si>
  <si>
    <t>OK</t>
  </si>
  <si>
    <t>Vanguard S&amp;P 500 UCITS ETF@BUY@48@-2081.28</t>
  </si>
  <si>
    <t>Vanguard S&amp;P 500 UCITS ETF@COST@@-2.42</t>
  </si>
  <si>
    <t>Vanguard S&amp;P 500 UCITS ETF@BUY@60@-2602.2</t>
  </si>
  <si>
    <t>Margin available</t>
  </si>
  <si>
    <t>Monetary fund</t>
  </si>
  <si>
    <t>Vanguard S&amp;P 500 UCITS ETF@COST@@-2.52</t>
  </si>
  <si>
    <t>Portfolio value</t>
  </si>
  <si>
    <t>Portfolio risk</t>
  </si>
  <si>
    <t>Credit available</t>
  </si>
  <si>
    <t>Gage value</t>
  </si>
  <si>
    <t>MARGIN</t>
  </si>
  <si>
    <t>Vanguard S&amp;P 500 UCITS ETF@BUY@88@-3845.6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</si>
  <si>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</si>
  <si>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</si>
  <si>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</si>
  <si>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</si>
  <si>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</si>
  <si>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</si>
  <si>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Vanguard S&amp;P 500 UCITS ETF@COST@@-2.77</t>
  </si>
  <si>
    <t>Vanguard S&amp;P 500 UCITS ETF@SELL@-190@8434.1</t>
  </si>
  <si>
    <t>Allocation</t>
  </si>
  <si>
    <t>Ratio</t>
  </si>
  <si>
    <t>Interest</t>
  </si>
  <si>
    <t>Income</t>
  </si>
  <si>
    <t>Vanguard S&amp;P 500 UCITS ETF@COST@@-3.69</t>
  </si>
  <si>
    <t>Vanguard S&amp;P 500 UCITS ETF@BUY@91@-4070.88</t>
  </si>
  <si>
    <t>ETFS All Commodities@BUY@255@-1876.04</t>
  </si>
  <si>
    <t>iShares USD Treasury Bond 20+yr UCITS ETF@COST@@-2.31</t>
  </si>
  <si>
    <t>iShares USD Treasury Bond 20+yr UCITS ETF@SELL@-392@1542.58</t>
  </si>
  <si>
    <t>Vanguard S&amp;P 500 UCITS ETF@BUY@236@-10520.41</t>
  </si>
  <si>
    <t>@COST@@-579.07</t>
  </si>
  <si>
    <t>iShares USD Treasury Bond 7-10yr UCITS ETF@DIVIDEND@@-204.87</t>
  </si>
  <si>
    <t>Is Expense</t>
  </si>
  <si>
    <t>PRLV SEPA CA CONSUMER FINANCE</t>
  </si>
  <si>
    <t>iShares USD Treasury Bond 7-10yr UCITS ETF@COST@@5.07</t>
  </si>
  <si>
    <t>VIR SEPA STICHTING DEGIRO</t>
  </si>
  <si>
    <t>VIR SEPA M LORTHIOIS BRUNO</t>
  </si>
  <si>
    <t>CARTE 03/05/19 66 SYLVIE BLACHON CB*9987</t>
  </si>
  <si>
    <t>VIR SEPA Century 21</t>
  </si>
  <si>
    <t>VIR SEPA CAF DES YVELINES</t>
  </si>
  <si>
    <t>VIR SEPA POLE EMPLOI DR IDF ALLOCATAIRE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</si>
  <si>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</si>
  <si>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</si>
  <si>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</si>
  <si>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</si>
  <si>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</si>
  <si>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</si>
  <si>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Virement interne</t>
  </si>
  <si>
    <t>Hon*PP*Honnold Foundat</t>
  </si>
  <si>
    <t>VIR SEPA DEFROCOURT Florian</t>
  </si>
  <si>
    <t>iShares USD Treasury Bond 7-10yr UCITS ETF@DIVIDEND@@1663.14</t>
  </si>
  <si>
    <t>VIR Virement instantane de MR DEFROCOUR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</si>
  <si>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</si>
  <si>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</si>
  <si>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</si>
  <si>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</si>
  <si>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</si>
  <si>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</si>
  <si>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</si>
  <si>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</si>
  <si>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</si>
  <si>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</si>
  <si>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</si>
  <si>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</si>
  <si>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</si>
  <si>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</si>
  <si>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</si>
  <si>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</si>
  <si>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</si>
  <si>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</si>
  <si>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</si>
  <si>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</si>
  <si>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</si>
  <si>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</si>
  <si>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</si>
  <si>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</si>
  <si>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SEPA C.P.A.M. NIMES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</si>
  <si>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</si>
  <si>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</si>
  <si>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</si>
  <si>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</si>
  <si>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</si>
  <si>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</si>
  <si>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</si>
  <si>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VIR SEPA Florian Defrocourt</t>
  </si>
  <si>
    <t>LAWSON</t>
  </si>
  <si>
    <t>Vanguard S&amp;P 500 UCITS ETF@SELL@-25@1142.5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</si>
  <si>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</si>
  <si>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</si>
  <si>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</si>
  <si>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</si>
  <si>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</si>
  <si>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</si>
  <si>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</si>
  <si>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</si>
  <si>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</si>
  <si>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</si>
  <si>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</si>
  <si>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</si>
  <si>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</si>
  <si>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Vanguard S&amp;P 500 UCITS ETF@COST@@-2.23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</si>
  <si>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</si>
  <si>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</si>
  <si>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</si>
  <si>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</si>
  <si>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</si>
  <si>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</si>
  <si>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</si>
  <si>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</si>
  <si>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</si>
  <si>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</si>
  <si>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</si>
  <si>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</si>
  <si>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</si>
  <si>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</si>
  <si>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</si>
  <si>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ETFS All Commodities@BUY@214@-1551.5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</si>
  <si>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</si>
  <si>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</si>
  <si>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</si>
  <si>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</si>
  <si>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</si>
  <si>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</si>
  <si>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</si>
  <si>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</si>
  <si>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</si>
  <si>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</si>
  <si>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</si>
  <si>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</si>
  <si>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</si>
  <si>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</si>
  <si>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</si>
  <si>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</si>
  <si>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</si>
  <si>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</si>
  <si>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</si>
  <si>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</si>
  <si>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</si>
  <si>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</si>
  <si>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</si>
  <si>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</si>
  <si>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</si>
  <si>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</si>
  <si>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</si>
  <si>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</si>
  <si>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</si>
  <si>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</si>
  <si>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</si>
  <si>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</si>
  <si>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</si>
  <si>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</si>
  <si>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</si>
  <si>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</si>
  <si>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</si>
  <si>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iShares USD Treasury Bond 20+yr UCITS ETF@SELL@-300@1145.66</t>
  </si>
  <si>
    <t>Amount</t>
  </si>
  <si>
    <t>Boursorama</t>
  </si>
  <si>
    <t>N26</t>
  </si>
  <si>
    <t>iShares USD Treasury Bond 20+yr UCITS ETF@COST@@-0.01</t>
  </si>
  <si>
    <t>iShares USD Treasury Bond 20+yr UCITS ETF@COST@@-3.37</t>
  </si>
  <si>
    <t>Capital</t>
  </si>
  <si>
    <t>Boubou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</si>
  <si>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</si>
  <si>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</si>
  <si>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</si>
  <si>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</si>
  <si>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</si>
  <si>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</si>
  <si>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</si>
  <si>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</si>
  <si>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iShares USD Treasury Bond 20+yr UCITS ETF@SELL@-1798@6827.2</t>
  </si>
  <si>
    <t>iShares USD Treasury Bond 7-10yr UCITS ETF@SELL@-7@1138.83</t>
  </si>
  <si>
    <t>Rent</t>
  </si>
  <si>
    <t>PE</t>
  </si>
  <si>
    <t>Alloc</t>
  </si>
  <si>
    <t>Bruno (tractor)</t>
  </si>
  <si>
    <t>ETFS Physical Gold@SELL@-1@102.84</t>
  </si>
  <si>
    <t>Gain</t>
  </si>
  <si>
    <t>Movement</t>
  </si>
  <si>
    <t>Vanguard S&amp;P 500 UCITS ETF@BUY@60@-2721.72</t>
  </si>
  <si>
    <t>iShares USD Treasury Bond 7-10yr UCITS ETF@BUY@7@-1146.25</t>
  </si>
  <si>
    <t>@APPROVISIONNEMENT@@-300</t>
  </si>
  <si>
    <t>@COST@@-555</t>
  </si>
  <si>
    <t>Vanguard S&amp;P 500 UCITS ETF@BUY@239@-10872.83</t>
  </si>
  <si>
    <t>ETFS All Commodities@BUY@326@-2439.13</t>
  </si>
  <si>
    <t>iShares USD Treasury Bond 20+yr UCITS ETF@COST@@-4.09</t>
  </si>
  <si>
    <t>iShares USD Treasury Bond 20+yr UCITS ETF@BUY@2786@-10463.08</t>
  </si>
  <si>
    <t>iShares USD Treasury Bond 7-10yr UCITS ETF@BUY@16@-2620.96</t>
  </si>
  <si>
    <t>@APPROVISIONNEMENT@@6060</t>
  </si>
  <si>
    <t>iShares USD Treasury Bond 20+yr UCITS ETF@COST@@-2.82</t>
  </si>
  <si>
    <t>iShares USD Treasury Bond 20+yr UCITS ETF@SELL@-1106@4101.58</t>
  </si>
  <si>
    <t>iShares USD Treasury Bond 7-10yr UCITS ETF@SELL@-11@1765.17</t>
  </si>
  <si>
    <t>Vanguard S&amp;P 500 UCITS ETF@BUY@55@-2494.42</t>
  </si>
  <si>
    <t>iShares USD Treasury Bond 20+yr UCITS ETF@SELL@-3258@12076.62</t>
  </si>
  <si>
    <t>ETFS Physical Gold@SELL@-10@1006.1</t>
  </si>
  <si>
    <t>iShares USD Treasury Bond 7-10yr UCITS ETF@SELL@-13@2085.07</t>
  </si>
  <si>
    <t>ETFS All Commodities@SELL@-32@243.42</t>
  </si>
  <si>
    <t>ETFS All Commodities@COST@@-2.05</t>
  </si>
  <si>
    <t>Vanguard S&amp;P 500 UCITS ETF@DIVIDEND@@-136.05</t>
  </si>
  <si>
    <t>Vanguard S&amp;P 500 UCITS ETF@DIVIDEND@@1024.7</t>
  </si>
  <si>
    <t>ETFS Physical Gold@SELL@-9@899.01</t>
  </si>
  <si>
    <t>ETFS All Commodities@SELL@-238@1852.59</t>
  </si>
  <si>
    <t>iShares USD Treasury Bond 7-10yr UCITS ETF@SELL@-5@805.3</t>
  </si>
  <si>
    <t>iShares USD Treasury Bond 20+yr UCITS ETF@COST@@-3.76</t>
  </si>
  <si>
    <t>iShares USD Treasury Bond 20+yr UCITS ETF@BUY@2361@-8808.53</t>
  </si>
  <si>
    <t>@COST@@-501.62</t>
  </si>
  <si>
    <t>Vanguard S&amp;P 500 UCITS ETF@SELL@-30@1418.64</t>
  </si>
  <si>
    <t>ETFS All Commodities@SELL@-225@1658.92</t>
  </si>
  <si>
    <t>ETFS Physical Gold@SELL@-12@1170.36</t>
  </si>
  <si>
    <t>Vanguard S&amp;P 500 UCITS ETF@SELL@-30@1421.55</t>
  </si>
  <si>
    <t>ETFS All Commodities@SELL@-250@1815.25</t>
  </si>
  <si>
    <t>Vanguard S&amp;P 500 UCITS ETF@SELL@-45@2132.37</t>
  </si>
  <si>
    <t>iShares USD Treasury Bond 20+yr UCITS ETF@COST@@-2.54</t>
  </si>
  <si>
    <t>iShares USD Treasury Bond 20+yr UCITS ETF@BUY@717@-2693.88</t>
  </si>
  <si>
    <t>iShares USD Treasury Bond 20+yr UCITS ETF@BUY@525@-2000.72</t>
  </si>
  <si>
    <t>@APPROVISIONNEMENT@@440</t>
  </si>
  <si>
    <t>Vanguard Extended Duration Treasury ETF@DIVIDEND@@-12.85</t>
  </si>
  <si>
    <t>Vanguard Extended Duration Treasury ETF@DIVIDEND@@91.39</t>
  </si>
  <si>
    <t>iShares USD Treasury Bond 20+yr UCITS ETF@BUY@336@-1301.59</t>
  </si>
  <si>
    <t>@COST@@-573.99</t>
  </si>
  <si>
    <t>ETFS Physical Gold@BUY@12@-1180.08</t>
  </si>
  <si>
    <t>ETFS All Commodities@BUY@305@-2214.3</t>
  </si>
  <si>
    <t>iShares USD Treasury Bond 7-10yr UCITS ETF@BUY@8@-1298.72</t>
  </si>
  <si>
    <t>iShares USD Treasury Bond 20+yr UCITS ETF@COST@@-2.39</t>
  </si>
  <si>
    <t>iShares USD Treasury Bond 20+yr UCITS ETF@BUY@500@-1945.61</t>
  </si>
  <si>
    <t>iShares USD Treasury Bond 20+yr UCITS ETF@COST@@-3.15</t>
  </si>
  <si>
    <t>iShares USD Treasury Bond 20+yr UCITS ETF@BUY@1478@-5742.57</t>
  </si>
  <si>
    <t>iShares USD Treasury Bond 7-10yr UCITS ETF@BUY@8@-1297.12</t>
  </si>
  <si>
    <t>iShares USD Treasury Bond 20+yr UCITS ETF@COST@@-2.9</t>
  </si>
  <si>
    <t>iShares USD Treasury Bond 20+yr UCITS ETF@BUY@1154@-4500.42</t>
  </si>
  <si>
    <t>Vanguard S&amp;P 500 UCITS ETF@BUY@84@-3969.17</t>
  </si>
  <si>
    <t>ETFS All Commodities@BUY@443@-3259.59</t>
  </si>
  <si>
    <t>iShares USD Treasury Bond 7-10yr UCITS ETF@BUY@19@-3115.81</t>
  </si>
  <si>
    <t>ETFS Physical Gold@BUY@31@-3080.16</t>
  </si>
  <si>
    <t>@COST@@-467.55</t>
  </si>
  <si>
    <t>iShares USD Treasury Bond 20+yr UCITS ETF@COST@@-5.12</t>
  </si>
  <si>
    <t>iShares USD Treasury Bond 20+yr UCITS ETF@BUY@4074@-15601.5</t>
  </si>
  <si>
    <t>Vanguard S&amp;P 500 UCITS ETF@BUY@226@-10277.8</t>
  </si>
  <si>
    <t>ETFS All Commodities@BUY@203@-1503.01</t>
  </si>
  <si>
    <t>iShares USD Treasury Bond 7-10yr UCITS ETF@BUY@36@-5769.72</t>
  </si>
  <si>
    <t>ETFS Physical Gold@BUY@29@-2893.33</t>
  </si>
  <si>
    <t>iShares USD Treasury Bond 20+yr UCITS ETF@COST@@-25.99</t>
  </si>
  <si>
    <t>iShares USD Treasury Bond 20+yr UCITS ETF@BUY@31102@-119971.61</t>
  </si>
  <si>
    <t>Vanguard S&amp;P 500 UCITS ETF@BUY@1926@-87292.1</t>
  </si>
  <si>
    <t>iShares USD Treasury Bond 7-10yr UCITS ETF@BUY@273@-43912.05</t>
  </si>
  <si>
    <t>ETFS All Commodities@BUY@3336@-24362.81</t>
  </si>
  <si>
    <t>ETFS Physical Gold@BUY@235@-23911.25</t>
  </si>
  <si>
    <t>@APPROVISIONNEMENT@@108000</t>
  </si>
  <si>
    <t>Vanguard S&amp;P 500 UCITS ETF@DIVIDEND@@-72.97</t>
  </si>
  <si>
    <t>@COST@@-276.19</t>
  </si>
  <si>
    <t>Vanguard S&amp;P 500 UCITS ETF@DIVIDEND@@501.26</t>
  </si>
  <si>
    <t>iShares USD Treasury Bond 20+yr UCITS ETF@DIVIDEND@@-0.04</t>
  </si>
  <si>
    <t>iShares USD Treasury Bond 20+yr UCITS ETF@DIVIDEND@@-329.67</t>
  </si>
  <si>
    <t>iShares USD Treasury Bond 20+yr UCITS ETF@DIVIDEND@@2415.73</t>
  </si>
  <si>
    <t>ETFS All Commodities@BUY@897@-6967.9</t>
  </si>
  <si>
    <t>ETFS Physical Gold@BUY@68@-7162.44</t>
  </si>
  <si>
    <t>Vanguard S&amp;P 500 UCITS ETF@BUY@630@-28172.34</t>
  </si>
  <si>
    <t>iShares USD Treasury Bond 20+yr UCITS ETF@COST@@-10.09</t>
  </si>
  <si>
    <t>iShares USD Treasury Bond 20+yr UCITS ETF@BUY@10452@-40435.8</t>
  </si>
  <si>
    <t>iShares USD Treasury Bond 7-10yr UCITS ETF@BUY@93@-14853.03</t>
  </si>
  <si>
    <t>@APPROVISIONNEMENT@@25000</t>
  </si>
  <si>
    <t>@COST@@-161.46</t>
  </si>
  <si>
    <t>ETFS All Commodities@BUY@163@-1271.4</t>
  </si>
  <si>
    <t>iShares USD Treasury Bond 20+yr UCITS ETF@COST@@-3.82</t>
  </si>
  <si>
    <t>iShares USD Treasury Bond 20+yr UCITS ETF@BUY@2338@-9076.29</t>
  </si>
  <si>
    <t>ETFS All Commodities@BUY@479@-3736.68</t>
  </si>
  <si>
    <t>iShares USD Treasury Bond 7-10yr UCITS ETF@BUY@23@-3677.01</t>
  </si>
  <si>
    <t>Vanguard S&amp;P 500 UCITS ETF@BUY@93@-4143.15</t>
  </si>
  <si>
    <t>iShares USD Treasury Bond 20+yr UCITS ETF@COST@@-2.96</t>
  </si>
  <si>
    <t>iShares USD Treasury Bond 20+yr UCITS ETF@BUY@1235@-4793.1</t>
  </si>
  <si>
    <t>Vanguard S&amp;P 500 UCITS ETF@BUY@88@-3919.43</t>
  </si>
  <si>
    <t>iShares USD Treasury Bond 7-10yr UCITS ETF@BUY@13@-2077.66</t>
  </si>
  <si>
    <t>ETFS Physical Gold@BUY@11@-1162.92</t>
  </si>
  <si>
    <t>iShares USD Treasury Bond 7-10yr UCITS ETF@DIVIDEND@@471.2</t>
  </si>
  <si>
    <t>iShares USD Treasury Bond 7-10yr UCITS ETF@DIVIDEND@@-68.59</t>
  </si>
  <si>
    <t>Vanguard Intermediate-Term Treasury ETF@DIVIDEND@@-7.01000000000001</t>
  </si>
  <si>
    <t>Vanguard Intermediate-Term Treasury ETF@DIVIDEND@@42.49</t>
  </si>
  <si>
    <t>iShares USD Treasury Bond 20+yr UCITS ETF@COST@@-5.42</t>
  </si>
  <si>
    <t>iShares USD Treasury Bond 20+yr UCITS ETF@BUY@4546@-17125.03</t>
  </si>
  <si>
    <t>iShares USD Treasury Bond 7-10yr UCITS ETF@BUY@19@-3002.19</t>
  </si>
  <si>
    <t>@COST@@-140.97</t>
  </si>
  <si>
    <t>Vanguard Extended Duration Treasury ETF@SELL@-707@65853.53</t>
  </si>
  <si>
    <t>iShares USD Treasury Bond 20+yr UCITS ETF@COST@@-17.04</t>
  </si>
  <si>
    <t>iShares USD Treasury Bond 20+yr UCITS ETF@BUY@20019@-75232.62</t>
  </si>
  <si>
    <t>Vanguard S&amp;P 500 UCITS ETF@BUY@85@-3579.35</t>
  </si>
  <si>
    <t>iShares USD Treasury Bond 7-10yr UCITS ETF@BUY@16@-2530.72</t>
  </si>
  <si>
    <t>ETFS Physical Gold@BUY@39@-4104.36</t>
  </si>
  <si>
    <t>iShares Gold Trust@SELL@-1319@13885.34</t>
  </si>
  <si>
    <t>ETFS Physical Gold@BUY@144@-15143.25</t>
  </si>
  <si>
    <t>ETFS All Commodities@SELL@-180@1361.88</t>
  </si>
  <si>
    <t>Vanguard Intermediate-Term Treasury ETF@COST@@-7.14</t>
  </si>
  <si>
    <t>Vanguard Intermediate-Term Treasury ETF@SELL@-493@25668.61</t>
  </si>
  <si>
    <t>iShares USD Treasury Bond 7-10yr UCITS ETF@BUY@185@-29268.85</t>
  </si>
  <si>
    <t>ETFS All Commodities@SELL@-1893@14104.74</t>
  </si>
  <si>
    <t>Vanguard S&amp;P 500 UCITS ETF@SELL@-449@18845.44</t>
  </si>
  <si>
    <t>Vanguard S&amp;P 500 UCITS ETF@DIVIDEND@@7.05</t>
  </si>
  <si>
    <t>Vanguard Intermediate-Term Treasury ETF@DIVIDEND@@-7.05</t>
  </si>
  <si>
    <t>Vanguard S&amp;P 500 UCITS ETF@DIVIDEND@@-86.57</t>
  </si>
  <si>
    <t>Vanguard Intermediate-Term Treasury ETF@DIVIDEND@@43.62</t>
  </si>
  <si>
    <t>Vanguard S&amp;P 500 UCITS ETF@DIVIDEND@@420.27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</si>
  <si>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</si>
  <si>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</si>
  <si>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</si>
  <si>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</si>
  <si>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</si>
  <si>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</si>
  <si>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</si>
  <si>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</si>
  <si>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 ETF@SELL@-30@1227.93</t>
  </si>
  <si>
    <t>Vanguard S&amp;P 500 UCITS ETF@SELL@-60@2457.66</t>
  </si>
  <si>
    <t>Vanguard S&amp;P 500 UCITS ETF@SELL@-30@1228.98</t>
  </si>
  <si>
    <t>Vanguard S&amp;P 500 UCITS ETF@SELL@-30@1229.58</t>
  </si>
  <si>
    <t>Vanguard Intermediate-Term Treasury ETF@DIVIDEND@@-7.02</t>
  </si>
  <si>
    <t>Vanguard Intermediate-Term Treasury ETF@DIVIDEND@@37.88</t>
  </si>
  <si>
    <t>Vanguard S&amp;P 500 UCITS ETF@SELL@-77@3229.86</t>
  </si>
  <si>
    <t>Vanguard S&amp;P 500 UCITS ETF@SELL@-98@4117.08</t>
  </si>
  <si>
    <t>Vanguard S&amp;P 500 UCITS ETF@SELL@-240@10048.32</t>
  </si>
  <si>
    <t>Vanguard S&amp;P 500 UCITS ETF@SELL@-38@1590.24</t>
  </si>
  <si>
    <t>Vanguard S&amp;P 500 UCITS ETF@SELL@-30@1253.76</t>
  </si>
  <si>
    <t>Vanguard S&amp;P 500 UCITS ETF@SELL@-45@1881.5</t>
  </si>
  <si>
    <t>Vanguard S&amp;P 500 UCITS ETF@SELL@-50@2089.8</t>
  </si>
  <si>
    <t>Vanguard S&amp;P 500 UCITS ETF@SELL@-20@835.92</t>
  </si>
  <si>
    <t>Vanguard S&amp;P 500 UCITS ETF@COST@@-2.17</t>
  </si>
  <si>
    <t>Vanguard S&amp;P 500 UCITS ETF@SELL@-10@417.96</t>
  </si>
  <si>
    <t>Vanguard S&amp;P 500 UCITS ETF@COST@@-2.08</t>
  </si>
  <si>
    <t>@COST@@0.02</t>
  </si>
  <si>
    <t>@COST@@-193.75</t>
  </si>
  <si>
    <t>@COST@@-7.5</t>
  </si>
  <si>
    <t>ETFS All Commodities@BUY@1375@-10106.25</t>
  </si>
  <si>
    <t>Vanguard S&amp;P 500 UCITS ETF@BUY@937@-40581.47</t>
  </si>
  <si>
    <t>@COST@@0.05</t>
  </si>
  <si>
    <t>ETFS All Commodities@BUY@860@-6359.7</t>
  </si>
  <si>
    <t>Vanguard S&amp;P 500 UCITS ETF@BUY@615@-26713.14</t>
  </si>
  <si>
    <t>Vanguard S&amp;P 500 UCITS ETF@DIVIDEND@@-42.4</t>
  </si>
  <si>
    <t>Vanguard S&amp;P 500 UCITS ETF@DIVIDEND@@259.89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</si>
  <si>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</si>
  <si>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</si>
  <si>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</si>
  <si>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</si>
  <si>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</si>
  <si>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</si>
  <si>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 ETF@SELL@-26@1114.05</t>
  </si>
  <si>
    <t>Vanguard S&amp;P 500 UCITS ETF@COST@@-2.22</t>
  </si>
  <si>
    <t>Vanguard Extended Duration Treasury ETF@BUY@11@-1094.1</t>
  </si>
  <si>
    <t>ETFS All Commodities@BUY@311@-2246.97</t>
  </si>
  <si>
    <t>Vanguard S&amp;P 500 UCITS ETF@BUY@206@-8845.64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</si>
  <si>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</si>
  <si>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</si>
  <si>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</si>
  <si>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</si>
  <si>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</si>
  <si>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</si>
  <si>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</si>
  <si>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</si>
  <si>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</si>
  <si>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</si>
  <si>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</si>
  <si>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</si>
  <si>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 ETF@BUY@48@-2044.75</t>
  </si>
  <si>
    <t>Vanguard Intermediate-Term Treasury ETF@COST@@-2.31</t>
  </si>
  <si>
    <t>ETFS All Commodities@BUY@132@-1013.1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</si>
  <si>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</si>
  <si>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</si>
  <si>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</si>
  <si>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</si>
  <si>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</si>
  <si>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 ETF@DIVIDEND@@-26.14</t>
  </si>
  <si>
    <t>Vanguard Intermediate-Term Treasury ETF@DIVIDEND@@30.34</t>
  </si>
  <si>
    <t>Vanguard S&amp;P 500 UCITS ETF@DIVIDEND@@178.2</t>
  </si>
  <si>
    <t>Vanguard Extended Duration Treasury ETF@DIVIDEND@@-54.04</t>
  </si>
  <si>
    <t>Vanguard Intermediate-Term Treasury ETF@COST@@-2.18</t>
  </si>
  <si>
    <t>Vanguard S&amp;P 500 UCITS ETF@BUY@25@-1021.42</t>
  </si>
  <si>
    <t>ETFS All Commodities@BUY@174@-1253.67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</si>
  <si>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</si>
  <si>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</si>
  <si>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</si>
  <si>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</si>
  <si>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</si>
  <si>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</si>
  <si>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 ETF@BUY@72@-2878.78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</si>
  <si>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</si>
  <si>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</si>
  <si>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</si>
  <si>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</si>
  <si>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</si>
  <si>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</si>
  <si>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</si>
  <si>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</si>
  <si>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</si>
  <si>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 ETF@BUY@57@-2263.53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</si>
  <si>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</si>
  <si>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</si>
  <si>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</si>
  <si>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</si>
  <si>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</si>
  <si>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</si>
  <si>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</si>
  <si>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Commodities@BUY@67@-475.7</t>
  </si>
  <si>
    <t>Vanguard S&amp;P 500 UCITS ETF@BUY@45@-1783.44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</si>
  <si>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</si>
  <si>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</si>
  <si>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</si>
  <si>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</si>
  <si>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</si>
  <si>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</si>
  <si>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</si>
  <si>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</si>
  <si>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</si>
  <si>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</si>
  <si>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</si>
  <si>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Commodities@BUY@1096@-8220</t>
  </si>
  <si>
    <t>Vanguard S&amp;P 500 UCITS ETF@BUY@804@-32516.18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</si>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</sst>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h:mm:ss am/pm"/>
    <numFmt numFmtId="173" formatCode="h&quot;:&quot;mm&quot;:&quot;ss"/>
    <numFmt numFmtId="174" formatCode="dd&quot;/&quot;mm&quot;/&quot;yyyy&quot; &quot;h&quot;:&quot;mm&quot;:&quot;ss"/>
    <numFmt numFmtId="175" formatCode="0.000%"/>
    <numFmt numFmtId="176" formatCode="0.0"/>
    <numFmt numFmtId="177" formatCode="dd/MM/yyyy"/>
    <numFmt numFmtId="178" formatCode="0.0%"/>
    <numFmt numFmtId="179" formatCode="[$$-1]#,##0.00##"/>
    <numFmt numFmtId="180" formatCode="#,##0.00#\ [$€-1]"/>
    <numFmt numFmtId="181" formatCode="#,##0.0000000\ [$€-1]"/>
    <numFmt numFmtId="182" formatCode="#,##0.####\ [$€-1]"/>
    <numFmt numFmtId="183" formatCode="mm&quot;/&quot;yyyy"/>
    <numFmt numFmtId="184" formatCode="#,##0.00&quot;€&quot;"/>
  </numFmts>
  <fonts count="28">
    <font>
      <sz val="10.0"/>
      <color rgb="FF000000"/>
      <name val="Arial"/>
    </font>
    <font>
      <b/>
    </font>
    <font/>
    <font>
      <b/>
      <i/>
    </font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sz val="10.0"/>
    </font>
    <font>
      <b/>
      <name val="Arial"/>
    </font>
    <font>
      <sz val="10.0"/>
      <color rgb="FFFFFFFF"/>
      <name val="Inconsolata"/>
    </font>
    <font>
      <sz val="10.0"/>
      <color rgb="FFFFFFFF"/>
    </font>
    <font>
      <b/>
      <color rgb="FF000000"/>
    </font>
    <font>
      <b/>
      <color rgb="FFFFFFFF"/>
    </font>
    <font>
      <i/>
    </font>
    <font>
      <strike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7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0" fillId="3" fontId="3" numFmtId="0" xfId="0" applyAlignment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shrinkToFit="0" wrapText="1"/>
    </xf>
    <xf borderId="0" fillId="0" fontId="2" numFmtId="49" xfId="0" applyAlignment="1" applyFont="1" applyNumberFormat="1">
      <alignment readingOrder="0" shrinkToFit="0" wrapText="1"/>
    </xf>
    <xf borderId="0" fillId="3" fontId="3" numFmtId="164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readingOrder="0" shrinkToFit="0" wrapText="0"/>
    </xf>
    <xf borderId="0" fillId="2" fontId="2" numFmtId="0" xfId="0" applyAlignment="1" applyFon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1"/>
    </xf>
    <xf borderId="4" fillId="3" fontId="2" numFmtId="0" xfId="0" applyAlignment="1" applyBorder="1" applyFont="1">
      <alignment shrinkToFit="0" wrapText="1"/>
    </xf>
    <xf borderId="0" fillId="3" fontId="2" numFmtId="49" xfId="0" applyAlignment="1" applyFont="1" applyNumberFormat="1">
      <alignment readingOrder="0" shrinkToFit="0" wrapText="1"/>
    </xf>
    <xf borderId="0" fillId="3" fontId="4" numFmtId="166" xfId="0" applyAlignment="1" applyFont="1" applyNumberFormat="1">
      <alignment horizontal="center" shrinkToFit="0" vertical="bottom" wrapText="1"/>
    </xf>
    <xf borderId="0" fillId="3" fontId="4" numFmtId="167" xfId="0" applyAlignment="1" applyFont="1" applyNumberFormat="1">
      <alignment horizontal="center" shrinkToFit="0" vertical="bottom" wrapText="1"/>
    </xf>
    <xf borderId="0" fillId="3" fontId="4" numFmtId="49" xfId="0" applyAlignment="1" applyFont="1" applyNumberFormat="1">
      <alignment horizontal="center" readingOrder="0" shrinkToFit="0" vertical="bottom" wrapText="1"/>
    </xf>
    <xf borderId="0" fillId="3" fontId="4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3" fontId="4" numFmtId="168" xfId="0" applyAlignment="1" applyFont="1" applyNumberFormat="1">
      <alignment horizontal="center" shrinkToFit="0" vertical="bottom" wrapText="1"/>
    </xf>
    <xf borderId="0" fillId="3" fontId="4" numFmtId="169" xfId="0" applyAlignment="1" applyFont="1" applyNumberFormat="1">
      <alignment horizontal="center" shrinkToFit="0" vertical="bottom" wrapText="1"/>
    </xf>
    <xf borderId="0" fillId="3" fontId="5" numFmtId="165" xfId="0" applyAlignment="1" applyFont="1" applyNumberFormat="1">
      <alignment shrinkToFit="0" vertical="bottom" wrapText="0"/>
    </xf>
    <xf borderId="0" fillId="3" fontId="5" numFmtId="49" xfId="0" applyAlignment="1" applyFont="1" applyNumberFormat="1">
      <alignment shrinkToFit="0" vertical="bottom" wrapText="0"/>
    </xf>
    <xf borderId="0" fillId="3" fontId="2" numFmtId="49" xfId="0" applyAlignment="1" applyFont="1" applyNumberFormat="1">
      <alignment readingOrder="0" shrinkToFit="0" wrapText="0"/>
    </xf>
    <xf borderId="4" fillId="4" fontId="2" numFmtId="0" xfId="0" applyAlignment="1" applyBorder="1" applyFill="1" applyFont="1">
      <alignment shrinkToFit="0" wrapText="1"/>
    </xf>
    <xf borderId="0" fillId="0" fontId="2" numFmtId="170" xfId="0" applyAlignment="1" applyFont="1" applyNumberFormat="1">
      <alignment readingOrder="0" shrinkToFit="0" wrapText="1"/>
    </xf>
    <xf borderId="0" fillId="4" fontId="2" numFmtId="4" xfId="0" applyAlignment="1" applyFont="1" applyNumberFormat="1">
      <alignment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4" fontId="2" numFmtId="166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2" numFmtId="167" xfId="0" applyAlignment="1" applyFont="1" applyNumberFormat="1">
      <alignment readingOrder="0" shrinkToFit="0" wrapText="1"/>
    </xf>
    <xf borderId="0" fillId="4" fontId="2" numFmtId="0" xfId="0" applyAlignment="1" applyFont="1">
      <alignment shrinkToFit="0" wrapText="1"/>
    </xf>
    <xf borderId="0" fillId="0" fontId="2" numFmtId="169" xfId="0" applyAlignment="1" applyFont="1" applyNumberFormat="1">
      <alignment shrinkToFit="0" wrapText="1"/>
    </xf>
    <xf borderId="0" fillId="4" fontId="2" numFmtId="0" xfId="0" applyAlignment="1" applyFont="1">
      <alignment shrinkToFit="0" wrapText="0"/>
    </xf>
    <xf borderId="0" fillId="4" fontId="2" numFmtId="3" xfId="0" applyAlignment="1" applyFont="1" applyNumberFormat="1">
      <alignment shrinkToFit="0" wrapText="1"/>
    </xf>
    <xf borderId="0" fillId="4" fontId="2" numFmtId="168" xfId="0" applyAlignment="1" applyFont="1" applyNumberFormat="1">
      <alignment shrinkToFit="0" wrapText="1"/>
    </xf>
    <xf borderId="4" fillId="4" fontId="2" numFmtId="0" xfId="0" applyAlignment="1" applyBorder="1" applyFont="1">
      <alignment shrinkToFit="0" wrapText="0"/>
    </xf>
    <xf borderId="0" fillId="4" fontId="2" numFmtId="49" xfId="0" applyAlignment="1" applyFont="1" applyNumberFormat="1">
      <alignment shrinkToFit="0" wrapText="0"/>
    </xf>
    <xf borderId="0" fillId="4" fontId="2" numFmtId="0" xfId="0" applyAlignment="1" applyFont="1">
      <alignment shrinkToFit="0" wrapText="0"/>
    </xf>
    <xf borderId="0" fillId="4" fontId="2" numFmtId="49" xfId="0" applyAlignment="1" applyFont="1" applyNumberFormat="1">
      <alignment readingOrder="0" shrinkToFit="0" wrapText="0"/>
    </xf>
    <xf borderId="0" fillId="3" fontId="3" numFmtId="167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0"/>
    </xf>
    <xf borderId="0" fillId="3" fontId="3" numFmtId="171" xfId="0" applyAlignment="1" applyFont="1" applyNumberFormat="1">
      <alignment horizontal="center" readingOrder="0" shrinkToFit="0" wrapText="1"/>
    </xf>
    <xf borderId="0" fillId="3" fontId="3" numFmtId="169" xfId="0" applyAlignment="1" applyFont="1" applyNumberFormat="1">
      <alignment horizontal="center"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1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3" numFmtId="172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46" xfId="0" applyAlignment="1" applyFont="1" applyNumberForma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73" xfId="0" applyAlignment="1" applyFont="1" applyNumberFormat="1">
      <alignment shrinkToFit="0" wrapText="1"/>
    </xf>
    <xf borderId="0" fillId="0" fontId="1" numFmtId="173" xfId="0" applyAlignment="1" applyFont="1" applyNumberFormat="1">
      <alignment shrinkToFit="0" wrapText="1"/>
    </xf>
    <xf borderId="0" fillId="0" fontId="1" numFmtId="46" xfId="0" applyAlignment="1" applyFont="1" applyNumberFormat="1">
      <alignment shrinkToFit="0" wrapText="1"/>
    </xf>
    <xf borderId="0" fillId="0" fontId="2" numFmtId="46" xfId="0" applyAlignment="1" applyFont="1" applyNumberFormat="1">
      <alignment shrinkToFit="0" wrapText="1"/>
    </xf>
    <xf borderId="0" fillId="5" fontId="3" numFmtId="169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4" xfId="0" applyAlignment="1" applyFont="1" applyNumberForma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2" fillId="3" fontId="7" numFmtId="165" xfId="0" applyAlignment="1" applyBorder="1" applyFont="1" applyNumberFormat="1">
      <alignment shrinkToFit="0" wrapText="1"/>
    </xf>
    <xf borderId="0" fillId="3" fontId="8" numFmtId="0" xfId="0" applyAlignment="1" applyFont="1">
      <alignment readingOrder="0" shrinkToFit="0" vertical="bottom" wrapText="0"/>
    </xf>
    <xf borderId="0" fillId="3" fontId="9" numFmtId="10" xfId="0" applyAlignment="1" applyFont="1" applyNumberForma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3" fontId="7" numFmtId="165" xfId="0" applyAlignment="1" applyFont="1" applyNumberFormat="1">
      <alignment shrinkToFit="0" wrapText="1"/>
    </xf>
    <xf borderId="0" fillId="3" fontId="7" numFmtId="10" xfId="0" applyAlignment="1" applyFont="1" applyNumberFormat="1">
      <alignment shrinkToFit="0" wrapText="1"/>
    </xf>
    <xf borderId="0" fillId="3" fontId="7" numFmtId="165" xfId="0" applyAlignment="1" applyFont="1" applyNumberFormat="1">
      <alignment readingOrder="0" shrinkToFit="0" wrapText="1"/>
    </xf>
    <xf borderId="0" fillId="3" fontId="7" numFmtId="0" xfId="0" applyAlignment="1" applyFont="1">
      <alignment horizontal="right" shrinkToFit="0" vertical="bottom" wrapText="1"/>
    </xf>
    <xf borderId="0" fillId="3" fontId="7" numFmtId="0" xfId="0" applyAlignment="1" applyFont="1">
      <alignment horizontal="right" shrinkToFit="0" wrapText="1"/>
    </xf>
    <xf borderId="0" fillId="3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165" xfId="0" applyAlignment="1" applyBorder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9" fontId="7" numFmtId="10" xfId="0" applyAlignment="1" applyFont="1" applyNumberFormat="1">
      <alignment horizontal="right" shrinkToFit="0" wrapText="1"/>
    </xf>
    <xf borderId="0" fillId="9" fontId="11" numFmtId="0" xfId="0" applyAlignment="1" applyFont="1">
      <alignment horizontal="left" readingOrder="0" shrinkToFit="0" wrapText="1"/>
    </xf>
    <xf borderId="2" fillId="10" fontId="6" numFmtId="0" xfId="0" applyAlignment="1" applyBorder="1" applyFill="1" applyFont="1">
      <alignment readingOrder="0" shrinkToFit="0" wrapText="1"/>
    </xf>
    <xf borderId="2" fillId="10" fontId="7" numFmtId="165" xfId="0" applyAlignment="1" applyBorder="1" applyFont="1" applyNumberFormat="1">
      <alignment readingOrder="0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readingOrder="0" shrinkToFit="0" wrapText="1"/>
    </xf>
    <xf borderId="0" fillId="10" fontId="7" numFmtId="9" xfId="0" applyAlignment="1" applyFont="1" applyNumberFormat="1">
      <alignment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7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75" xfId="0" applyAlignment="1" applyFont="1" applyNumberForma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7" numFmtId="169" xfId="0" applyAlignment="1" applyFont="1" applyNumberFormat="1">
      <alignment horizontal="right" readingOrder="0" shrinkToFit="0" wrapText="1"/>
    </xf>
    <xf borderId="0" fillId="6" fontId="7" numFmtId="176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2" numFmtId="3" xfId="0" applyAlignment="1" applyFont="1" applyNumberFormat="1">
      <alignment horizontal="right" readingOrder="0" shrinkToFit="0" wrapText="1"/>
    </xf>
    <xf borderId="0" fillId="12" fontId="3" numFmtId="0" xfId="0" applyAlignment="1" applyFill="1" applyFont="1">
      <alignment horizontal="center" readingOrder="0" shrinkToFit="0" wrapText="1"/>
    </xf>
    <xf borderId="0" fillId="12" fontId="3" numFmtId="0" xfId="0" applyAlignment="1" applyFont="1">
      <alignment horizontal="center" readingOrder="0" shrinkToFit="0" wrapText="0"/>
    </xf>
    <xf borderId="0" fillId="12" fontId="3" numFmtId="10" xfId="0" applyAlignment="1" applyFont="1" applyNumberFormat="1">
      <alignment horizontal="center" readingOrder="0" shrinkToFit="0" wrapText="1"/>
    </xf>
    <xf borderId="4" fillId="13" fontId="3" numFmtId="3" xfId="0" applyAlignment="1" applyBorder="1" applyFill="1" applyFont="1" applyNumberFormat="1">
      <alignment horizontal="center" readingOrder="0" shrinkToFit="0" wrapText="1"/>
    </xf>
    <xf borderId="0" fillId="13" fontId="3" numFmtId="164" xfId="0" applyAlignment="1" applyFont="1" applyNumberFormat="1">
      <alignment horizontal="center" readingOrder="0" shrinkToFit="0" wrapText="1"/>
    </xf>
    <xf borderId="0" fillId="13" fontId="3" numFmtId="169" xfId="0" applyAlignment="1" applyFont="1" applyNumberFormat="1">
      <alignment horizontal="center" readingOrder="0" shrinkToFit="0" wrapText="1"/>
    </xf>
    <xf borderId="0" fillId="0" fontId="5" numFmtId="177" xfId="0" applyAlignment="1" applyFont="1" applyNumberFormat="1">
      <alignment horizontal="right" readingOrder="0" shrinkToFit="0" vertical="bottom" wrapText="1"/>
    </xf>
    <xf borderId="4" fillId="5" fontId="3" numFmtId="169" xfId="0" applyAlignment="1" applyBorder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5" fontId="3" numFmtId="0" xfId="0" applyAlignment="1" applyFont="1">
      <alignment horizontal="center" readingOrder="0" shrinkToFit="0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5" fontId="3" numFmtId="10" xfId="0" applyAlignment="1" applyFont="1" applyNumberFormat="1">
      <alignment horizontal="center" readingOrder="0" shrinkToFit="0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4" fillId="14" fontId="3" numFmtId="169" xfId="0" applyAlignment="1" applyBorder="1" applyFill="1" applyFont="1" applyNumberFormat="1">
      <alignment horizontal="center" readingOrder="0" shrinkToFit="0" wrapText="1"/>
    </xf>
    <xf borderId="0" fillId="0" fontId="5" numFmtId="164" xfId="0" applyAlignment="1" applyFont="1" applyNumberFormat="1">
      <alignment horizontal="right" shrinkToFit="0" vertical="bottom" wrapText="1"/>
    </xf>
    <xf borderId="0" fillId="14" fontId="3" numFmtId="169" xfId="0" applyAlignment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vertical="bottom" wrapText="1"/>
    </xf>
    <xf borderId="3" fillId="14" fontId="3" numFmtId="169" xfId="0" applyAlignment="1" applyBorder="1" applyFont="1" applyNumberFormat="1">
      <alignment horizontal="center" readingOrder="0" shrinkToFit="0" wrapText="1"/>
    </xf>
    <xf borderId="0" fillId="13" fontId="3" numFmtId="0" xfId="0" applyAlignment="1" applyFont="1">
      <alignment horizontal="center" readingOrder="0" shrinkToFit="0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13" fontId="3" numFmtId="178" xfId="0" applyAlignment="1" applyFont="1" applyNumberFormat="1">
      <alignment horizontal="center" readingOrder="0" shrinkToFit="0" wrapText="1"/>
    </xf>
    <xf borderId="0" fillId="13" fontId="3" numFmtId="49" xfId="0" applyAlignment="1" applyFont="1" applyNumberFormat="1">
      <alignment horizontal="center" readingOrder="0" shrinkToFit="0" wrapText="1"/>
    </xf>
    <xf borderId="0" fillId="13" fontId="3" numFmtId="169" xfId="0" applyAlignment="1" applyFont="1" applyNumberFormat="1">
      <alignment horizontal="center" readingOrder="0" shrinkToFit="0" wrapText="1"/>
    </xf>
    <xf borderId="0" fillId="7" fontId="3" numFmtId="16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horizontal="right" readingOrder="0" shrinkToFit="0" wrapText="1"/>
    </xf>
    <xf borderId="4" fillId="0" fontId="2" numFmtId="3" xfId="0" applyAlignment="1" applyBorder="1" applyFont="1" applyNumberFormat="1">
      <alignment readingOrder="0" shrinkToFit="0" wrapText="1"/>
    </xf>
    <xf borderId="0" fillId="15" fontId="13" numFmtId="179" xfId="0" applyAlignment="1" applyFill="1" applyFont="1" applyNumberFormat="1">
      <alignment shrinkToFit="0" wrapText="1"/>
    </xf>
    <xf borderId="0" fillId="15" fontId="13" numFmtId="16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4" fillId="0" fontId="2" numFmtId="169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14" numFmtId="169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80" xfId="0" applyAlignment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5" numFmtId="46" xfId="0" applyAlignment="1" applyFont="1" applyNumberFormat="1">
      <alignment horizontal="right" shrinkToFit="0" vertical="bottom" wrapText="1"/>
    </xf>
    <xf borderId="0" fillId="0" fontId="5" numFmtId="173" xfId="0" applyAlignment="1" applyFont="1" applyNumberFormat="1">
      <alignment horizontal="right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shrinkToFit="0" wrapText="1"/>
    </xf>
    <xf borderId="0" fillId="7" fontId="1" numFmtId="169" xfId="0" applyAlignment="1" applyFont="1" applyNumberFormat="1">
      <alignment shrinkToFit="0" wrapText="1"/>
    </xf>
    <xf borderId="0" fillId="7" fontId="1" numFmtId="169" xfId="0" applyAlignment="1" applyFont="1" applyNumberFormat="1">
      <alignment horizontal="right" readingOrder="0" shrinkToFit="0" wrapText="1"/>
    </xf>
    <xf borderId="0" fillId="0" fontId="14" numFmtId="169" xfId="0" applyAlignment="1" applyFont="1" applyNumberFormat="1">
      <alignment horizontal="right" shrinkToFit="0" vertical="bottom" wrapText="1"/>
    </xf>
    <xf borderId="5" fillId="0" fontId="2" numFmtId="169" xfId="0" applyAlignment="1" applyBorder="1" applyFont="1" applyNumberFormat="1">
      <alignment readingOrder="0"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0" fontId="17" numFmtId="10" xfId="0" applyAlignment="1" applyBorder="1" applyFont="1" applyNumberFormat="1">
      <alignment shrinkToFit="0" wrapText="1"/>
    </xf>
    <xf borderId="2" fillId="0" fontId="1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15" fontId="13" numFmtId="181" xfId="0" applyAlignment="1" applyBorder="1" applyFont="1" applyNumberFormat="1">
      <alignment shrinkToFit="0" wrapText="1"/>
    </xf>
    <xf borderId="2" fillId="15" fontId="13" numFmtId="179" xfId="0" applyAlignment="1" applyBorder="1" applyFont="1" applyNumberFormat="1">
      <alignment shrinkToFit="0" wrapText="1"/>
    </xf>
    <xf borderId="2" fillId="0" fontId="13" numFmtId="164" xfId="0" applyAlignment="1" applyBorder="1" applyFont="1" applyNumberFormat="1">
      <alignment readingOrder="0" shrinkToFit="0" wrapText="0"/>
    </xf>
    <xf borderId="2" fillId="0" fontId="1" numFmtId="169" xfId="0" applyAlignment="1" applyBorder="1" applyFont="1" applyNumberFormat="1">
      <alignment shrinkToFit="0" wrapText="1"/>
    </xf>
    <xf borderId="6" fillId="0" fontId="1" numFmtId="169" xfId="0" applyAlignment="1" applyBorder="1" applyFont="1" applyNumberFormat="1">
      <alignment shrinkToFit="0" wrapText="1"/>
    </xf>
    <xf borderId="2" fillId="0" fontId="17" numFmtId="169" xfId="0" applyAlignment="1" applyBorder="1" applyFont="1" applyNumberFormat="1">
      <alignment shrinkToFit="0" wrapText="1"/>
    </xf>
    <xf borderId="2" fillId="0" fontId="2" numFmtId="169" xfId="0" applyAlignment="1" applyBorder="1" applyFont="1" applyNumberFormat="1">
      <alignment shrinkToFit="0" wrapText="1"/>
    </xf>
    <xf borderId="2" fillId="0" fontId="14" numFmtId="0" xfId="0" applyAlignment="1" applyBorder="1" applyFont="1">
      <alignment horizontal="center" shrinkToFit="0" vertical="bottom" wrapText="1"/>
    </xf>
    <xf borderId="2" fillId="0" fontId="14" numFmtId="169" xfId="0" applyAlignment="1" applyBorder="1" applyFont="1" applyNumberFormat="1">
      <alignment horizontal="right" shrinkToFit="0" vertical="bottom" wrapText="1"/>
    </xf>
    <xf borderId="6" fillId="0" fontId="14" numFmtId="169" xfId="0" applyAlignment="1" applyBorder="1" applyFont="1" applyNumberFormat="1">
      <alignment horizontal="right" shrinkToFit="0" vertical="bottom" wrapText="1"/>
    </xf>
    <xf borderId="2" fillId="0" fontId="2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shrinkToFit="0" wrapText="1"/>
    </xf>
    <xf borderId="2" fillId="0" fontId="18" numFmtId="4" xfId="0" applyAlignment="1" applyBorder="1" applyFont="1" applyNumberFormat="1">
      <alignment readingOrder="0" shrinkToFit="0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2" fillId="0" fontId="17" numFmtId="170" xfId="0" applyAlignment="1" applyBorder="1" applyFont="1" applyNumberFormat="1">
      <alignment shrinkToFit="0" wrapText="1"/>
    </xf>
    <xf borderId="2" fillId="0" fontId="17" numFmtId="49" xfId="0" applyAlignment="1" applyBorder="1" applyFont="1" applyNumberFormat="1">
      <alignment shrinkToFit="0" wrapText="1"/>
    </xf>
    <xf borderId="2" fillId="0" fontId="5" numFmtId="169" xfId="0" applyAlignment="1" applyBorder="1" applyFont="1" applyNumberFormat="1">
      <alignment horizontal="right" shrinkToFit="0" vertical="bottom" wrapText="1"/>
    </xf>
    <xf borderId="2" fillId="0" fontId="14" numFmtId="169" xfId="0" applyAlignment="1" applyBorder="1" applyFont="1" applyNumberFormat="1">
      <alignment horizontal="right" shrinkToFit="0" vertical="bottom" wrapText="1"/>
    </xf>
    <xf borderId="2" fillId="0" fontId="1" numFmtId="164" xfId="0" applyAlignment="1" applyBorder="1" applyFont="1" applyNumberFormat="1">
      <alignment shrinkToFit="0" wrapText="1"/>
    </xf>
    <xf borderId="2" fillId="7" fontId="1" numFmtId="169" xfId="0" applyAlignment="1" applyBorder="1" applyFont="1" applyNumberFormat="1">
      <alignment shrinkToFit="0" wrapText="1"/>
    </xf>
    <xf borderId="2" fillId="7" fontId="1" numFmtId="169" xfId="0" applyAlignment="1" applyBorder="1" applyFont="1" applyNumberFormat="1">
      <alignment horizontal="right" shrinkToFit="0" wrapText="1"/>
    </xf>
    <xf borderId="0" fillId="16" fontId="5" numFmtId="0" xfId="0" applyAlignment="1" applyFill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 shrinkToFit="0" wrapText="1"/>
    </xf>
    <xf borderId="0" fillId="0" fontId="2" numFmtId="177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shrinkToFit="0" wrapText="1"/>
    </xf>
    <xf borderId="4" fillId="0" fontId="13" numFmtId="164" xfId="0" applyAlignment="1" applyBorder="1" applyFont="1" applyNumberFormat="1">
      <alignment readingOrder="0" shrinkToFit="0" wrapText="1"/>
    </xf>
    <xf borderId="0" fillId="0" fontId="13" numFmtId="164" xfId="0" applyAlignment="1" applyFont="1" applyNumberFormat="1">
      <alignment readingOrder="0" shrinkToFit="0" wrapText="1"/>
    </xf>
    <xf borderId="4" fillId="0" fontId="13" numFmtId="10" xfId="0" applyAlignment="1" applyBorder="1" applyFont="1" applyNumberFormat="1">
      <alignment readingOrder="0" shrinkToFit="0" wrapText="1"/>
    </xf>
    <xf borderId="0" fillId="0" fontId="13" numFmtId="10" xfId="0" applyAlignment="1" applyFont="1" applyNumberFormat="1">
      <alignment readingOrder="0" shrinkToFit="0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77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4" fillId="0" fontId="5" numFmtId="165" xfId="0" applyAlignment="1" applyBorder="1" applyFont="1" applyNumberFormat="1">
      <alignment shrinkToFit="0" vertical="bottom" wrapText="0"/>
    </xf>
    <xf borderId="0" fillId="0" fontId="5" numFmtId="10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3" fontId="3" numFmtId="0" xfId="0" applyAlignment="1" applyFont="1">
      <alignment horizontal="center" readingOrder="0" shrinkToFit="0" wrapText="0"/>
    </xf>
    <xf borderId="0" fillId="3" fontId="3" numFmtId="182" xfId="0" applyAlignment="1" applyFont="1" applyNumberFormat="1">
      <alignment horizontal="center" readingOrder="0" shrinkToFit="0" wrapText="1"/>
    </xf>
    <xf borderId="0" fillId="3" fontId="19" numFmtId="0" xfId="0" applyAlignment="1" applyFont="1">
      <alignment horizontal="center" readingOrder="0" shrinkToFit="0" wrapText="1"/>
    </xf>
    <xf borderId="0" fillId="3" fontId="19" numFmtId="10" xfId="0" applyAlignment="1" applyFont="1" applyNumberFormat="1">
      <alignment horizontal="center" readingOrder="0" shrinkToFit="0" wrapText="1"/>
    </xf>
    <xf borderId="0" fillId="0" fontId="2" numFmtId="0" xfId="0" applyAlignment="1" applyFont="1">
      <alignment shrinkToFit="0" wrapText="0"/>
    </xf>
    <xf borderId="0" fillId="6" fontId="2" numFmtId="0" xfId="0" applyAlignment="1" applyFont="1">
      <alignment readingOrder="0" shrinkToFit="0" wrapText="1"/>
    </xf>
    <xf borderId="0" fillId="6" fontId="2" numFmtId="169" xfId="0" applyAlignment="1" applyFont="1" applyNumberFormat="1">
      <alignment readingOrder="0" shrinkToFit="0" wrapText="1"/>
    </xf>
    <xf borderId="0" fillId="6" fontId="13" numFmtId="0" xfId="0" applyAlignment="1" applyFont="1">
      <alignment horizontal="left" readingOrder="0" shrinkToFit="0" wrapText="1"/>
    </xf>
    <xf borderId="0" fillId="6" fontId="2" numFmtId="0" xfId="0" applyAlignment="1" applyFont="1">
      <alignment readingOrder="0" shrinkToFit="0" wrapText="0"/>
    </xf>
    <xf borderId="0" fillId="6" fontId="2" numFmtId="164" xfId="0" applyAlignment="1" applyFont="1" applyNumberFormat="1">
      <alignment readingOrder="0" shrinkToFit="0" wrapText="1"/>
    </xf>
    <xf borderId="0" fillId="6" fontId="2" numFmtId="174" xfId="0" applyAlignment="1" applyFont="1" applyNumberFormat="1">
      <alignment readingOrder="0" shrinkToFit="0" wrapText="1"/>
    </xf>
    <xf borderId="0" fillId="6" fontId="5" numFmtId="170" xfId="0" applyAlignment="1" applyFont="1" applyNumberFormat="1">
      <alignment horizontal="right" readingOrder="0" shrinkToFit="0" vertical="bottom" wrapText="1"/>
    </xf>
    <xf borderId="0" fillId="6" fontId="2" numFmtId="10" xfId="0" applyAlignment="1" applyFont="1" applyNumberFormat="1">
      <alignment readingOrder="0" shrinkToFit="0" wrapText="0"/>
    </xf>
    <xf borderId="0" fillId="6" fontId="2" numFmtId="10" xfId="0" applyAlignment="1" applyFont="1" applyNumberFormat="1">
      <alignment readingOrder="0" shrinkToFit="0" wrapText="1"/>
    </xf>
    <xf borderId="0" fillId="6" fontId="2" numFmtId="182" xfId="0" applyAlignment="1" applyFont="1" applyNumberFormat="1">
      <alignment readingOrder="0" shrinkToFit="0" wrapText="1"/>
    </xf>
    <xf borderId="0" fillId="6" fontId="5" numFmtId="0" xfId="0" applyAlignment="1" applyFont="1">
      <alignment shrinkToFit="0" vertical="bottom" wrapText="1"/>
    </xf>
    <xf borderId="0" fillId="6" fontId="5" numFmtId="169" xfId="0" applyAlignment="1" applyFont="1" applyNumberFormat="1">
      <alignment shrinkToFit="0" vertical="bottom" wrapText="1"/>
    </xf>
    <xf borderId="0" fillId="6" fontId="5" numFmtId="0" xfId="0" applyAlignment="1" applyFont="1">
      <alignment readingOrder="0" shrinkToFit="0" vertical="bottom" wrapText="1"/>
    </xf>
    <xf borderId="0" fillId="6" fontId="5" numFmtId="0" xfId="0" applyAlignment="1" applyFont="1">
      <alignment readingOrder="0" shrinkToFit="0" vertical="bottom" wrapText="0"/>
    </xf>
    <xf borderId="0" fillId="6" fontId="5" numFmtId="164" xfId="0" applyAlignment="1" applyFont="1" applyNumberFormat="1">
      <alignment horizontal="right" readingOrder="0" shrinkToFit="0" vertical="bottom" wrapText="1"/>
    </xf>
    <xf borderId="0" fillId="6" fontId="5" numFmtId="174" xfId="0" applyAlignment="1" applyFont="1" applyNumberFormat="1">
      <alignment horizontal="right" readingOrder="0" shrinkToFit="0" vertical="bottom" wrapText="1"/>
    </xf>
    <xf borderId="0" fillId="6" fontId="5" numFmtId="169" xfId="0" applyAlignment="1" applyFont="1" applyNumberFormat="1">
      <alignment horizontal="right" shrinkToFit="0" vertical="bottom" wrapText="1"/>
    </xf>
    <xf borderId="0" fillId="6" fontId="5" numFmtId="170" xfId="0" applyAlignment="1" applyFont="1" applyNumberFormat="1">
      <alignment horizontal="right" shrinkToFit="0" vertical="bottom" wrapText="1"/>
    </xf>
    <xf borderId="0" fillId="6" fontId="5" numFmtId="10" xfId="0" applyAlignment="1" applyFont="1" applyNumberFormat="1">
      <alignment horizontal="right" shrinkToFit="0" vertical="bottom" wrapText="0"/>
    </xf>
    <xf borderId="0" fillId="6" fontId="5" numFmtId="10" xfId="0" applyAlignment="1" applyFont="1" applyNumberFormat="1">
      <alignment horizontal="right" shrinkToFit="0" vertical="bottom" wrapText="1"/>
    </xf>
    <xf borderId="0" fillId="6" fontId="5" numFmtId="182" xfId="0" applyAlignment="1" applyFont="1" applyNumberFormat="1">
      <alignment horizontal="right" shrinkToFit="0" vertical="bottom" wrapText="1"/>
    </xf>
    <xf borderId="0" fillId="17" fontId="2" numFmtId="0" xfId="0" applyAlignment="1" applyFill="1" applyFont="1">
      <alignment readingOrder="0" shrinkToFit="0" wrapText="1"/>
    </xf>
    <xf borderId="0" fillId="17" fontId="2" numFmtId="169" xfId="0" applyAlignment="1" applyFont="1" applyNumberFormat="1">
      <alignment readingOrder="0" shrinkToFit="0" wrapText="1"/>
    </xf>
    <xf borderId="0" fillId="17" fontId="13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64" xfId="0" applyAlignment="1" applyFont="1" applyNumberFormat="1">
      <alignment readingOrder="0" shrinkToFit="0" wrapText="1"/>
    </xf>
    <xf borderId="0" fillId="17" fontId="2" numFmtId="174" xfId="0" applyAlignment="1" applyFont="1" applyNumberFormat="1">
      <alignment readingOrder="0" shrinkToFit="0" wrapText="1"/>
    </xf>
    <xf borderId="0" fillId="17" fontId="2" numFmtId="169" xfId="0" applyAlignment="1" applyFont="1" applyNumberFormat="1">
      <alignment shrinkToFit="0" wrapText="1"/>
    </xf>
    <xf borderId="0" fillId="17" fontId="5" numFmtId="170" xfId="0" applyAlignment="1" applyFont="1" applyNumberFormat="1">
      <alignment horizontal="right" readingOrder="0" shrinkToFit="0" vertical="bottom" wrapText="1"/>
    </xf>
    <xf borderId="0" fillId="17" fontId="2" numFmtId="10" xfId="0" applyAlignment="1" applyFont="1" applyNumberFormat="1">
      <alignment readingOrder="0" shrinkToFit="0" wrapText="0"/>
    </xf>
    <xf borderId="0" fillId="17" fontId="2" numFmtId="10" xfId="0" applyAlignment="1" applyFont="1" applyNumberFormat="1">
      <alignment shrinkToFit="0" wrapText="1"/>
    </xf>
    <xf borderId="0" fillId="17" fontId="2" numFmtId="10" xfId="0" applyAlignment="1" applyFont="1" applyNumberFormat="1">
      <alignment readingOrder="0" shrinkToFit="0" wrapText="1"/>
    </xf>
    <xf borderId="0" fillId="17" fontId="2" numFmtId="182" xfId="0" applyAlignment="1" applyFont="1" applyNumberFormat="1">
      <alignment shrinkToFit="0" wrapText="1"/>
    </xf>
    <xf borderId="0" fillId="17" fontId="2" numFmtId="182" xfId="0" applyAlignment="1" applyFont="1" applyNumberFormat="1">
      <alignment readingOrder="0" shrinkToFit="0" wrapText="1"/>
    </xf>
    <xf borderId="0" fillId="17" fontId="20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readingOrder="0" shrinkToFit="0" vertical="bottom" wrapText="1"/>
    </xf>
    <xf borderId="0" fillId="17" fontId="5" numFmtId="0" xfId="0" applyAlignment="1" applyFont="1">
      <alignment shrinkToFit="0" vertical="bottom" wrapText="1"/>
    </xf>
    <xf borderId="0" fillId="17" fontId="5" numFmtId="169" xfId="0" applyAlignment="1" applyFont="1" applyNumberFormat="1">
      <alignment readingOrder="0" shrinkToFit="0" vertical="bottom" wrapText="1"/>
    </xf>
    <xf borderId="0" fillId="17" fontId="5" numFmtId="0" xfId="0" applyAlignment="1" applyFont="1">
      <alignment readingOrder="0" shrinkToFit="0" vertical="bottom" wrapText="1"/>
    </xf>
    <xf borderId="0" fillId="17" fontId="5" numFmtId="0" xfId="0" applyAlignment="1" applyFont="1">
      <alignment readingOrder="0" shrinkToFit="0" vertical="bottom" wrapText="0"/>
    </xf>
    <xf borderId="0" fillId="17" fontId="5" numFmtId="164" xfId="0" applyAlignment="1" applyFont="1" applyNumberFormat="1">
      <alignment horizontal="right" readingOrder="0" shrinkToFit="0" vertical="bottom" wrapText="1"/>
    </xf>
    <xf borderId="0" fillId="17" fontId="5" numFmtId="169" xfId="0" applyAlignment="1" applyFont="1" applyNumberFormat="1">
      <alignment horizontal="right" readingOrder="0" shrinkToFit="0" vertical="bottom" wrapText="1"/>
    </xf>
    <xf borderId="0" fillId="17" fontId="5" numFmtId="10" xfId="0" applyAlignment="1" applyFont="1" applyNumberFormat="1">
      <alignment horizontal="right" readingOrder="0" shrinkToFit="0" vertical="bottom" wrapText="1"/>
    </xf>
    <xf borderId="0" fillId="17" fontId="5" numFmtId="182" xfId="0" applyAlignment="1" applyFont="1" applyNumberFormat="1">
      <alignment horizontal="right" readingOrder="0" shrinkToFit="0" vertical="bottom" wrapText="1"/>
    </xf>
    <xf borderId="0" fillId="8" fontId="2" numFmtId="0" xfId="0" applyAlignment="1" applyFont="1">
      <alignment readingOrder="0" shrinkToFit="0" wrapText="1"/>
    </xf>
    <xf borderId="0" fillId="8" fontId="2" numFmtId="169" xfId="0" applyAlignment="1" applyFont="1" applyNumberFormat="1">
      <alignment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8" fontId="2" numFmtId="0" xfId="0" applyAlignment="1" applyFont="1">
      <alignment readingOrder="0" shrinkToFit="0" wrapText="0"/>
    </xf>
    <xf borderId="0" fillId="8" fontId="2" numFmtId="164" xfId="0" applyAlignment="1" applyFont="1" applyNumberFormat="1">
      <alignment readingOrder="0" shrinkToFit="0" wrapText="1"/>
    </xf>
    <xf borderId="0" fillId="8" fontId="2" numFmtId="174" xfId="0" applyAlignment="1" applyFont="1" applyNumberFormat="1">
      <alignment readingOrder="0" shrinkToFit="0" wrapText="1"/>
    </xf>
    <xf borderId="0" fillId="3" fontId="5" numFmtId="170" xfId="0" applyAlignment="1" applyFont="1" applyNumberFormat="1">
      <alignment horizontal="right" readingOrder="0" shrinkToFit="0" vertical="bottom" wrapText="1"/>
    </xf>
    <xf borderId="0" fillId="8" fontId="2" numFmtId="10" xfId="0" applyAlignment="1" applyFont="1" applyNumberFormat="1">
      <alignment readingOrder="0" shrinkToFit="0" wrapText="0"/>
    </xf>
    <xf borderId="0" fillId="8" fontId="2" numFmtId="10" xfId="0" applyAlignment="1" applyFont="1" applyNumberFormat="1">
      <alignment readingOrder="0" shrinkToFit="0" wrapText="1"/>
    </xf>
    <xf borderId="0" fillId="8" fontId="2" numFmtId="182" xfId="0" applyAlignment="1" applyFont="1" applyNumberForma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7" fontId="2" numFmtId="169" xfId="0" applyAlignment="1" applyFont="1" applyNumberFormat="1">
      <alignment readingOrder="0" shrinkToFit="0" wrapText="1"/>
    </xf>
    <xf borderId="0" fillId="7" fontId="13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wrapText="0"/>
    </xf>
    <xf borderId="0" fillId="7" fontId="2" numFmtId="164" xfId="0" applyAlignment="1" applyFont="1" applyNumberFormat="1">
      <alignment readingOrder="0" shrinkToFit="0" wrapText="1"/>
    </xf>
    <xf borderId="0" fillId="7" fontId="2" numFmtId="174" xfId="0" applyAlignment="1" applyFont="1" applyNumberFormat="1">
      <alignment readingOrder="0" shrinkToFit="0" wrapText="1"/>
    </xf>
    <xf borderId="0" fillId="7" fontId="5" numFmtId="170" xfId="0" applyAlignment="1" applyFont="1" applyNumberFormat="1">
      <alignment horizontal="right" readingOrder="0" shrinkToFit="0" vertical="bottom" wrapText="1"/>
    </xf>
    <xf borderId="0" fillId="7" fontId="2" numFmtId="10" xfId="0" applyAlignment="1" applyFont="1" applyNumberFormat="1">
      <alignment readingOrder="0" shrinkToFit="0" wrapText="0"/>
    </xf>
    <xf borderId="0" fillId="7" fontId="2" numFmtId="10" xfId="0" applyAlignment="1" applyFont="1" applyNumberFormat="1">
      <alignment readingOrder="0" shrinkToFit="0" wrapText="1"/>
    </xf>
    <xf borderId="0" fillId="7" fontId="2" numFmtId="182" xfId="0" applyAlignment="1" applyFont="1" applyNumberFormat="1">
      <alignment readingOrder="0" shrinkToFit="0" wrapText="1"/>
    </xf>
    <xf borderId="0" fillId="7" fontId="5" numFmtId="169" xfId="0" applyAlignment="1" applyFont="1" applyNumberFormat="1">
      <alignment horizontal="right" shrinkToFit="0" vertical="bottom" wrapText="1"/>
    </xf>
    <xf borderId="0" fillId="7" fontId="5" numFmtId="10" xfId="0" applyAlignment="1" applyFont="1" applyNumberFormat="1">
      <alignment horizontal="right" shrinkToFit="0" vertical="bottom" wrapText="1"/>
    </xf>
    <xf borderId="0" fillId="7" fontId="2" numFmtId="169" xfId="0" applyAlignment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0" fillId="3" fontId="2" numFmtId="169" xfId="0" applyAlignment="1" applyFont="1" applyNumberFormat="1">
      <alignment readingOrder="0" shrinkToFit="0" wrapText="1"/>
    </xf>
    <xf borderId="0" fillId="3" fontId="13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0"/>
    </xf>
    <xf borderId="0" fillId="3" fontId="2" numFmtId="164" xfId="0" applyAlignment="1" applyFont="1" applyNumberFormat="1">
      <alignment readingOrder="0" shrinkToFit="0" wrapText="1"/>
    </xf>
    <xf borderId="0" fillId="3" fontId="2" numFmtId="174" xfId="0" applyAlignment="1" applyFont="1" applyNumberFormat="1">
      <alignment readingOrder="0" shrinkToFit="0" wrapText="1"/>
    </xf>
    <xf borderId="0" fillId="3" fontId="2" numFmtId="10" xfId="0" applyAlignment="1" applyFont="1" applyNumberFormat="1">
      <alignment readingOrder="0" shrinkToFit="0" wrapText="0"/>
    </xf>
    <xf borderId="0" fillId="3" fontId="2" numFmtId="10" xfId="0" applyAlignment="1" applyFont="1" applyNumberFormat="1">
      <alignment readingOrder="0" shrinkToFit="0" wrapText="1"/>
    </xf>
    <xf borderId="0" fillId="3" fontId="2" numFmtId="182" xfId="0" applyAlignment="1" applyFont="1" applyNumberFormat="1">
      <alignment readingOrder="0" shrinkToFit="0" wrapText="1"/>
    </xf>
    <xf borderId="0" fillId="0" fontId="21" numFmtId="0" xfId="0" applyAlignment="1" applyFont="1">
      <alignment horizontal="center" readingOrder="0" shrinkToFit="0" vertical="bottom" wrapText="1"/>
    </xf>
    <xf borderId="0" fillId="0" fontId="22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3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1" numFmtId="0" xfId="0" applyAlignment="1" applyBorder="1" applyFont="1">
      <alignment horizontal="center" readingOrder="0" shrinkToFit="0" vertical="bottom" wrapText="1"/>
    </xf>
    <xf borderId="2" fillId="0" fontId="23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shrinkToFit="0" wrapText="1"/>
    </xf>
    <xf borderId="2" fillId="0" fontId="22" numFmtId="0" xfId="0" applyAlignment="1" applyBorder="1" applyFont="1">
      <alignment horizontal="left" readingOrder="0" shrinkToFit="0" wrapText="1"/>
    </xf>
    <xf borderId="2" fillId="0" fontId="2" numFmtId="169" xfId="0" applyAlignment="1" applyBorder="1" applyFont="1" applyNumberFormat="1">
      <alignment readingOrder="0" shrinkToFit="0" wrapText="1"/>
    </xf>
    <xf borderId="0" fillId="0" fontId="5" numFmtId="10" xfId="0" applyAlignment="1" applyFont="1" applyNumberFormat="1">
      <alignment horizontal="right" readingOrder="0" shrinkToFit="0" vertical="bottom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4" numFmtId="165" xfId="0" applyAlignment="1" applyFont="1" applyNumberFormat="1">
      <alignment horizontal="right" readingOrder="0" shrinkToFit="0" vertical="bottom" wrapText="1"/>
    </xf>
    <xf borderId="3" fillId="0" fontId="5" numFmtId="10" xfId="0" applyAlignment="1" applyBorder="1" applyFont="1" applyNumberFormat="1">
      <alignment horizontal="right" readingOrder="0" shrinkToFit="0" vertical="bottom" wrapText="1"/>
    </xf>
    <xf borderId="0" fillId="18" fontId="4" numFmtId="0" xfId="0" applyAlignment="1" applyFill="1" applyFont="1">
      <alignment horizontal="center" readingOrder="0" shrinkToFit="0" vertical="bottom" wrapText="1"/>
    </xf>
    <xf borderId="0" fillId="0" fontId="5" numFmtId="183" xfId="0" applyAlignment="1" applyFont="1" applyNumberFormat="1">
      <alignment horizontal="right" readingOrder="0" shrinkToFit="0" vertical="bottom" wrapText="1"/>
    </xf>
    <xf borderId="0" fillId="4" fontId="24" numFmtId="165" xfId="0" applyAlignment="1" applyFont="1" applyNumberFormat="1">
      <alignment horizontal="right" readingOrder="0" shrinkToFit="0" wrapText="1"/>
    </xf>
    <xf borderId="0" fillId="18" fontId="4" numFmtId="184" xfId="0" applyAlignment="1" applyFont="1" applyNumberFormat="1">
      <alignment horizontal="center" readingOrder="0" shrinkToFit="0" vertical="bottom" wrapText="1"/>
    </xf>
    <xf borderId="0" fillId="15" fontId="5" numFmtId="177" xfId="0" applyAlignment="1" applyFont="1" applyNumberFormat="1">
      <alignment horizontal="right" readingOrder="0" shrinkToFit="0" vertical="bottom" wrapText="1"/>
    </xf>
    <xf borderId="0" fillId="15" fontId="2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5" numFmtId="165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15" fontId="5" numFmtId="177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15" fontId="2" numFmtId="0" xfId="0" applyAlignment="1" applyFont="1">
      <alignment readingOrder="0" shrinkToFit="0" wrapText="1"/>
    </xf>
    <xf borderId="0" fillId="0" fontId="25" numFmtId="165" xfId="0" applyAlignment="1" applyFont="1" applyNumberFormat="1">
      <alignment readingOrder="0" shrinkToFit="0" wrapText="1"/>
    </xf>
    <xf borderId="0" fillId="0" fontId="26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0" fontId="5" numFmtId="3" xfId="0" applyAlignment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2" numFmtId="49" xfId="0" applyAlignment="1" applyFont="1" applyNumberFormat="1">
      <alignment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5" numFmtId="177" xfId="0" applyAlignment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5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5" numFmtId="177" xfId="0" applyAlignment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0"/>
    </xf>
    <xf borderId="0" fillId="15" fontId="24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7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15" fontId="27" numFmtId="0" xfId="0" applyAlignment="1" applyFont="1">
      <alignment shrinkToFit="0" vertical="bottom" wrapText="1"/>
    </xf>
    <xf borderId="0" fillId="15" fontId="24" numFmtId="0" xfId="0" applyAlignment="1" applyFont="1">
      <alignment horizontal="left" readingOrder="0" shrinkToFit="0" vertical="bottom" wrapText="0"/>
    </xf>
    <xf borderId="0" fillId="15" fontId="24" numFmtId="0" xfId="0" applyAlignment="1" applyFont="1">
      <alignment horizontal="left" readingOrder="0" shrinkToFit="0" vertical="bottom" wrapText="1"/>
    </xf>
    <xf borderId="0" fillId="10" fontId="2" numFmtId="177" xfId="0" applyAlignment="1" applyFont="1" applyNumberFormat="1">
      <alignment readingOrder="0" shrinkToFit="0" wrapText="1"/>
    </xf>
    <xf borderId="0" fillId="10" fontId="2" numFmtId="177" xfId="0" applyAlignment="1" applyFont="1" applyNumberFormat="1">
      <alignment readingOrder="0" shrinkToFit="0" wrapText="0"/>
    </xf>
    <xf borderId="0" fillId="1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24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strike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EFEFEF"/>
      </font>
      <fill>
        <patternFill patternType="none"/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4" t="s">
        <v>7</v>
      </c>
      <c r="B2" s="6" t="s">
        <v>10</v>
      </c>
      <c r="C2" s="6" t="s">
        <v>14</v>
      </c>
      <c r="D2" s="6" t="s">
        <v>15</v>
      </c>
      <c r="E2" s="6" t="s">
        <v>16</v>
      </c>
      <c r="F2" s="6" t="s">
        <v>18</v>
      </c>
    </row>
    <row r="3">
      <c r="A3" s="4" t="s">
        <v>21</v>
      </c>
      <c r="B3" s="6" t="s">
        <v>24</v>
      </c>
      <c r="C3" s="6" t="s">
        <v>25</v>
      </c>
      <c r="D3" s="6" t="s">
        <v>26</v>
      </c>
      <c r="E3" s="10" t="s">
        <v>28</v>
      </c>
      <c r="F3" s="6" t="s">
        <v>32</v>
      </c>
    </row>
    <row r="4">
      <c r="A4" s="4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</row>
    <row r="5">
      <c r="A5" s="4" t="s">
        <v>40</v>
      </c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</row>
    <row r="6">
      <c r="A6" s="4" t="s">
        <v>46</v>
      </c>
      <c r="B6" s="10" t="s">
        <v>47</v>
      </c>
      <c r="C6" s="10" t="s">
        <v>49</v>
      </c>
      <c r="D6" s="10" t="s">
        <v>51</v>
      </c>
      <c r="E6" s="10" t="s">
        <v>52</v>
      </c>
      <c r="F6" s="10" t="s">
        <v>53</v>
      </c>
    </row>
    <row r="7">
      <c r="A7" s="13" t="s">
        <v>54</v>
      </c>
      <c r="B7" s="13" t="s">
        <v>55</v>
      </c>
      <c r="C7" s="13" t="s">
        <v>56</v>
      </c>
      <c r="D7" s="13" t="s">
        <v>57</v>
      </c>
      <c r="E7" s="13" t="s">
        <v>58</v>
      </c>
      <c r="F7" s="13" t="s">
        <v>42</v>
      </c>
    </row>
    <row r="8">
      <c r="A8" s="6" t="s">
        <v>36</v>
      </c>
      <c r="B8" s="6" t="s">
        <v>34</v>
      </c>
      <c r="C8" s="6" t="s">
        <v>35</v>
      </c>
      <c r="D8" s="10" t="s">
        <v>57</v>
      </c>
      <c r="E8" s="6" t="s">
        <v>37</v>
      </c>
      <c r="F8" s="6" t="s">
        <v>42</v>
      </c>
    </row>
    <row r="9" hidden="1">
      <c r="A9" s="4" t="str">
        <f t="shared" ref="A9:A15" si="1">A1</f>
        <v>Savings</v>
      </c>
      <c r="B9" s="20">
        <f>MATCH(B1,Dashboard!$A:$A,0)</f>
        <v>1</v>
      </c>
      <c r="C9" s="20">
        <f>MATCH(C1,Dashboard!$A:$A,0)</f>
        <v>18</v>
      </c>
      <c r="D9" s="20">
        <f>MATCH(D1,Dashboard!$A:$A,0)</f>
        <v>26</v>
      </c>
      <c r="E9" s="20">
        <f>MATCH(E1,Dashboard!$A:$A,0)</f>
        <v>27</v>
      </c>
      <c r="F9" s="20">
        <f>MATCH(F1,Dashboard!$A:$A,0)</f>
        <v>28</v>
      </c>
    </row>
    <row r="10" hidden="1">
      <c r="A10" s="4" t="str">
        <f t="shared" si="1"/>
        <v>Expenses</v>
      </c>
      <c r="B10" s="20">
        <f>MATCH(B2,Dashboard!$A:$A,0)</f>
        <v>16</v>
      </c>
      <c r="C10" s="20">
        <f>MATCH(C2,Dashboard!$A:$A,0)</f>
        <v>14</v>
      </c>
      <c r="D10" s="20">
        <f>MATCH(D2,Dashboard!$A:$A,0)</f>
        <v>17</v>
      </c>
      <c r="E10" s="20">
        <f>MATCH(E2,Dashboard!$A:$A,0)</f>
        <v>22</v>
      </c>
      <c r="F10" s="20">
        <f>MATCH(F2,Dashboard!$A:$A,0)</f>
        <v>53</v>
      </c>
    </row>
    <row r="11" hidden="1">
      <c r="A11" s="4" t="str">
        <f t="shared" si="1"/>
        <v>Account</v>
      </c>
      <c r="B11" s="20">
        <f>MATCH(B3,Dashboard!$A:$A,0)</f>
        <v>41</v>
      </c>
      <c r="C11" s="20">
        <f>MATCH(C3,Dashboard!$A:$A,0)</f>
        <v>43</v>
      </c>
      <c r="D11" s="20">
        <f>MATCH(D3,Dashboard!$A:$A,0)</f>
        <v>42</v>
      </c>
      <c r="E11" s="20">
        <f>MATCH(E3,Dashboard!$A:$A,0)</f>
        <v>23</v>
      </c>
      <c r="F11" s="20">
        <f>MATCH(F3,Dashboard!$A:$A,0)</f>
        <v>24</v>
      </c>
    </row>
    <row r="12" hidden="1">
      <c r="A12" s="4" t="str">
        <f t="shared" si="1"/>
        <v>Portfolio</v>
      </c>
      <c r="B12" s="20">
        <f>MATCH(B4,Dashboard!$A:$A,0)</f>
        <v>31</v>
      </c>
      <c r="C12" s="20">
        <f>MATCH(C4,Dashboard!$A:$A,0)</f>
        <v>32</v>
      </c>
      <c r="D12" s="20">
        <f>MATCH(D4,Dashboard!$A:$A,0)</f>
        <v>33</v>
      </c>
      <c r="E12" s="20">
        <f>MATCH(E4,Dashboard!$A:$A,0)</f>
        <v>34</v>
      </c>
      <c r="F12" s="20">
        <f>MATCH(F4,Dashboard!$A:$A,0)</f>
        <v>35</v>
      </c>
    </row>
    <row r="13" hidden="1">
      <c r="A13" s="4" t="str">
        <f t="shared" si="1"/>
        <v>Allocations</v>
      </c>
      <c r="B13" s="20">
        <f>MATCH(B5,Dashboard!$A:$A,0)</f>
        <v>44</v>
      </c>
      <c r="C13" s="20">
        <f>MATCH(C5,Dashboard!$A:$A,0)</f>
        <v>46</v>
      </c>
      <c r="D13" s="20">
        <f>MATCH(D5,Dashboard!$A:$A,0)</f>
        <v>47</v>
      </c>
      <c r="E13" s="20">
        <f>MATCH(E5,Dashboard!$A:$A,0)</f>
        <v>45</v>
      </c>
      <c r="F13" s="20">
        <f>MATCH(F5,Dashboard!$A:$A,0)</f>
        <v>52</v>
      </c>
    </row>
    <row r="14" hidden="1">
      <c r="A14" s="4" t="str">
        <f t="shared" si="1"/>
        <v>Performances</v>
      </c>
      <c r="B14" s="20">
        <f>MATCH(B6,Dashboard!$A:$A,0)</f>
        <v>57</v>
      </c>
      <c r="C14" s="20">
        <f>MATCH(C6,Dashboard!$A:$A,0)</f>
        <v>56</v>
      </c>
      <c r="D14" s="20">
        <f>MATCH(D6,Dashboard!$A:$A,0)</f>
        <v>58</v>
      </c>
      <c r="E14" s="20">
        <f>MATCH(E6,Dashboard!$A:$A,0)</f>
        <v>20</v>
      </c>
      <c r="F14" s="20">
        <f>MATCH(F6,Dashboard!$A:$A,0)</f>
        <v>59</v>
      </c>
    </row>
    <row r="15" hidden="1">
      <c r="A15" s="13" t="str">
        <f t="shared" si="1"/>
        <v>Total portfolio</v>
      </c>
      <c r="B15" s="13" t="str">
        <f t="shared" ref="B15:F15" si="2">B7</f>
        <v>Stock value</v>
      </c>
      <c r="C15" s="13" t="str">
        <f t="shared" si="2"/>
        <v>Cash Fund</v>
      </c>
      <c r="D15" s="13" t="str">
        <f t="shared" si="2"/>
        <v>Today's result</v>
      </c>
      <c r="E15" s="13" t="str">
        <f t="shared" si="2"/>
        <v>Cumulated result</v>
      </c>
      <c r="F15" s="13" t="str">
        <f t="shared" si="2"/>
        <v>Margin</v>
      </c>
    </row>
    <row r="16" hidden="1">
      <c r="A16" s="20">
        <f>MATCH(A8,Dashboard!$A:$A,0)</f>
        <v>33</v>
      </c>
      <c r="B16" s="20">
        <f>MATCH(B8,Dashboard!$A:$A,0)</f>
        <v>31</v>
      </c>
      <c r="C16" s="20">
        <f>MATCH(C8,Dashboard!$A:$A,0)</f>
        <v>32</v>
      </c>
      <c r="D16" s="20">
        <f>MATCH(D8,Dashboard!$A:$A,0)</f>
        <v>55</v>
      </c>
      <c r="E16" s="20">
        <f>MATCH(E8,Dashboard!$A:$A,0)</f>
        <v>34</v>
      </c>
      <c r="F16" s="20">
        <f>MATCH(F8,Dashboard!$A:$A,0)</f>
        <v>46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3" t="s">
        <v>2</v>
      </c>
      <c r="B1" s="3" t="s">
        <v>8</v>
      </c>
      <c r="C1" s="5" t="s">
        <v>9</v>
      </c>
      <c r="D1" s="3" t="s">
        <v>11</v>
      </c>
      <c r="E1" s="3" t="s">
        <v>12</v>
      </c>
      <c r="F1" s="8" t="s">
        <v>13</v>
      </c>
      <c r="G1" s="11" t="s">
        <v>27</v>
      </c>
      <c r="H1" s="12" t="s">
        <v>39</v>
      </c>
      <c r="I1" s="11" t="s">
        <v>48</v>
      </c>
      <c r="J1" s="12" t="s">
        <v>50</v>
      </c>
    </row>
    <row r="2">
      <c r="A2" s="27">
        <f t="shared" ref="A2:A24" si="1">IF(ISDATE($A1),IF($A1+$F1&lt;=EOMONTH(NOW()-TIME(3,0,0),0),$A1+$F1,""),IF($A1&lt;&gt;"",EOMONTH(NOW()-TIME(3,0,0),-1)+1+CHOOSE(WEEKDAY(EOMONTH(NOW()-TIME(3,0,0),-1)+1,2),0,0,0,0,0,2,1),""))</f>
        <v>43586</v>
      </c>
      <c r="B2" s="29">
        <v>451697.14666666667</v>
      </c>
      <c r="C2" s="30" t="str">
        <f t="shared" ref="C2:C24" si="2">IF($A2,"EUR",)</f>
        <v>EUR</v>
      </c>
      <c r="D2" s="30">
        <v>0.0125</v>
      </c>
      <c r="E2" s="30">
        <f t="shared" ref="E2:E24" si="3">IF($A2,4%,)</f>
        <v>0.04</v>
      </c>
      <c r="F2" s="32">
        <f t="shared" ref="F2:F24" si="4">IF(WEEKDAY($A2,2)&lt;&gt;5,IF($A2,1,),3)</f>
        <v>1</v>
      </c>
      <c r="G2" s="29">
        <f t="shared" ref="G2:G24" si="5">IF($A2,(-H2*D2-I2*E2)/360*F2,)</f>
        <v>-17.25694444</v>
      </c>
      <c r="H2" s="35">
        <f>IF($A2,Dashboard!$B$44,)</f>
        <v>497000</v>
      </c>
      <c r="I2" s="35" t="str">
        <f t="shared" ref="I2:I24" si="6">IF(AND($H2&lt;&gt;"",$B2-$H2&gt;0),ROUND($B2-$H2,0),"")</f>
        <v/>
      </c>
      <c r="J2" s="29">
        <f t="shared" ref="J2:J24" si="7">IFS(ROW()=2,$G2,$A2,$G2+$J1,$A2="","")</f>
        <v>-17.25694444</v>
      </c>
    </row>
    <row r="3">
      <c r="A3" s="27">
        <f t="shared" si="1"/>
        <v>43587</v>
      </c>
      <c r="B3" s="29">
        <v>451697.14666666667</v>
      </c>
      <c r="C3" s="30" t="str">
        <f t="shared" si="2"/>
        <v>EUR</v>
      </c>
      <c r="D3" s="30">
        <v>0.0125</v>
      </c>
      <c r="E3" s="30">
        <f t="shared" si="3"/>
        <v>0.04</v>
      </c>
      <c r="F3" s="32">
        <f t="shared" si="4"/>
        <v>1</v>
      </c>
      <c r="G3" s="29">
        <f t="shared" si="5"/>
        <v>-17.25694444</v>
      </c>
      <c r="H3" s="35">
        <f>IF($A3,Dashboard!$B$44,)</f>
        <v>497000</v>
      </c>
      <c r="I3" s="35" t="str">
        <f t="shared" si="6"/>
        <v/>
      </c>
      <c r="J3" s="29">
        <f t="shared" si="7"/>
        <v>-34.51388889</v>
      </c>
    </row>
    <row r="4">
      <c r="A4" s="27">
        <f t="shared" si="1"/>
        <v>43588</v>
      </c>
      <c r="B4" s="29">
        <v>450469.6566666667</v>
      </c>
      <c r="C4" s="30" t="str">
        <f t="shared" si="2"/>
        <v>EUR</v>
      </c>
      <c r="D4" s="30">
        <v>0.0125</v>
      </c>
      <c r="E4" s="30">
        <f t="shared" si="3"/>
        <v>0.04</v>
      </c>
      <c r="F4" s="32">
        <f t="shared" si="4"/>
        <v>3</v>
      </c>
      <c r="G4" s="29">
        <f t="shared" si="5"/>
        <v>-51.77083333</v>
      </c>
      <c r="H4" s="35">
        <f>IF($A4,Dashboard!$B$44,)</f>
        <v>497000</v>
      </c>
      <c r="I4" s="35" t="str">
        <f t="shared" si="6"/>
        <v/>
      </c>
      <c r="J4" s="29">
        <f t="shared" si="7"/>
        <v>-86.28472222</v>
      </c>
    </row>
    <row r="5">
      <c r="A5" s="27">
        <f t="shared" si="1"/>
        <v>43591</v>
      </c>
      <c r="B5" s="29">
        <v>446048.7099999999</v>
      </c>
      <c r="C5" s="30" t="str">
        <f t="shared" si="2"/>
        <v>EUR</v>
      </c>
      <c r="D5" s="30">
        <v>0.0125</v>
      </c>
      <c r="E5" s="30">
        <f t="shared" si="3"/>
        <v>0.04</v>
      </c>
      <c r="F5" s="32">
        <f t="shared" si="4"/>
        <v>1</v>
      </c>
      <c r="G5" s="29">
        <f t="shared" si="5"/>
        <v>-17.25694444</v>
      </c>
      <c r="H5" s="35">
        <f>IF($A5,Dashboard!$B$44,)</f>
        <v>497000</v>
      </c>
      <c r="I5" s="35" t="str">
        <f t="shared" si="6"/>
        <v/>
      </c>
      <c r="J5" s="29">
        <f t="shared" si="7"/>
        <v>-103.5416667</v>
      </c>
    </row>
    <row r="6">
      <c r="A6" s="27">
        <f t="shared" si="1"/>
        <v>43592</v>
      </c>
      <c r="B6" s="29">
        <v>444888.0899999998</v>
      </c>
      <c r="C6" s="30" t="str">
        <f t="shared" si="2"/>
        <v>EUR</v>
      </c>
      <c r="D6" s="30">
        <v>0.0125</v>
      </c>
      <c r="E6" s="30">
        <f t="shared" si="3"/>
        <v>0.04</v>
      </c>
      <c r="F6" s="32">
        <f t="shared" si="4"/>
        <v>1</v>
      </c>
      <c r="G6" s="29">
        <f t="shared" si="5"/>
        <v>-17.25694444</v>
      </c>
      <c r="H6" s="35">
        <f>IF($A6,Dashboard!$B$44,)</f>
        <v>497000</v>
      </c>
      <c r="I6" s="35" t="str">
        <f t="shared" si="6"/>
        <v/>
      </c>
      <c r="J6" s="29">
        <f t="shared" si="7"/>
        <v>-120.7986111</v>
      </c>
    </row>
    <row r="7">
      <c r="A7" s="27">
        <f t="shared" si="1"/>
        <v>43593</v>
      </c>
      <c r="B7" s="29">
        <v>440286.52999999985</v>
      </c>
      <c r="C7" s="30" t="str">
        <f t="shared" si="2"/>
        <v>EUR</v>
      </c>
      <c r="D7" s="30">
        <v>0.0125</v>
      </c>
      <c r="E7" s="30">
        <f t="shared" si="3"/>
        <v>0.04</v>
      </c>
      <c r="F7" s="32">
        <f t="shared" si="4"/>
        <v>1</v>
      </c>
      <c r="G7" s="29">
        <f t="shared" si="5"/>
        <v>-17.25694444</v>
      </c>
      <c r="H7" s="35">
        <f>IF($A7,Dashboard!$B$44,)</f>
        <v>497000</v>
      </c>
      <c r="I7" s="35" t="str">
        <f t="shared" si="6"/>
        <v/>
      </c>
      <c r="J7" s="29">
        <f t="shared" si="7"/>
        <v>-138.0555556</v>
      </c>
    </row>
    <row r="8">
      <c r="A8" s="27">
        <f t="shared" si="1"/>
        <v>43594</v>
      </c>
      <c r="B8" s="29">
        <v>440286.52999999985</v>
      </c>
      <c r="C8" s="30" t="str">
        <f t="shared" si="2"/>
        <v>EUR</v>
      </c>
      <c r="D8" s="30">
        <v>0.0125</v>
      </c>
      <c r="E8" s="30">
        <f t="shared" si="3"/>
        <v>0.04</v>
      </c>
      <c r="F8" s="32">
        <f t="shared" si="4"/>
        <v>1</v>
      </c>
      <c r="G8" s="29">
        <f t="shared" si="5"/>
        <v>-17.25694444</v>
      </c>
      <c r="H8" s="35">
        <f>IF($A8,Dashboard!$B$44,)</f>
        <v>497000</v>
      </c>
      <c r="I8" s="35" t="str">
        <f t="shared" si="6"/>
        <v/>
      </c>
      <c r="J8" s="29">
        <f t="shared" si="7"/>
        <v>-155.3125</v>
      </c>
    </row>
    <row r="9">
      <c r="A9" s="27">
        <f t="shared" si="1"/>
        <v>43595</v>
      </c>
      <c r="B9" s="29">
        <v>440286.52999999985</v>
      </c>
      <c r="C9" s="30" t="str">
        <f t="shared" si="2"/>
        <v>EUR</v>
      </c>
      <c r="D9" s="30">
        <v>0.0125</v>
      </c>
      <c r="E9" s="30">
        <f t="shared" si="3"/>
        <v>0.04</v>
      </c>
      <c r="F9" s="32">
        <f t="shared" si="4"/>
        <v>3</v>
      </c>
      <c r="G9" s="29">
        <f t="shared" si="5"/>
        <v>-51.77083333</v>
      </c>
      <c r="H9" s="35">
        <f>IF($A9,Dashboard!$B$44,)</f>
        <v>497000</v>
      </c>
      <c r="I9" s="35" t="str">
        <f t="shared" si="6"/>
        <v/>
      </c>
      <c r="J9" s="29">
        <f t="shared" si="7"/>
        <v>-207.0833333</v>
      </c>
    </row>
    <row r="10">
      <c r="A10" s="27">
        <f t="shared" si="1"/>
        <v>43598</v>
      </c>
      <c r="B10" s="29">
        <v>438468.15999999986</v>
      </c>
      <c r="C10" s="30" t="str">
        <f t="shared" si="2"/>
        <v>EUR</v>
      </c>
      <c r="D10" s="30">
        <v>0.0125</v>
      </c>
      <c r="E10" s="30">
        <f t="shared" si="3"/>
        <v>0.04</v>
      </c>
      <c r="F10" s="32">
        <f t="shared" si="4"/>
        <v>1</v>
      </c>
      <c r="G10" s="29">
        <f t="shared" si="5"/>
        <v>-17.25694444</v>
      </c>
      <c r="H10" s="35">
        <f>IF($A10,Dashboard!$B$44,)</f>
        <v>497000</v>
      </c>
      <c r="I10" s="35" t="str">
        <f t="shared" si="6"/>
        <v/>
      </c>
      <c r="J10" s="29">
        <f t="shared" si="7"/>
        <v>-224.3402778</v>
      </c>
    </row>
    <row r="11">
      <c r="A11" s="27">
        <f t="shared" si="1"/>
        <v>43599</v>
      </c>
      <c r="B11" s="29">
        <v>438468.15999999986</v>
      </c>
      <c r="C11" s="30" t="str">
        <f t="shared" si="2"/>
        <v>EUR</v>
      </c>
      <c r="D11" s="30">
        <v>0.0125</v>
      </c>
      <c r="E11" s="30">
        <f t="shared" si="3"/>
        <v>0.04</v>
      </c>
      <c r="F11" s="32">
        <f t="shared" si="4"/>
        <v>1</v>
      </c>
      <c r="G11" s="29">
        <f t="shared" si="5"/>
        <v>-17.25694444</v>
      </c>
      <c r="H11" s="35">
        <f>IF($A11,Dashboard!$B$44,)</f>
        <v>497000</v>
      </c>
      <c r="I11" s="35" t="str">
        <f t="shared" si="6"/>
        <v/>
      </c>
      <c r="J11" s="29">
        <f t="shared" si="7"/>
        <v>-241.5972222</v>
      </c>
    </row>
    <row r="12">
      <c r="A12" s="27">
        <f t="shared" si="1"/>
        <v>43600</v>
      </c>
      <c r="B12" s="29">
        <v>438468.15999999986</v>
      </c>
      <c r="C12" s="30" t="str">
        <f t="shared" si="2"/>
        <v>EUR</v>
      </c>
      <c r="D12" s="30">
        <v>0.0125</v>
      </c>
      <c r="E12" s="30">
        <f t="shared" si="3"/>
        <v>0.04</v>
      </c>
      <c r="F12" s="32">
        <f t="shared" si="4"/>
        <v>1</v>
      </c>
      <c r="G12" s="29">
        <f t="shared" si="5"/>
        <v>-17.25694444</v>
      </c>
      <c r="H12" s="35">
        <f>IF($A12,Dashboard!$B$44,)</f>
        <v>497000</v>
      </c>
      <c r="I12" s="35" t="str">
        <f t="shared" si="6"/>
        <v/>
      </c>
      <c r="J12" s="29">
        <f t="shared" si="7"/>
        <v>-258.8541667</v>
      </c>
    </row>
    <row r="13">
      <c r="A13" s="27">
        <f t="shared" si="1"/>
        <v>43601</v>
      </c>
      <c r="B13" s="29">
        <v>438468.15999999986</v>
      </c>
      <c r="C13" s="30" t="str">
        <f t="shared" si="2"/>
        <v>EUR</v>
      </c>
      <c r="D13" s="30">
        <v>0.0125</v>
      </c>
      <c r="E13" s="30">
        <f t="shared" si="3"/>
        <v>0.04</v>
      </c>
      <c r="F13" s="32">
        <f t="shared" si="4"/>
        <v>1</v>
      </c>
      <c r="G13" s="29">
        <f t="shared" si="5"/>
        <v>-17.25694444</v>
      </c>
      <c r="H13" s="35">
        <f>IF($A13,Dashboard!$B$44,)</f>
        <v>497000</v>
      </c>
      <c r="I13" s="35" t="str">
        <f t="shared" si="6"/>
        <v/>
      </c>
      <c r="J13" s="29">
        <f t="shared" si="7"/>
        <v>-276.1111111</v>
      </c>
    </row>
    <row r="14">
      <c r="A14" s="27">
        <f t="shared" si="1"/>
        <v>43602</v>
      </c>
      <c r="B14" s="29">
        <v>438468.15999999986</v>
      </c>
      <c r="C14" s="30" t="str">
        <f t="shared" si="2"/>
        <v>EUR</v>
      </c>
      <c r="D14" s="30">
        <v>0.0125</v>
      </c>
      <c r="E14" s="30">
        <f t="shared" si="3"/>
        <v>0.04</v>
      </c>
      <c r="F14" s="32">
        <f t="shared" si="4"/>
        <v>3</v>
      </c>
      <c r="G14" s="29">
        <f t="shared" si="5"/>
        <v>-51.77083333</v>
      </c>
      <c r="H14" s="35">
        <f>IF($A14,Dashboard!$B$44,)</f>
        <v>497000</v>
      </c>
      <c r="I14" s="35" t="str">
        <f t="shared" si="6"/>
        <v/>
      </c>
      <c r="J14" s="29">
        <f t="shared" si="7"/>
        <v>-327.8819444</v>
      </c>
    </row>
    <row r="15">
      <c r="A15" s="27">
        <f t="shared" si="1"/>
        <v>43605</v>
      </c>
      <c r="B15" s="29">
        <v>438468.15999999986</v>
      </c>
      <c r="C15" s="30" t="str">
        <f t="shared" si="2"/>
        <v>EUR</v>
      </c>
      <c r="D15" s="30">
        <v>0.0125</v>
      </c>
      <c r="E15" s="30">
        <f t="shared" si="3"/>
        <v>0.04</v>
      </c>
      <c r="F15" s="32">
        <f t="shared" si="4"/>
        <v>1</v>
      </c>
      <c r="G15" s="29">
        <f t="shared" si="5"/>
        <v>-17.25694444</v>
      </c>
      <c r="H15" s="35">
        <f>IF($A15,Dashboard!$B$44,)</f>
        <v>497000</v>
      </c>
      <c r="I15" s="35" t="str">
        <f t="shared" si="6"/>
        <v/>
      </c>
      <c r="J15" s="29">
        <f t="shared" si="7"/>
        <v>-345.1388889</v>
      </c>
    </row>
    <row r="16">
      <c r="A16" s="27">
        <f t="shared" si="1"/>
        <v>43606</v>
      </c>
      <c r="B16" s="29">
        <v>438468.15999999986</v>
      </c>
      <c r="C16" s="30" t="str">
        <f t="shared" si="2"/>
        <v>EUR</v>
      </c>
      <c r="D16" s="30">
        <v>0.0125</v>
      </c>
      <c r="E16" s="30">
        <f t="shared" si="3"/>
        <v>0.04</v>
      </c>
      <c r="F16" s="32">
        <f t="shared" si="4"/>
        <v>1</v>
      </c>
      <c r="G16" s="29">
        <f t="shared" si="5"/>
        <v>-17.25694444</v>
      </c>
      <c r="H16" s="35">
        <f>IF($A16,Dashboard!$B$44,)</f>
        <v>497000</v>
      </c>
      <c r="I16" s="35" t="str">
        <f t="shared" si="6"/>
        <v/>
      </c>
      <c r="J16" s="29">
        <f t="shared" si="7"/>
        <v>-362.3958333</v>
      </c>
    </row>
    <row r="17">
      <c r="A17" s="27">
        <f t="shared" si="1"/>
        <v>43607</v>
      </c>
      <c r="B17" s="29">
        <v>438468.15999999986</v>
      </c>
      <c r="C17" s="30" t="str">
        <f t="shared" si="2"/>
        <v>EUR</v>
      </c>
      <c r="D17" s="30">
        <v>0.0125</v>
      </c>
      <c r="E17" s="30">
        <f t="shared" si="3"/>
        <v>0.04</v>
      </c>
      <c r="F17" s="32">
        <f t="shared" si="4"/>
        <v>1</v>
      </c>
      <c r="G17" s="29">
        <f t="shared" si="5"/>
        <v>-17.25694444</v>
      </c>
      <c r="H17" s="35">
        <f>IF($A17,Dashboard!$B$44,)</f>
        <v>497000</v>
      </c>
      <c r="I17" s="35" t="str">
        <f t="shared" si="6"/>
        <v/>
      </c>
      <c r="J17" s="29">
        <f t="shared" si="7"/>
        <v>-379.6527778</v>
      </c>
    </row>
    <row r="18">
      <c r="A18" s="27">
        <f t="shared" si="1"/>
        <v>43608</v>
      </c>
      <c r="B18" s="29">
        <v>438468.15999999986</v>
      </c>
      <c r="C18" s="30" t="str">
        <f t="shared" si="2"/>
        <v>EUR</v>
      </c>
      <c r="D18" s="30">
        <v>0.0125</v>
      </c>
      <c r="E18" s="30">
        <f t="shared" si="3"/>
        <v>0.04</v>
      </c>
      <c r="F18" s="32">
        <f t="shared" si="4"/>
        <v>1</v>
      </c>
      <c r="G18" s="29">
        <f t="shared" si="5"/>
        <v>-17.25694444</v>
      </c>
      <c r="H18" s="35">
        <f>IF($A18,Dashboard!$B$44,)</f>
        <v>497000</v>
      </c>
      <c r="I18" s="35" t="str">
        <f t="shared" si="6"/>
        <v/>
      </c>
      <c r="J18" s="29">
        <f t="shared" si="7"/>
        <v>-396.9097222</v>
      </c>
    </row>
    <row r="19">
      <c r="A19" s="27">
        <f t="shared" si="1"/>
        <v>43609</v>
      </c>
      <c r="B19" s="29">
        <v>438468.15999999986</v>
      </c>
      <c r="C19" s="30" t="str">
        <f t="shared" si="2"/>
        <v>EUR</v>
      </c>
      <c r="D19" s="30">
        <v>0.0125</v>
      </c>
      <c r="E19" s="30">
        <f t="shared" si="3"/>
        <v>0.04</v>
      </c>
      <c r="F19" s="32">
        <f t="shared" si="4"/>
        <v>3</v>
      </c>
      <c r="G19" s="29">
        <f t="shared" si="5"/>
        <v>-51.77083333</v>
      </c>
      <c r="H19" s="35">
        <f>IF($A19,Dashboard!$B$44,)</f>
        <v>497000</v>
      </c>
      <c r="I19" s="35" t="str">
        <f t="shared" si="6"/>
        <v/>
      </c>
      <c r="J19" s="29">
        <f t="shared" si="7"/>
        <v>-448.6805556</v>
      </c>
    </row>
    <row r="20">
      <c r="A20" s="27">
        <f t="shared" si="1"/>
        <v>43612</v>
      </c>
      <c r="B20" s="29">
        <v>438468.15999999986</v>
      </c>
      <c r="C20" s="30" t="str">
        <f t="shared" si="2"/>
        <v>EUR</v>
      </c>
      <c r="D20" s="30">
        <v>0.0125</v>
      </c>
      <c r="E20" s="30">
        <f t="shared" si="3"/>
        <v>0.04</v>
      </c>
      <c r="F20" s="32">
        <f t="shared" si="4"/>
        <v>1</v>
      </c>
      <c r="G20" s="29">
        <f t="shared" si="5"/>
        <v>-17.25694444</v>
      </c>
      <c r="H20" s="35">
        <f>IF($A20,Dashboard!$B$44,)</f>
        <v>497000</v>
      </c>
      <c r="I20" s="35" t="str">
        <f t="shared" si="6"/>
        <v/>
      </c>
      <c r="J20" s="29">
        <f t="shared" si="7"/>
        <v>-465.9375</v>
      </c>
    </row>
    <row r="21">
      <c r="A21" s="27">
        <f t="shared" si="1"/>
        <v>43613</v>
      </c>
      <c r="B21" s="29">
        <v>438468.15999999986</v>
      </c>
      <c r="C21" s="30" t="str">
        <f t="shared" si="2"/>
        <v>EUR</v>
      </c>
      <c r="D21" s="30">
        <v>0.0125</v>
      </c>
      <c r="E21" s="30">
        <f t="shared" si="3"/>
        <v>0.04</v>
      </c>
      <c r="F21" s="32">
        <f t="shared" si="4"/>
        <v>1</v>
      </c>
      <c r="G21" s="29">
        <f t="shared" si="5"/>
        <v>-17.25694444</v>
      </c>
      <c r="H21" s="35">
        <f>IF($A21,Dashboard!$B$44,)</f>
        <v>497000</v>
      </c>
      <c r="I21" s="35" t="str">
        <f t="shared" si="6"/>
        <v/>
      </c>
      <c r="J21" s="29">
        <f t="shared" si="7"/>
        <v>-483.1944444</v>
      </c>
    </row>
    <row r="22">
      <c r="A22" s="27">
        <f t="shared" si="1"/>
        <v>43614</v>
      </c>
      <c r="B22" s="29">
        <v>438468.15999999986</v>
      </c>
      <c r="C22" s="30" t="str">
        <f t="shared" si="2"/>
        <v>EUR</v>
      </c>
      <c r="D22" s="30">
        <v>0.0125</v>
      </c>
      <c r="E22" s="30">
        <f t="shared" si="3"/>
        <v>0.04</v>
      </c>
      <c r="F22" s="32">
        <f t="shared" si="4"/>
        <v>1</v>
      </c>
      <c r="G22" s="29">
        <f t="shared" si="5"/>
        <v>-17.25694444</v>
      </c>
      <c r="H22" s="35">
        <f>IF($A22,Dashboard!$B$44,)</f>
        <v>497000</v>
      </c>
      <c r="I22" s="35" t="str">
        <f t="shared" si="6"/>
        <v/>
      </c>
      <c r="J22" s="29">
        <f t="shared" si="7"/>
        <v>-500.4513889</v>
      </c>
    </row>
    <row r="23">
      <c r="A23" s="27">
        <f t="shared" si="1"/>
        <v>43615</v>
      </c>
      <c r="B23" s="29">
        <v>438468.15999999986</v>
      </c>
      <c r="C23" s="30" t="str">
        <f t="shared" si="2"/>
        <v>EUR</v>
      </c>
      <c r="D23" s="30">
        <v>0.0125</v>
      </c>
      <c r="E23" s="30">
        <f t="shared" si="3"/>
        <v>0.04</v>
      </c>
      <c r="F23" s="32">
        <f t="shared" si="4"/>
        <v>1</v>
      </c>
      <c r="G23" s="29">
        <f t="shared" si="5"/>
        <v>-17.25694444</v>
      </c>
      <c r="H23" s="35">
        <f>IF($A23,Dashboard!$B$44,)</f>
        <v>497000</v>
      </c>
      <c r="I23" s="35" t="str">
        <f t="shared" si="6"/>
        <v/>
      </c>
      <c r="J23" s="29">
        <f t="shared" si="7"/>
        <v>-517.7083333</v>
      </c>
    </row>
    <row r="24">
      <c r="A24" s="27">
        <f t="shared" si="1"/>
        <v>43616</v>
      </c>
      <c r="B24" s="29">
        <v>481904.29999999993</v>
      </c>
      <c r="C24" s="30" t="str">
        <f t="shared" si="2"/>
        <v>EUR</v>
      </c>
      <c r="D24" s="30">
        <v>0.0125</v>
      </c>
      <c r="E24" s="30">
        <f t="shared" si="3"/>
        <v>0.04</v>
      </c>
      <c r="F24" s="32">
        <f t="shared" si="4"/>
        <v>3</v>
      </c>
      <c r="G24" s="29">
        <f t="shared" si="5"/>
        <v>-51.77083333</v>
      </c>
      <c r="H24" s="35">
        <f>IF($A24,Dashboard!$B$44,)</f>
        <v>497000</v>
      </c>
      <c r="I24" s="35" t="str">
        <f t="shared" si="6"/>
        <v/>
      </c>
      <c r="J24" s="29">
        <f t="shared" si="7"/>
        <v>-569.4791667</v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7" t="s">
        <v>2</v>
      </c>
      <c r="B1" s="7" t="s">
        <v>17</v>
      </c>
      <c r="C1" s="7" t="s">
        <v>19</v>
      </c>
      <c r="D1" s="7" t="s">
        <v>20</v>
      </c>
      <c r="E1" s="7" t="s">
        <v>22</v>
      </c>
      <c r="F1" s="9" t="s">
        <v>23</v>
      </c>
      <c r="G1" s="7" t="s">
        <v>29</v>
      </c>
      <c r="H1" s="7" t="s">
        <v>30</v>
      </c>
      <c r="I1" s="7"/>
      <c r="J1" s="7" t="s">
        <v>31</v>
      </c>
      <c r="K1" s="7"/>
      <c r="L1" s="14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5"/>
      <c r="N1" s="16"/>
      <c r="O1" s="17" t="s">
        <v>2</v>
      </c>
      <c r="P1" s="18" t="s">
        <v>59</v>
      </c>
      <c r="Q1" s="19" t="s">
        <v>60</v>
      </c>
      <c r="R1" s="18" t="s">
        <v>61</v>
      </c>
      <c r="S1" s="18" t="s">
        <v>62</v>
      </c>
      <c r="T1" s="21" t="s">
        <v>63</v>
      </c>
      <c r="U1" s="22" t="s">
        <v>64</v>
      </c>
      <c r="V1" s="23"/>
      <c r="W1" s="24"/>
      <c r="X1" s="24"/>
      <c r="Y1" s="23"/>
      <c r="Z1" s="24"/>
      <c r="AA1" s="23"/>
      <c r="AB1" s="25"/>
      <c r="AC1" s="25"/>
      <c r="AD1" s="25"/>
      <c r="AE1" s="25"/>
      <c r="AF1" s="25"/>
      <c r="AG1" s="25"/>
      <c r="AH1" s="25"/>
      <c r="AI1" s="25"/>
      <c r="AJ1" s="25"/>
    </row>
    <row r="2">
      <c r="A2" s="7" t="s">
        <v>65</v>
      </c>
      <c r="B2" s="7" t="s">
        <v>66</v>
      </c>
      <c r="C2" s="7" t="s">
        <v>65</v>
      </c>
      <c r="D2" s="7"/>
      <c r="E2" s="7"/>
      <c r="F2" s="9" t="s">
        <v>67</v>
      </c>
      <c r="G2" s="7"/>
      <c r="H2" s="7" t="s">
        <v>68</v>
      </c>
      <c r="I2" s="7" t="s">
        <v>69</v>
      </c>
      <c r="J2" s="7" t="s">
        <v>68</v>
      </c>
      <c r="K2" s="7" t="s">
        <v>70</v>
      </c>
      <c r="L2" s="26" t="str">
        <f t="shared" si="1"/>
        <v/>
      </c>
      <c r="M2" s="28">
        <f>IFERROR(__xludf.DUMMYFUNCTION("IF(Account!$F2&lt;&gt;"""", VALUE(REGEXREPLACE($I2, ""\,"", ""."")), """")"),-500.0)</f>
        <v>-500</v>
      </c>
      <c r="N2" s="31">
        <f>IF(Account!$F2&lt;&gt;"", DATEVALUE(MID($A2,4,3) &amp; LEFT($A2,3) &amp; RIGHT($A2,4)) + TIMEVALUE($B2), "")</f>
        <v>43596.90694</v>
      </c>
      <c r="O2" s="33">
        <f>IF(Account!$F2&lt;&gt;"", DATEVALUE(MID($A2,4,3) &amp; LEFT($A2,3) &amp; RIGHT($A2,4)), "")</f>
        <v>43596</v>
      </c>
      <c r="P2" s="34" t="str">
        <f>IFERROR(VLOOKUP($Q2,Selection!$F:$G,2,false))</f>
        <v/>
      </c>
      <c r="Q2" s="36" t="str">
        <f>IF(AND($X2="change",$H2="EUR"),IF(AND($Z2="Crédit",$N2=$N3),$Q3,IF(AND($Z2="Débit",$N2=$N1),$Q1)),IF(OR(AND(OR($E2&lt;&gt;"",$L2=""),$M2&lt;&gt;0),$A2=""),IFERROR(VLOOKUP($E2,Selection!$E:$F,2,false)),IFERROR(VLOOKUP(SUBSTITUTE($I2,"-","",1),$K3:$Q1119,7,false),VLOOKUP($K2,$K3:$Q1119,7,false))))</f>
        <v/>
      </c>
      <c r="R2" s="34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APPROVISIONNEMENT</v>
      </c>
      <c r="S2" s="37" t="str">
        <f t="shared" ref="S2:S1119" si="3">IF(AND(OR($V2="Achat",$V2="Vente", $X2="change"),E2&lt;&gt;""),IF(SUMIFS(L:L,N:N,N2,Q:Q,Q2)&lt;&gt;0,SUMIFS(L:L,N:N,N2,Q:Q,Q2),""),"")</f>
        <v/>
      </c>
      <c r="T2" s="38" t="str">
        <f t="shared" ref="T2:T1119" si="4">IF(AND(S2&lt;&gt;0,S2&lt;&gt;""),-U2/S2,"")</f>
        <v/>
      </c>
      <c r="U2" s="28">
        <f t="shared" ref="U2:U1119" si="5"> IF($F2&lt;&gt;"",IF(Q2&lt;&gt;"",SUMIFS(M:M,N:N,N2,R:R,R2,Q:Q,Q2),SUMIFS(M:M,N:N,N2,R:R,R2,Q:Q,"=")),"")</f>
        <v>-500</v>
      </c>
      <c r="V2" s="39" t="str">
        <f>IFERROR(__xludf.DUMMYFUNCTION(" IF(Account!$F2&lt;&gt;"""", SPLIT(Account!$F2, "" ""), """")"),"Retrait")</f>
        <v>Retrait</v>
      </c>
      <c r="W2" s="40" t="str">
        <f>IFERROR(__xludf.DUMMYFUNCTION("""COMPUTED_VALUE"""),"de")</f>
        <v>de</v>
      </c>
      <c r="X2" s="41" t="str">
        <f>IFERROR(__xludf.DUMMYFUNCTION("""COMPUTED_VALUE"""),"fonds")</f>
        <v>fonds</v>
      </c>
      <c r="Y2" s="41" t="str">
        <f>IFERROR(__xludf.DUMMYFUNCTION("""COMPUTED_VALUE"""),"en")</f>
        <v>en</v>
      </c>
      <c r="Z2" s="41" t="str">
        <f>IFERROR(__xludf.DUMMYFUNCTION("""COMPUTED_VALUE"""),"cours")</f>
        <v>cours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>
      <c r="A3" s="7" t="s">
        <v>71</v>
      </c>
      <c r="B3" s="7" t="s">
        <v>72</v>
      </c>
      <c r="C3" s="7" t="s">
        <v>71</v>
      </c>
      <c r="D3" s="7" t="s">
        <v>73</v>
      </c>
      <c r="E3" s="7" t="s">
        <v>74</v>
      </c>
      <c r="F3" s="9" t="s">
        <v>75</v>
      </c>
      <c r="G3" s="7"/>
      <c r="H3" s="7" t="s">
        <v>68</v>
      </c>
      <c r="I3" s="7" t="s">
        <v>76</v>
      </c>
      <c r="J3" s="7" t="s">
        <v>68</v>
      </c>
      <c r="K3" s="7" t="s">
        <v>77</v>
      </c>
      <c r="L3" s="26" t="str">
        <f t="shared" si="1"/>
        <v/>
      </c>
      <c r="M3" s="28">
        <f>IFERROR(__xludf.DUMMYFUNCTION("IF(Account!$F3&lt;&gt;"""", VALUE(REGEXREPLACE($I3, ""\,"", ""."")), """")"),-2.0)</f>
        <v>-2</v>
      </c>
      <c r="N3" s="31">
        <f>IF(Account!$F3&lt;&gt;"", DATEVALUE(MID($A3,4,3) &amp; LEFT($A3,3) &amp; RIGHT($A3,4)) + TIMEVALUE($B3), "")</f>
        <v>43593.53194</v>
      </c>
      <c r="O3" s="33">
        <f>IF(Account!$F3&lt;&gt;"", DATEVALUE(MID($A3,4,3) &amp; LEFT($A3,3) &amp; RIGHT($A3,4)), "")</f>
        <v>43593</v>
      </c>
      <c r="P3" s="34" t="str">
        <f>IFERROR(VLOOKUP($Q3,Selection!$F:$G,2,false))</f>
        <v>Long term US bonds (20-25 year)</v>
      </c>
      <c r="Q3" s="36" t="str">
        <f>IF(AND($X3="change",$H3="EUR"),IF(AND($Z3="Crédit",$N3=$N4),$Q4,IF(AND($Z3="Débit",$N3=$N2),$Q2)),IF(OR(AND(OR($E3&lt;&gt;"",$L3=""),$M3&lt;&gt;0),$A3=""),IFERROR(VLOOKUP($E3,Selection!$E:$F,2,false)),IFERROR(VLOOKUP(SUBSTITUTE($I3,"-","",1),$K4:$Q1119,7,false),VLOOKUP($K3,$K4:$Q1119,7,false))))</f>
        <v>iShares USD Treasury Bond 20+yr UCITS ETF</v>
      </c>
      <c r="R3" s="34" t="str">
        <f t="shared" si="2"/>
        <v>COST</v>
      </c>
      <c r="S3" s="37" t="str">
        <f t="shared" si="3"/>
        <v/>
      </c>
      <c r="T3" s="38" t="str">
        <f t="shared" si="4"/>
        <v/>
      </c>
      <c r="U3" s="28">
        <f t="shared" si="5"/>
        <v>-2.35</v>
      </c>
      <c r="V3" s="39" t="str">
        <f>IFERROR(__xludf.DUMMYFUNCTION(" IF(Account!$F3&lt;&gt;"""", SPLIT(Account!$F3, "" ""), """")"),"Frais")</f>
        <v>Frais</v>
      </c>
      <c r="W3" s="40" t="str">
        <f>IFERROR(__xludf.DUMMYFUNCTION("""COMPUTED_VALUE"""),"de")</f>
        <v>de</v>
      </c>
      <c r="X3" s="41" t="str">
        <f>IFERROR(__xludf.DUMMYFUNCTION("""COMPUTED_VALUE"""),"courtage")</f>
        <v>courtage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>
      <c r="A4" s="7" t="s">
        <v>71</v>
      </c>
      <c r="B4" s="7" t="s">
        <v>72</v>
      </c>
      <c r="C4" s="7" t="s">
        <v>71</v>
      </c>
      <c r="D4" s="7" t="s">
        <v>73</v>
      </c>
      <c r="E4" s="7" t="s">
        <v>74</v>
      </c>
      <c r="F4" s="9" t="s">
        <v>75</v>
      </c>
      <c r="G4" s="7"/>
      <c r="H4" s="7" t="s">
        <v>68</v>
      </c>
      <c r="I4" s="7" t="s">
        <v>78</v>
      </c>
      <c r="J4" s="7" t="s">
        <v>68</v>
      </c>
      <c r="K4" s="7" t="s">
        <v>79</v>
      </c>
      <c r="L4" s="26" t="str">
        <f t="shared" si="1"/>
        <v/>
      </c>
      <c r="M4" s="28">
        <f>IFERROR(__xludf.DUMMYFUNCTION("IF(Account!$F4&lt;&gt;"""", VALUE(REGEXREPLACE($I4, ""\,"", ""."")), """")"),-0.35)</f>
        <v>-0.35</v>
      </c>
      <c r="N4" s="31">
        <f>IF(Account!$F4&lt;&gt;"", DATEVALUE(MID($A4,4,3) &amp; LEFT($A4,3) &amp; RIGHT($A4,4)) + TIMEVALUE($B4), "")</f>
        <v>43593.53194</v>
      </c>
      <c r="O4" s="33">
        <f>IF(Account!$F4&lt;&gt;"", DATEVALUE(MID($A4,4,3) &amp; LEFT($A4,3) &amp; RIGHT($A4,4)), "")</f>
        <v>43593</v>
      </c>
      <c r="P4" s="34" t="str">
        <f>IFERROR(VLOOKUP($Q4,Selection!$F:$G,2,false))</f>
        <v>Long term US bonds (20-25 year)</v>
      </c>
      <c r="Q4" s="36" t="str">
        <f>IF(AND($X4="change",$H4="EUR"),IF(AND($Z4="Crédit",$N4=$N5),$Q5,IF(AND($Z4="Débit",$N4=$N3),$Q3)),IF(OR(AND(OR($E4&lt;&gt;"",$L4=""),$M4&lt;&gt;0),$A4=""),IFERROR(VLOOKUP($E4,Selection!$E:$F,2,false)),IFERROR(VLOOKUP(SUBSTITUTE($I4,"-","",1),$K5:$Q1119,7,false),VLOOKUP($K4,$K5:$Q1119,7,false))))</f>
        <v>iShares USD Treasury Bond 20+yr UCITS ETF</v>
      </c>
      <c r="R4" s="34" t="str">
        <f t="shared" si="2"/>
        <v>COST</v>
      </c>
      <c r="S4" s="37" t="str">
        <f t="shared" si="3"/>
        <v/>
      </c>
      <c r="T4" s="38" t="str">
        <f t="shared" si="4"/>
        <v/>
      </c>
      <c r="U4" s="28">
        <f t="shared" si="5"/>
        <v>-2.35</v>
      </c>
      <c r="V4" s="39" t="str">
        <f>IFERROR(__xludf.DUMMYFUNCTION(" IF(Account!$F4&lt;&gt;"""", SPLIT(Account!$F4, "" ""), """")"),"Frais")</f>
        <v>Frais</v>
      </c>
      <c r="W4" s="42" t="str">
        <f>IFERROR(__xludf.DUMMYFUNCTION("""COMPUTED_VALUE"""),"de")</f>
        <v>de</v>
      </c>
      <c r="X4" s="42" t="str">
        <f>IFERROR(__xludf.DUMMYFUNCTION("""COMPUTED_VALUE"""),"courtage")</f>
        <v>courtage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</row>
    <row r="5">
      <c r="A5" s="7" t="s">
        <v>71</v>
      </c>
      <c r="B5" s="7" t="s">
        <v>72</v>
      </c>
      <c r="C5" s="7" t="s">
        <v>71</v>
      </c>
      <c r="D5" s="7" t="s">
        <v>73</v>
      </c>
      <c r="E5" s="7" t="s">
        <v>74</v>
      </c>
      <c r="F5" s="9" t="s">
        <v>80</v>
      </c>
      <c r="G5" s="7"/>
      <c r="H5" s="7" t="s">
        <v>68</v>
      </c>
      <c r="I5" s="7" t="s">
        <v>81</v>
      </c>
      <c r="J5" s="7" t="s">
        <v>68</v>
      </c>
      <c r="K5" s="7" t="s">
        <v>82</v>
      </c>
      <c r="L5" s="26">
        <f t="shared" si="1"/>
        <v>-412</v>
      </c>
      <c r="M5" s="28">
        <f>IFERROR(__xludf.DUMMYFUNCTION("IF(Account!$F5&lt;&gt;"""", VALUE(REGEXREPLACE($I5, ""\,"", ""."")), """")"),1738.97)</f>
        <v>1738.97</v>
      </c>
      <c r="N5" s="31">
        <f>IF(Account!$F5&lt;&gt;"", DATEVALUE(MID($A5,4,3) &amp; LEFT($A5,3) &amp; RIGHT($A5,4)) + TIMEVALUE($B5), "")</f>
        <v>43593.53194</v>
      </c>
      <c r="O5" s="33">
        <f>IF(Account!$F5&lt;&gt;"", DATEVALUE(MID($A5,4,3) &amp; LEFT($A5,3) &amp; RIGHT($A5,4)), "")</f>
        <v>43593</v>
      </c>
      <c r="P5" s="34" t="str">
        <f>IFERROR(VLOOKUP($Q5,Selection!$F:$G,2,false))</f>
        <v>Long term US bonds (20-25 year)</v>
      </c>
      <c r="Q5" s="36" t="str">
        <f>IF(AND($X5="change",$H5="EUR"),IF(AND($Z5="Crédit",$N5=$N6),$Q6,IF(AND($Z5="Débit",$N5=$N4),$Q4)),IF(OR(AND(OR($E5&lt;&gt;"",$L5=""),$M5&lt;&gt;0),$A5=""),IFERROR(VLOOKUP($E5,Selection!$E:$F,2,false)),IFERROR(VLOOKUP(SUBSTITUTE($I5,"-","",1),$K6:$Q1119,7,false),VLOOKUP($K5,$K6:$Q1119,7,false))))</f>
        <v>iShares USD Treasury Bond 20+yr UCITS ETF</v>
      </c>
      <c r="R5" s="34" t="str">
        <f t="shared" si="2"/>
        <v>SELL</v>
      </c>
      <c r="S5" s="37">
        <f t="shared" si="3"/>
        <v>-412</v>
      </c>
      <c r="T5" s="38">
        <f t="shared" si="4"/>
        <v>4.220800971</v>
      </c>
      <c r="U5" s="28">
        <f t="shared" si="5"/>
        <v>1738.97</v>
      </c>
      <c r="V5" s="39" t="str">
        <f>IFERROR(__xludf.DUMMYFUNCTION(" IF(Account!$F5&lt;&gt;"""", SPLIT(Account!$F5, "" ""), """")"),"Vente")</f>
        <v>Vente</v>
      </c>
      <c r="W5" s="42">
        <f>IFERROR(__xludf.DUMMYFUNCTION("""COMPUTED_VALUE"""),412.0)</f>
        <v>412</v>
      </c>
      <c r="X5" s="42" t="str">
        <f>IFERROR(__xludf.DUMMYFUNCTION("""COMPUTED_VALUE"""),"ISHSIV-DL")</f>
        <v>ISHSIV-DL</v>
      </c>
      <c r="Y5" s="42" t="str">
        <f>IFERROR(__xludf.DUMMYFUNCTION("""COMPUTED_VALUE"""),"T.BD20+YR")</f>
        <v>T.BD20+YR</v>
      </c>
      <c r="Z5" s="42" t="str">
        <f>IFERROR(__xludf.DUMMYFUNCTION("""COMPUTED_VALUE"""),"DL")</f>
        <v>DL</v>
      </c>
      <c r="AA5" s="42" t="str">
        <f>IFERROR(__xludf.DUMMYFUNCTION("""COMPUTED_VALUE"""),"D@4,2208")</f>
        <v>D@4,2208</v>
      </c>
      <c r="AB5" s="42" t="str">
        <f>IFERROR(__xludf.DUMMYFUNCTION("""COMPUTED_VALUE"""),"EUR")</f>
        <v>EUR</v>
      </c>
      <c r="AC5" s="42" t="str">
        <f>IFERROR(__xludf.DUMMYFUNCTION("""COMPUTED_VALUE"""),"(IE00BSKRJZ44)")</f>
        <v>(IE00BSKRJZ44)</v>
      </c>
      <c r="AD5" s="42"/>
      <c r="AE5" s="42"/>
      <c r="AF5" s="42"/>
      <c r="AG5" s="42"/>
      <c r="AH5" s="42"/>
      <c r="AI5" s="42"/>
      <c r="AJ5" s="42"/>
    </row>
    <row r="6">
      <c r="A6" s="7" t="s">
        <v>71</v>
      </c>
      <c r="B6" s="7" t="s">
        <v>84</v>
      </c>
      <c r="C6" s="7" t="s">
        <v>71</v>
      </c>
      <c r="D6" s="7" t="s">
        <v>85</v>
      </c>
      <c r="E6" s="7" t="s">
        <v>86</v>
      </c>
      <c r="F6" s="9" t="s">
        <v>87</v>
      </c>
      <c r="G6" s="7"/>
      <c r="H6" s="7" t="s">
        <v>68</v>
      </c>
      <c r="I6" s="7" t="s">
        <v>88</v>
      </c>
      <c r="J6" s="7" t="s">
        <v>68</v>
      </c>
      <c r="K6" s="7" t="s">
        <v>89</v>
      </c>
      <c r="L6" s="26">
        <f t="shared" si="1"/>
        <v>-7</v>
      </c>
      <c r="M6" s="28">
        <f>IFERROR(__xludf.DUMMYFUNCTION("IF(Account!$F6&lt;&gt;"""", VALUE(REGEXREPLACE($I6, ""\,"", ""."")), """")"),1233.4)</f>
        <v>1233.4</v>
      </c>
      <c r="N6" s="31">
        <f>IF(Account!$F6&lt;&gt;"", DATEVALUE(MID($A6,4,3) &amp; LEFT($A6,3) &amp; RIGHT($A6,4)) + TIMEVALUE($B6), "")</f>
        <v>43593.51111</v>
      </c>
      <c r="O6" s="33">
        <f>IF(Account!$F6&lt;&gt;"", DATEVALUE(MID($A6,4,3) &amp; LEFT($A6,3) &amp; RIGHT($A6,4)), "")</f>
        <v>43593</v>
      </c>
      <c r="P6" s="34" t="str">
        <f>IFERROR(VLOOKUP($Q6,Selection!$F:$G,2,false))</f>
        <v>Intermediate US bonds (7-10 year)</v>
      </c>
      <c r="Q6" s="36" t="str">
        <f>IF(AND($X6="change",$H6="EUR"),IF(AND($Z6="Crédit",$N6=$N7),$Q7,IF(AND($Z6="Débit",$N6=$N5),$Q5)),IF(OR(AND(OR($E6&lt;&gt;"",$L6=""),$M6&lt;&gt;0),$A6=""),IFERROR(VLOOKUP($E6,Selection!$E:$F,2,false)),IFERROR(VLOOKUP(SUBSTITUTE($I6,"-","",1),$K7:$Q1119,7,false),VLOOKUP($K6,$K7:$Q1119,7,false))))</f>
        <v>iShares USD Treasury Bond 7-10yr UCITS ETF</v>
      </c>
      <c r="R6" s="34" t="str">
        <f t="shared" si="2"/>
        <v>SELL</v>
      </c>
      <c r="S6" s="37">
        <f t="shared" si="3"/>
        <v>-7</v>
      </c>
      <c r="T6" s="38">
        <f t="shared" si="4"/>
        <v>176.2</v>
      </c>
      <c r="U6" s="28">
        <f t="shared" si="5"/>
        <v>1233.4</v>
      </c>
      <c r="V6" s="39" t="str">
        <f>IFERROR(__xludf.DUMMYFUNCTION(" IF(Account!$F6&lt;&gt;"""", SPLIT(Account!$F6, "" ""), """")"),"Vente")</f>
        <v>Vente</v>
      </c>
      <c r="W6" s="42">
        <f>IFERROR(__xludf.DUMMYFUNCTION("""COMPUTED_VALUE"""),7.0)</f>
        <v>7</v>
      </c>
      <c r="X6" s="42" t="str">
        <f>IFERROR(__xludf.DUMMYFUNCTION("""COMPUTED_VALUE"""),"ISHARES")</f>
        <v>ISHARES</v>
      </c>
      <c r="Y6" s="42" t="str">
        <f>IFERROR(__xludf.DUMMYFUNCTION("""COMPUTED_VALUE"""),"US")</f>
        <v>US</v>
      </c>
      <c r="Z6" s="42" t="str">
        <f>IFERROR(__xludf.DUMMYFUNCTION("""COMPUTED_VALUE"""),"T")</f>
        <v>T</v>
      </c>
      <c r="AA6" s="42" t="str">
        <f>IFERROR(__xludf.DUMMYFUNCTION("""COMPUTED_VALUE"""),"7-10@176,2")</f>
        <v>7-10@176,2</v>
      </c>
      <c r="AB6" s="42" t="str">
        <f>IFERROR(__xludf.DUMMYFUNCTION("""COMPUTED_VALUE"""),"EUR")</f>
        <v>EUR</v>
      </c>
      <c r="AC6" s="42" t="str">
        <f>IFERROR(__xludf.DUMMYFUNCTION("""COMPUTED_VALUE"""),"(IE00B1FZS798)")</f>
        <v>(IE00B1FZS798)</v>
      </c>
      <c r="AD6" s="42"/>
      <c r="AE6" s="42"/>
      <c r="AF6" s="42"/>
      <c r="AG6" s="42"/>
      <c r="AH6" s="42"/>
      <c r="AI6" s="42"/>
      <c r="AJ6" s="42"/>
    </row>
    <row r="7">
      <c r="A7" s="7" t="s">
        <v>71</v>
      </c>
      <c r="B7" s="7" t="s">
        <v>90</v>
      </c>
      <c r="C7" s="7" t="s">
        <v>71</v>
      </c>
      <c r="D7" s="7" t="s">
        <v>73</v>
      </c>
      <c r="E7" s="7" t="s">
        <v>74</v>
      </c>
      <c r="F7" s="9" t="s">
        <v>75</v>
      </c>
      <c r="G7" s="7"/>
      <c r="H7" s="7" t="s">
        <v>68</v>
      </c>
      <c r="I7" s="7" t="s">
        <v>76</v>
      </c>
      <c r="J7" s="7" t="s">
        <v>68</v>
      </c>
      <c r="K7" s="7" t="s">
        <v>91</v>
      </c>
      <c r="L7" s="26" t="str">
        <f t="shared" si="1"/>
        <v/>
      </c>
      <c r="M7" s="28">
        <f>IFERROR(__xludf.DUMMYFUNCTION("IF(Account!$F7&lt;&gt;"""", VALUE(REGEXREPLACE($I7, ""\,"", ""."")), """")"),-2.0)</f>
        <v>-2</v>
      </c>
      <c r="N7" s="31">
        <f>IF(Account!$F7&lt;&gt;"", DATEVALUE(MID($A7,4,3) &amp; LEFT($A7,3) &amp; RIGHT($A7,4)) + TIMEVALUE($B7), "")</f>
        <v>43593.47917</v>
      </c>
      <c r="O7" s="33">
        <f>IF(Account!$F7&lt;&gt;"", DATEVALUE(MID($A7,4,3) &amp; LEFT($A7,3) &amp; RIGHT($A7,4)), "")</f>
        <v>43593</v>
      </c>
      <c r="P7" s="34" t="str">
        <f>IFERROR(VLOOKUP($Q7,Selection!$F:$G,2,false))</f>
        <v>Long term US bonds (20-25 year)</v>
      </c>
      <c r="Q7" s="36" t="str">
        <f>IF(AND($X7="change",$H7="EUR"),IF(AND($Z7="Crédit",$N7=$N8),$Q8,IF(AND($Z7="Débit",$N7=$N6),$Q6)),IF(OR(AND(OR($E7&lt;&gt;"",$L7=""),$M7&lt;&gt;0),$A7=""),IFERROR(VLOOKUP($E7,Selection!$E:$F,2,false)),IFERROR(VLOOKUP(SUBSTITUTE($I7,"-","",1),$K8:$Q1119,7,false),VLOOKUP($K7,$K8:$Q1119,7,false))))</f>
        <v>iShares USD Treasury Bond 20+yr UCITS ETF</v>
      </c>
      <c r="R7" s="34" t="str">
        <f t="shared" si="2"/>
        <v>COST</v>
      </c>
      <c r="S7" s="37" t="str">
        <f t="shared" si="3"/>
        <v/>
      </c>
      <c r="T7" s="38" t="str">
        <f t="shared" si="4"/>
        <v/>
      </c>
      <c r="U7" s="28">
        <f t="shared" si="5"/>
        <v>-2.33</v>
      </c>
      <c r="V7" s="39" t="str">
        <f>IFERROR(__xludf.DUMMYFUNCTION(" IF(Account!$F7&lt;&gt;"""", SPLIT(Account!$F7, "" ""), """")"),"Frais")</f>
        <v>Frais</v>
      </c>
      <c r="W7" s="42" t="str">
        <f>IFERROR(__xludf.DUMMYFUNCTION("""COMPUTED_VALUE"""),"de")</f>
        <v>de</v>
      </c>
      <c r="X7" s="42" t="str">
        <f>IFERROR(__xludf.DUMMYFUNCTION("""COMPUTED_VALUE"""),"courtage")</f>
        <v>courtage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>
      <c r="A8" s="7" t="s">
        <v>71</v>
      </c>
      <c r="B8" s="7" t="s">
        <v>90</v>
      </c>
      <c r="C8" s="7" t="s">
        <v>71</v>
      </c>
      <c r="D8" s="7" t="s">
        <v>73</v>
      </c>
      <c r="E8" s="7" t="s">
        <v>74</v>
      </c>
      <c r="F8" s="9" t="s">
        <v>75</v>
      </c>
      <c r="G8" s="7"/>
      <c r="H8" s="7" t="s">
        <v>68</v>
      </c>
      <c r="I8" s="7" t="s">
        <v>93</v>
      </c>
      <c r="J8" s="7" t="s">
        <v>68</v>
      </c>
      <c r="K8" s="7" t="s">
        <v>94</v>
      </c>
      <c r="L8" s="26" t="str">
        <f t="shared" si="1"/>
        <v/>
      </c>
      <c r="M8" s="28">
        <f>IFERROR(__xludf.DUMMYFUNCTION("IF(Account!$F8&lt;&gt;"""", VALUE(REGEXREPLACE($I8, ""\,"", ""."")), """")"),-0.33)</f>
        <v>-0.33</v>
      </c>
      <c r="N8" s="31">
        <f>IF(Account!$F8&lt;&gt;"", DATEVALUE(MID($A8,4,3) &amp; LEFT($A8,3) &amp; RIGHT($A8,4)) + TIMEVALUE($B8), "")</f>
        <v>43593.47917</v>
      </c>
      <c r="O8" s="33">
        <f>IF(Account!$F8&lt;&gt;"", DATEVALUE(MID($A8,4,3) &amp; LEFT($A8,3) &amp; RIGHT($A8,4)), "")</f>
        <v>43593</v>
      </c>
      <c r="P8" s="34" t="str">
        <f>IFERROR(VLOOKUP($Q8,Selection!$F:$G,2,false))</f>
        <v>Long term US bonds (20-25 year)</v>
      </c>
      <c r="Q8" s="36" t="str">
        <f>IF(AND($X8="change",$H8="EUR"),IF(AND($Z8="Crédit",$N8=$N9),$Q9,IF(AND($Z8="Débit",$N8=$N7),$Q7)),IF(OR(AND(OR($E8&lt;&gt;"",$L8=""),$M8&lt;&gt;0),$A8=""),IFERROR(VLOOKUP($E8,Selection!$E:$F,2,false)),IFERROR(VLOOKUP(SUBSTITUTE($I8,"-","",1),$K9:$Q1119,7,false),VLOOKUP($K8,$K9:$Q1119,7,false))))</f>
        <v>iShares USD Treasury Bond 20+yr UCITS ETF</v>
      </c>
      <c r="R8" s="34" t="str">
        <f t="shared" si="2"/>
        <v>COST</v>
      </c>
      <c r="S8" s="37" t="str">
        <f t="shared" si="3"/>
        <v/>
      </c>
      <c r="T8" s="38" t="str">
        <f t="shared" si="4"/>
        <v/>
      </c>
      <c r="U8" s="28">
        <f t="shared" si="5"/>
        <v>-2.33</v>
      </c>
      <c r="V8" s="39" t="str">
        <f>IFERROR(__xludf.DUMMYFUNCTION(" IF(Account!$F8&lt;&gt;"""", SPLIT(Account!$F8, "" ""), """")"),"Frais")</f>
        <v>Frais</v>
      </c>
      <c r="W8" s="42" t="str">
        <f>IFERROR(__xludf.DUMMYFUNCTION("""COMPUTED_VALUE"""),"de")</f>
        <v>de</v>
      </c>
      <c r="X8" s="42" t="str">
        <f>IFERROR(__xludf.DUMMYFUNCTION("""COMPUTED_VALUE"""),"courtage")</f>
        <v>courtage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</row>
    <row r="9">
      <c r="A9" s="7" t="s">
        <v>71</v>
      </c>
      <c r="B9" s="7" t="s">
        <v>90</v>
      </c>
      <c r="C9" s="7" t="s">
        <v>71</v>
      </c>
      <c r="D9" s="7" t="s">
        <v>73</v>
      </c>
      <c r="E9" s="7" t="s">
        <v>74</v>
      </c>
      <c r="F9" s="9" t="s">
        <v>109</v>
      </c>
      <c r="G9" s="7"/>
      <c r="H9" s="7" t="s">
        <v>68</v>
      </c>
      <c r="I9" s="7" t="s">
        <v>110</v>
      </c>
      <c r="J9" s="7" t="s">
        <v>68</v>
      </c>
      <c r="K9" s="7" t="s">
        <v>111</v>
      </c>
      <c r="L9" s="26">
        <f t="shared" si="1"/>
        <v>-388</v>
      </c>
      <c r="M9" s="28">
        <f>IFERROR(__xludf.DUMMYFUNCTION("IF(Account!$F9&lt;&gt;"""", VALUE(REGEXREPLACE($I9, ""\,"", ""."")), """")"),1633.87)</f>
        <v>1633.87</v>
      </c>
      <c r="N9" s="31">
        <f>IF(Account!$F9&lt;&gt;"", DATEVALUE(MID($A9,4,3) &amp; LEFT($A9,3) &amp; RIGHT($A9,4)) + TIMEVALUE($B9), "")</f>
        <v>43593.47917</v>
      </c>
      <c r="O9" s="33">
        <f>IF(Account!$F9&lt;&gt;"", DATEVALUE(MID($A9,4,3) &amp; LEFT($A9,3) &amp; RIGHT($A9,4)), "")</f>
        <v>43593</v>
      </c>
      <c r="P9" s="34" t="str">
        <f>IFERROR(VLOOKUP($Q9,Selection!$F:$G,2,false))</f>
        <v>Long term US bonds (20-25 year)</v>
      </c>
      <c r="Q9" s="36" t="str">
        <f>IF(AND($X9="change",$H9="EUR"),IF(AND($Z9="Crédit",$N9=$N10),$Q10,IF(AND($Z9="Débit",$N9=$N8),$Q8)),IF(OR(AND(OR($E9&lt;&gt;"",$L9=""),$M9&lt;&gt;0),$A9=""),IFERROR(VLOOKUP($E9,Selection!$E:$F,2,false)),IFERROR(VLOOKUP(SUBSTITUTE($I9,"-","",1),$K10:$Q1119,7,false),VLOOKUP($K9,$K10:$Q1119,7,false))))</f>
        <v>iShares USD Treasury Bond 20+yr UCITS ETF</v>
      </c>
      <c r="R9" s="34" t="str">
        <f t="shared" si="2"/>
        <v>SELL</v>
      </c>
      <c r="S9" s="37">
        <f t="shared" si="3"/>
        <v>-388</v>
      </c>
      <c r="T9" s="38">
        <f t="shared" si="4"/>
        <v>4.211005155</v>
      </c>
      <c r="U9" s="28">
        <f t="shared" si="5"/>
        <v>1633.87</v>
      </c>
      <c r="V9" s="39" t="str">
        <f>IFERROR(__xludf.DUMMYFUNCTION(" IF(Account!$F9&lt;&gt;"""", SPLIT(Account!$F9, "" ""), """")"),"Vente")</f>
        <v>Vente</v>
      </c>
      <c r="W9" s="42">
        <f>IFERROR(__xludf.DUMMYFUNCTION("""COMPUTED_VALUE"""),388.0)</f>
        <v>388</v>
      </c>
      <c r="X9" s="42" t="str">
        <f>IFERROR(__xludf.DUMMYFUNCTION("""COMPUTED_VALUE"""),"ISHSIV-DL")</f>
        <v>ISHSIV-DL</v>
      </c>
      <c r="Y9" s="42" t="str">
        <f>IFERROR(__xludf.DUMMYFUNCTION("""COMPUTED_VALUE"""),"T.BD20+YR")</f>
        <v>T.BD20+YR</v>
      </c>
      <c r="Z9" s="42" t="str">
        <f>IFERROR(__xludf.DUMMYFUNCTION("""COMPUTED_VALUE"""),"DL")</f>
        <v>DL</v>
      </c>
      <c r="AA9" s="42" t="str">
        <f>IFERROR(__xludf.DUMMYFUNCTION("""COMPUTED_VALUE"""),"D@4,211")</f>
        <v>D@4,211</v>
      </c>
      <c r="AB9" s="42" t="str">
        <f>IFERROR(__xludf.DUMMYFUNCTION("""COMPUTED_VALUE"""),"EUR")</f>
        <v>EUR</v>
      </c>
      <c r="AC9" s="42" t="str">
        <f>IFERROR(__xludf.DUMMYFUNCTION("""COMPUTED_VALUE"""),"(IE00BSKRJZ44)")</f>
        <v>(IE00BSKRJZ44)</v>
      </c>
      <c r="AD9" s="42"/>
      <c r="AE9" s="42"/>
      <c r="AF9" s="42"/>
      <c r="AG9" s="42"/>
      <c r="AH9" s="42"/>
      <c r="AI9" s="42"/>
      <c r="AJ9" s="42"/>
    </row>
    <row r="10">
      <c r="A10" s="7" t="s">
        <v>116</v>
      </c>
      <c r="B10" s="7" t="s">
        <v>117</v>
      </c>
      <c r="C10" s="7" t="s">
        <v>116</v>
      </c>
      <c r="D10" s="7" t="s">
        <v>73</v>
      </c>
      <c r="E10" s="7" t="s">
        <v>74</v>
      </c>
      <c r="F10" s="9" t="s">
        <v>75</v>
      </c>
      <c r="G10" s="7"/>
      <c r="H10" s="7" t="s">
        <v>68</v>
      </c>
      <c r="I10" s="7" t="s">
        <v>76</v>
      </c>
      <c r="J10" s="7" t="s">
        <v>68</v>
      </c>
      <c r="K10" s="7" t="s">
        <v>119</v>
      </c>
      <c r="L10" s="26" t="str">
        <f t="shared" si="1"/>
        <v/>
      </c>
      <c r="M10" s="28">
        <f>IFERROR(__xludf.DUMMYFUNCTION("IF(Account!$F10&lt;&gt;"""", VALUE(REGEXREPLACE($I10, ""\,"", ""."")), """")"),-2.0)</f>
        <v>-2</v>
      </c>
      <c r="N10" s="31">
        <f>IF(Account!$F10&lt;&gt;"", DATEVALUE(MID($A10,4,3) &amp; LEFT($A10,3) &amp; RIGHT($A10,4)) + TIMEVALUE($B10), "")</f>
        <v>43592.70833</v>
      </c>
      <c r="O10" s="33">
        <f>IF(Account!$F10&lt;&gt;"", DATEVALUE(MID($A10,4,3) &amp; LEFT($A10,3) &amp; RIGHT($A10,4)), "")</f>
        <v>43592</v>
      </c>
      <c r="P10" s="34" t="str">
        <f>IFERROR(VLOOKUP($Q10,Selection!$F:$G,2,false))</f>
        <v>Long term US bonds (20-25 year)</v>
      </c>
      <c r="Q10" s="36" t="str">
        <f>IF(AND($X10="change",$H10="EUR"),IF(AND($Z10="Crédit",$N10=$N11),$Q11,IF(AND($Z10="Débit",$N10=$N9),$Q9)),IF(OR(AND(OR($E10&lt;&gt;"",$L10=""),$M10&lt;&gt;0),$A10=""),IFERROR(VLOOKUP($E10,Selection!$E:$F,2,false)),IFERROR(VLOOKUP(SUBSTITUTE($I10,"-","",1),$K11:$Q1119,7,false),VLOOKUP($K10,$K11:$Q1119,7,false))))</f>
        <v>iShares USD Treasury Bond 20+yr UCITS ETF</v>
      </c>
      <c r="R10" s="34" t="str">
        <f t="shared" si="2"/>
        <v>COST</v>
      </c>
      <c r="S10" s="37" t="str">
        <f t="shared" si="3"/>
        <v/>
      </c>
      <c r="T10" s="38" t="str">
        <f t="shared" si="4"/>
        <v/>
      </c>
      <c r="U10" s="28">
        <f t="shared" si="5"/>
        <v>-2.23</v>
      </c>
      <c r="V10" s="39" t="str">
        <f>IFERROR(__xludf.DUMMYFUNCTION(" IF(Account!$F10&lt;&gt;"""", SPLIT(Account!$F10, "" ""), """")"),"Frais")</f>
        <v>Frais</v>
      </c>
      <c r="W10" s="42" t="str">
        <f>IFERROR(__xludf.DUMMYFUNCTION("""COMPUTED_VALUE"""),"de")</f>
        <v>de</v>
      </c>
      <c r="X10" s="42" t="str">
        <f>IFERROR(__xludf.DUMMYFUNCTION("""COMPUTED_VALUE"""),"courtage")</f>
        <v>courtage</v>
      </c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</row>
    <row r="11">
      <c r="A11" s="7" t="s">
        <v>116</v>
      </c>
      <c r="B11" s="7" t="s">
        <v>117</v>
      </c>
      <c r="C11" s="7" t="s">
        <v>116</v>
      </c>
      <c r="D11" s="7" t="s">
        <v>73</v>
      </c>
      <c r="E11" s="7" t="s">
        <v>74</v>
      </c>
      <c r="F11" s="9" t="s">
        <v>75</v>
      </c>
      <c r="G11" s="7"/>
      <c r="H11" s="7" t="s">
        <v>68</v>
      </c>
      <c r="I11" s="7" t="s">
        <v>124</v>
      </c>
      <c r="J11" s="7" t="s">
        <v>68</v>
      </c>
      <c r="K11" s="7" t="s">
        <v>125</v>
      </c>
      <c r="L11" s="26" t="str">
        <f t="shared" si="1"/>
        <v/>
      </c>
      <c r="M11" s="28">
        <f>IFERROR(__xludf.DUMMYFUNCTION("IF(Account!$F11&lt;&gt;"""", VALUE(REGEXREPLACE($I11, ""\,"", ""."")), """")"),-0.23)</f>
        <v>-0.23</v>
      </c>
      <c r="N11" s="31">
        <f>IF(Account!$F11&lt;&gt;"", DATEVALUE(MID($A11,4,3) &amp; LEFT($A11,3) &amp; RIGHT($A11,4)) + TIMEVALUE($B11), "")</f>
        <v>43592.70833</v>
      </c>
      <c r="O11" s="33">
        <f>IF(Account!$F11&lt;&gt;"", DATEVALUE(MID($A11,4,3) &amp; LEFT($A11,3) &amp; RIGHT($A11,4)), "")</f>
        <v>43592</v>
      </c>
      <c r="P11" s="34" t="str">
        <f>IFERROR(VLOOKUP($Q11,Selection!$F:$G,2,false))</f>
        <v>Long term US bonds (20-25 year)</v>
      </c>
      <c r="Q11" s="36" t="str">
        <f>IF(AND($X11="change",$H11="EUR"),IF(AND($Z11="Crédit",$N11=$N12),$Q12,IF(AND($Z11="Débit",$N11=$N10),$Q10)),IF(OR(AND(OR($E11&lt;&gt;"",$L11=""),$M11&lt;&gt;0),$A11=""),IFERROR(VLOOKUP($E11,Selection!$E:$F,2,false)),IFERROR(VLOOKUP(SUBSTITUTE($I11,"-","",1),$K12:$Q1119,7,false),VLOOKUP($K11,$K12:$Q1119,7,false))))</f>
        <v>iShares USD Treasury Bond 20+yr UCITS ETF</v>
      </c>
      <c r="R11" s="34" t="str">
        <f t="shared" si="2"/>
        <v>COST</v>
      </c>
      <c r="S11" s="37" t="str">
        <f t="shared" si="3"/>
        <v/>
      </c>
      <c r="T11" s="38" t="str">
        <f t="shared" si="4"/>
        <v/>
      </c>
      <c r="U11" s="28">
        <f t="shared" si="5"/>
        <v>-2.23</v>
      </c>
      <c r="V11" s="39" t="str">
        <f>IFERROR(__xludf.DUMMYFUNCTION(" IF(Account!$F11&lt;&gt;"""", SPLIT(Account!$F11, "" ""), """")"),"Frais")</f>
        <v>Frais</v>
      </c>
      <c r="W11" s="42" t="str">
        <f>IFERROR(__xludf.DUMMYFUNCTION("""COMPUTED_VALUE"""),"de")</f>
        <v>de</v>
      </c>
      <c r="X11" s="42" t="str">
        <f>IFERROR(__xludf.DUMMYFUNCTION("""COMPUTED_VALUE"""),"courtage")</f>
        <v>courtage</v>
      </c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</row>
    <row r="12">
      <c r="A12" s="7" t="s">
        <v>116</v>
      </c>
      <c r="B12" s="7" t="s">
        <v>117</v>
      </c>
      <c r="C12" s="7" t="s">
        <v>116</v>
      </c>
      <c r="D12" s="7" t="s">
        <v>73</v>
      </c>
      <c r="E12" s="7" t="s">
        <v>74</v>
      </c>
      <c r="F12" s="9" t="s">
        <v>128</v>
      </c>
      <c r="G12" s="7"/>
      <c r="H12" s="7" t="s">
        <v>68</v>
      </c>
      <c r="I12" s="7" t="s">
        <v>129</v>
      </c>
      <c r="J12" s="7" t="s">
        <v>68</v>
      </c>
      <c r="K12" s="7" t="s">
        <v>130</v>
      </c>
      <c r="L12" s="26">
        <f t="shared" si="1"/>
        <v>-277</v>
      </c>
      <c r="M12" s="28">
        <f>IFERROR(__xludf.DUMMYFUNCTION("IF(Account!$F12&lt;&gt;"""", VALUE(REGEXREPLACE($I12, ""\,"", ""."")), """")"),1162.85)</f>
        <v>1162.85</v>
      </c>
      <c r="N12" s="31">
        <f>IF(Account!$F12&lt;&gt;"", DATEVALUE(MID($A12,4,3) &amp; LEFT($A12,3) &amp; RIGHT($A12,4)) + TIMEVALUE($B12), "")</f>
        <v>43592.70833</v>
      </c>
      <c r="O12" s="33">
        <f>IF(Account!$F12&lt;&gt;"", DATEVALUE(MID($A12,4,3) &amp; LEFT($A12,3) &amp; RIGHT($A12,4)), "")</f>
        <v>43592</v>
      </c>
      <c r="P12" s="34" t="str">
        <f>IFERROR(VLOOKUP($Q12,Selection!$F:$G,2,false))</f>
        <v>Long term US bonds (20-25 year)</v>
      </c>
      <c r="Q12" s="36" t="str">
        <f>IF(AND($X12="change",$H12="EUR"),IF(AND($Z12="Crédit",$N12=$N13),$Q13,IF(AND($Z12="Débit",$N12=$N11),$Q11)),IF(OR(AND(OR($E12&lt;&gt;"",$L12=""),$M12&lt;&gt;0),$A12=""),IFERROR(VLOOKUP($E12,Selection!$E:$F,2,false)),IFERROR(VLOOKUP(SUBSTITUTE($I12,"-","",1),$K13:$Q1119,7,false),VLOOKUP($K12,$K13:$Q1119,7,false))))</f>
        <v>iShares USD Treasury Bond 20+yr UCITS ETF</v>
      </c>
      <c r="R12" s="34" t="str">
        <f t="shared" si="2"/>
        <v>SELL</v>
      </c>
      <c r="S12" s="37">
        <f t="shared" si="3"/>
        <v>-277</v>
      </c>
      <c r="T12" s="38">
        <f t="shared" si="4"/>
        <v>4.19801444</v>
      </c>
      <c r="U12" s="28">
        <f t="shared" si="5"/>
        <v>1162.85</v>
      </c>
      <c r="V12" s="39" t="str">
        <f>IFERROR(__xludf.DUMMYFUNCTION(" IF(Account!$F12&lt;&gt;"""", SPLIT(Account!$F12, "" ""), """")"),"Vente")</f>
        <v>Vente</v>
      </c>
      <c r="W12" s="42">
        <f>IFERROR(__xludf.DUMMYFUNCTION("""COMPUTED_VALUE"""),277.0)</f>
        <v>277</v>
      </c>
      <c r="X12" s="42" t="str">
        <f>IFERROR(__xludf.DUMMYFUNCTION("""COMPUTED_VALUE"""),"ISHSIV-DL")</f>
        <v>ISHSIV-DL</v>
      </c>
      <c r="Y12" s="42" t="str">
        <f>IFERROR(__xludf.DUMMYFUNCTION("""COMPUTED_VALUE"""),"T.BD20+YR")</f>
        <v>T.BD20+YR</v>
      </c>
      <c r="Z12" s="42" t="str">
        <f>IFERROR(__xludf.DUMMYFUNCTION("""COMPUTED_VALUE"""),"DL")</f>
        <v>DL</v>
      </c>
      <c r="AA12" s="42" t="str">
        <f>IFERROR(__xludf.DUMMYFUNCTION("""COMPUTED_VALUE"""),"D@4,198")</f>
        <v>D@4,198</v>
      </c>
      <c r="AB12" s="42" t="str">
        <f>IFERROR(__xludf.DUMMYFUNCTION("""COMPUTED_VALUE"""),"EUR")</f>
        <v>EUR</v>
      </c>
      <c r="AC12" s="42" t="str">
        <f>IFERROR(__xludf.DUMMYFUNCTION("""COMPUTED_VALUE"""),"(IE00BSKRJZ44)")</f>
        <v>(IE00BSKRJZ44)</v>
      </c>
      <c r="AD12" s="42"/>
      <c r="AE12" s="42"/>
      <c r="AF12" s="42"/>
      <c r="AG12" s="42"/>
      <c r="AH12" s="42"/>
      <c r="AI12" s="42"/>
      <c r="AJ12" s="42"/>
    </row>
    <row r="13">
      <c r="A13" s="7" t="s">
        <v>138</v>
      </c>
      <c r="B13" s="7" t="s">
        <v>139</v>
      </c>
      <c r="C13" s="7" t="s">
        <v>138</v>
      </c>
      <c r="D13" s="7" t="s">
        <v>85</v>
      </c>
      <c r="E13" s="7" t="s">
        <v>86</v>
      </c>
      <c r="F13" s="9" t="s">
        <v>140</v>
      </c>
      <c r="G13" s="7"/>
      <c r="H13" s="7" t="s">
        <v>68</v>
      </c>
      <c r="I13" s="7" t="s">
        <v>141</v>
      </c>
      <c r="J13" s="7" t="s">
        <v>68</v>
      </c>
      <c r="K13" s="7" t="s">
        <v>142</v>
      </c>
      <c r="L13" s="26">
        <f t="shared" si="1"/>
        <v>-6</v>
      </c>
      <c r="M13" s="28">
        <f>IFERROR(__xludf.DUMMYFUNCTION("IF(Account!$F13&lt;&gt;"""", VALUE(REGEXREPLACE($I13, ""\,"", ""."")), """")"),1053.06)</f>
        <v>1053.06</v>
      </c>
      <c r="N13" s="31">
        <f>IF(Account!$F13&lt;&gt;"", DATEVALUE(MID($A13,4,3) &amp; LEFT($A13,3) &amp; RIGHT($A13,4)) + TIMEVALUE($B13), "")</f>
        <v>43591.60417</v>
      </c>
      <c r="O13" s="33">
        <f>IF(Account!$F13&lt;&gt;"", DATEVALUE(MID($A13,4,3) &amp; LEFT($A13,3) &amp; RIGHT($A13,4)), "")</f>
        <v>43591</v>
      </c>
      <c r="P13" s="34" t="str">
        <f>IFERROR(VLOOKUP($Q13,Selection!$F:$G,2,false))</f>
        <v>Intermediate US bonds (7-10 year)</v>
      </c>
      <c r="Q13" s="36" t="str">
        <f>IF(AND($X13="change",$H13="EUR"),IF(AND($Z13="Crédit",$N13=$N14),$Q14,IF(AND($Z13="Débit",$N13=$N12),$Q12)),IF(OR(AND(OR($E13&lt;&gt;"",$L13=""),$M13&lt;&gt;0),$A13=""),IFERROR(VLOOKUP($E13,Selection!$E:$F,2,false)),IFERROR(VLOOKUP(SUBSTITUTE($I13,"-","",1),$K14:$Q1119,7,false),VLOOKUP($K13,$K14:$Q1119,7,false))))</f>
        <v>iShares USD Treasury Bond 7-10yr UCITS ETF</v>
      </c>
      <c r="R13" s="34" t="str">
        <f t="shared" si="2"/>
        <v>SELL</v>
      </c>
      <c r="S13" s="37">
        <f t="shared" si="3"/>
        <v>-6</v>
      </c>
      <c r="T13" s="38">
        <f t="shared" si="4"/>
        <v>175.51</v>
      </c>
      <c r="U13" s="28">
        <f t="shared" si="5"/>
        <v>1053.06</v>
      </c>
      <c r="V13" s="39" t="str">
        <f>IFERROR(__xludf.DUMMYFUNCTION(" IF(Account!$F13&lt;&gt;"""", SPLIT(Account!$F13, "" ""), """")"),"Vente")</f>
        <v>Vente</v>
      </c>
      <c r="W13" s="42">
        <f>IFERROR(__xludf.DUMMYFUNCTION("""COMPUTED_VALUE"""),6.0)</f>
        <v>6</v>
      </c>
      <c r="X13" s="42" t="str">
        <f>IFERROR(__xludf.DUMMYFUNCTION("""COMPUTED_VALUE"""),"ISHARES")</f>
        <v>ISHARES</v>
      </c>
      <c r="Y13" s="42" t="str">
        <f>IFERROR(__xludf.DUMMYFUNCTION("""COMPUTED_VALUE"""),"US")</f>
        <v>US</v>
      </c>
      <c r="Z13" s="42" t="str">
        <f>IFERROR(__xludf.DUMMYFUNCTION("""COMPUTED_VALUE"""),"T")</f>
        <v>T</v>
      </c>
      <c r="AA13" s="42" t="str">
        <f>IFERROR(__xludf.DUMMYFUNCTION("""COMPUTED_VALUE"""),"7-10@175,51")</f>
        <v>7-10@175,51</v>
      </c>
      <c r="AB13" s="42" t="str">
        <f>IFERROR(__xludf.DUMMYFUNCTION("""COMPUTED_VALUE"""),"EUR")</f>
        <v>EUR</v>
      </c>
      <c r="AC13" s="42" t="str">
        <f>IFERROR(__xludf.DUMMYFUNCTION("""COMPUTED_VALUE"""),"(IE00B1FZS798)")</f>
        <v>(IE00B1FZS798)</v>
      </c>
      <c r="AD13" s="42"/>
      <c r="AE13" s="42"/>
      <c r="AF13" s="42"/>
      <c r="AG13" s="42"/>
      <c r="AH13" s="42"/>
      <c r="AI13" s="42"/>
      <c r="AJ13" s="42"/>
    </row>
    <row r="14">
      <c r="A14" s="7" t="s">
        <v>138</v>
      </c>
      <c r="B14" s="7" t="s">
        <v>149</v>
      </c>
      <c r="C14" s="7" t="s">
        <v>138</v>
      </c>
      <c r="D14" s="7" t="s">
        <v>73</v>
      </c>
      <c r="E14" s="7" t="s">
        <v>74</v>
      </c>
      <c r="F14" s="9" t="s">
        <v>75</v>
      </c>
      <c r="G14" s="7"/>
      <c r="H14" s="7" t="s">
        <v>68</v>
      </c>
      <c r="I14" s="7" t="s">
        <v>76</v>
      </c>
      <c r="J14" s="7" t="s">
        <v>68</v>
      </c>
      <c r="K14" s="7" t="s">
        <v>150</v>
      </c>
      <c r="L14" s="26" t="str">
        <f t="shared" si="1"/>
        <v/>
      </c>
      <c r="M14" s="28">
        <f>IFERROR(__xludf.DUMMYFUNCTION("IF(Account!$F14&lt;&gt;"""", VALUE(REGEXREPLACE($I14, ""\,"", ""."")), """")"),-2.0)</f>
        <v>-2</v>
      </c>
      <c r="N14" s="31">
        <f>IF(Account!$F14&lt;&gt;"", DATEVALUE(MID($A14,4,3) &amp; LEFT($A14,3) &amp; RIGHT($A14,4)) + TIMEVALUE($B14), "")</f>
        <v>43591.52153</v>
      </c>
      <c r="O14" s="33">
        <f>IF(Account!$F14&lt;&gt;"", DATEVALUE(MID($A14,4,3) &amp; LEFT($A14,3) &amp; RIGHT($A14,4)), "")</f>
        <v>43591</v>
      </c>
      <c r="P14" s="34" t="str">
        <f>IFERROR(VLOOKUP($Q14,Selection!$F:$G,2,false))</f>
        <v>Long term US bonds (20-25 year)</v>
      </c>
      <c r="Q14" s="36" t="str">
        <f>IF(AND($X14="change",$H14="EUR"),IF(AND($Z14="Crédit",$N14=$N15),$Q15,IF(AND($Z14="Débit",$N14=$N13),$Q13)),IF(OR(AND(OR($E14&lt;&gt;"",$L14=""),$M14&lt;&gt;0),$A14=""),IFERROR(VLOOKUP($E14,Selection!$E:$F,2,false)),IFERROR(VLOOKUP(SUBSTITUTE($I14,"-","",1),$K15:$Q1119,7,false),VLOOKUP($K14,$K15:$Q1119,7,false))))</f>
        <v>iShares USD Treasury Bond 20+yr UCITS ETF</v>
      </c>
      <c r="R14" s="34" t="str">
        <f t="shared" si="2"/>
        <v>COST</v>
      </c>
      <c r="S14" s="37" t="str">
        <f t="shared" si="3"/>
        <v/>
      </c>
      <c r="T14" s="38" t="str">
        <f t="shared" si="4"/>
        <v/>
      </c>
      <c r="U14" s="28">
        <f t="shared" si="5"/>
        <v>-2.77</v>
      </c>
      <c r="V14" s="39" t="str">
        <f>IFERROR(__xludf.DUMMYFUNCTION(" IF(Account!$F14&lt;&gt;"""", SPLIT(Account!$F14, "" ""), """")"),"Frais")</f>
        <v>Frais</v>
      </c>
      <c r="W14" s="42" t="str">
        <f>IFERROR(__xludf.DUMMYFUNCTION("""COMPUTED_VALUE"""),"de")</f>
        <v>de</v>
      </c>
      <c r="X14" s="42" t="str">
        <f>IFERROR(__xludf.DUMMYFUNCTION("""COMPUTED_VALUE"""),"courtage")</f>
        <v>courtage</v>
      </c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>
      <c r="A15" s="7" t="s">
        <v>138</v>
      </c>
      <c r="B15" s="7" t="s">
        <v>149</v>
      </c>
      <c r="C15" s="7" t="s">
        <v>138</v>
      </c>
      <c r="D15" s="7" t="s">
        <v>73</v>
      </c>
      <c r="E15" s="7" t="s">
        <v>74</v>
      </c>
      <c r="F15" s="9" t="s">
        <v>75</v>
      </c>
      <c r="G15" s="7"/>
      <c r="H15" s="7" t="s">
        <v>68</v>
      </c>
      <c r="I15" s="7" t="s">
        <v>155</v>
      </c>
      <c r="J15" s="7" t="s">
        <v>68</v>
      </c>
      <c r="K15" s="7" t="s">
        <v>156</v>
      </c>
      <c r="L15" s="26" t="str">
        <f t="shared" si="1"/>
        <v/>
      </c>
      <c r="M15" s="28">
        <f>IFERROR(__xludf.DUMMYFUNCTION("IF(Account!$F15&lt;&gt;"""", VALUE(REGEXREPLACE($I15, ""\,"", ""."")), """")"),-0.77)</f>
        <v>-0.77</v>
      </c>
      <c r="N15" s="31">
        <f>IF(Account!$F15&lt;&gt;"", DATEVALUE(MID($A15,4,3) &amp; LEFT($A15,3) &amp; RIGHT($A15,4)) + TIMEVALUE($B15), "")</f>
        <v>43591.52153</v>
      </c>
      <c r="O15" s="33">
        <f>IF(Account!$F15&lt;&gt;"", DATEVALUE(MID($A15,4,3) &amp; LEFT($A15,3) &amp; RIGHT($A15,4)), "")</f>
        <v>43591</v>
      </c>
      <c r="P15" s="34" t="str">
        <f>IFERROR(VLOOKUP($Q15,Selection!$F:$G,2,false))</f>
        <v>Long term US bonds (20-25 year)</v>
      </c>
      <c r="Q15" s="36" t="str">
        <f>IF(AND($X15="change",$H15="EUR"),IF(AND($Z15="Crédit",$N15=$N16),$Q16,IF(AND($Z15="Débit",$N15=$N14),$Q14)),IF(OR(AND(OR($E15&lt;&gt;"",$L15=""),$M15&lt;&gt;0),$A15=""),IFERROR(VLOOKUP($E15,Selection!$E:$F,2,false)),IFERROR(VLOOKUP(SUBSTITUTE($I15,"-","",1),$K16:$Q1119,7,false),VLOOKUP($K15,$K16:$Q1119,7,false))))</f>
        <v>iShares USD Treasury Bond 20+yr UCITS ETF</v>
      </c>
      <c r="R15" s="34" t="str">
        <f t="shared" si="2"/>
        <v>COST</v>
      </c>
      <c r="S15" s="37" t="str">
        <f t="shared" si="3"/>
        <v/>
      </c>
      <c r="T15" s="38" t="str">
        <f t="shared" si="4"/>
        <v/>
      </c>
      <c r="U15" s="28">
        <f t="shared" si="5"/>
        <v>-2.77</v>
      </c>
      <c r="V15" s="39" t="str">
        <f>IFERROR(__xludf.DUMMYFUNCTION(" IF(Account!$F15&lt;&gt;"""", SPLIT(Account!$F15, "" ""), """")"),"Frais")</f>
        <v>Frais</v>
      </c>
      <c r="W15" s="42" t="str">
        <f>IFERROR(__xludf.DUMMYFUNCTION("""COMPUTED_VALUE"""),"de")</f>
        <v>de</v>
      </c>
      <c r="X15" s="42" t="str">
        <f>IFERROR(__xludf.DUMMYFUNCTION("""COMPUTED_VALUE"""),"courtage")</f>
        <v>courtage</v>
      </c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</row>
    <row r="16">
      <c r="A16" s="7" t="s">
        <v>138</v>
      </c>
      <c r="B16" s="7" t="s">
        <v>149</v>
      </c>
      <c r="C16" s="7" t="s">
        <v>138</v>
      </c>
      <c r="D16" s="7" t="s">
        <v>73</v>
      </c>
      <c r="E16" s="7" t="s">
        <v>74</v>
      </c>
      <c r="F16" s="9" t="s">
        <v>163</v>
      </c>
      <c r="G16" s="7"/>
      <c r="H16" s="7" t="s">
        <v>68</v>
      </c>
      <c r="I16" s="7" t="s">
        <v>164</v>
      </c>
      <c r="J16" s="7" t="s">
        <v>68</v>
      </c>
      <c r="K16" s="7" t="s">
        <v>165</v>
      </c>
      <c r="L16" s="26">
        <f t="shared" si="1"/>
        <v>-925</v>
      </c>
      <c r="M16" s="28">
        <f>IFERROR(__xludf.DUMMYFUNCTION("IF(Account!$F16&lt;&gt;"""", VALUE(REGEXREPLACE($I16, ""\,"", ""."")), """")"),3873.16)</f>
        <v>3873.16</v>
      </c>
      <c r="N16" s="31">
        <f>IF(Account!$F16&lt;&gt;"", DATEVALUE(MID($A16,4,3) &amp; LEFT($A16,3) &amp; RIGHT($A16,4)) + TIMEVALUE($B16), "")</f>
        <v>43591.52153</v>
      </c>
      <c r="O16" s="33">
        <f>IF(Account!$F16&lt;&gt;"", DATEVALUE(MID($A16,4,3) &amp; LEFT($A16,3) &amp; RIGHT($A16,4)), "")</f>
        <v>43591</v>
      </c>
      <c r="P16" s="34" t="str">
        <f>IFERROR(VLOOKUP($Q16,Selection!$F:$G,2,false))</f>
        <v>Long term US bonds (20-25 year)</v>
      </c>
      <c r="Q16" s="36" t="str">
        <f>IF(AND($X16="change",$H16="EUR"),IF(AND($Z16="Crédit",$N16=$N17),$Q17,IF(AND($Z16="Débit",$N16=$N15),$Q15)),IF(OR(AND(OR($E16&lt;&gt;"",$L16=""),$M16&lt;&gt;0),$A16=""),IFERROR(VLOOKUP($E16,Selection!$E:$F,2,false)),IFERROR(VLOOKUP(SUBSTITUTE($I16,"-","",1),$K17:$Q1119,7,false),VLOOKUP($K16,$K17:$Q1119,7,false))))</f>
        <v>iShares USD Treasury Bond 20+yr UCITS ETF</v>
      </c>
      <c r="R16" s="34" t="str">
        <f t="shared" si="2"/>
        <v>SELL</v>
      </c>
      <c r="S16" s="37">
        <f t="shared" si="3"/>
        <v>-925</v>
      </c>
      <c r="T16" s="38">
        <f t="shared" si="4"/>
        <v>4.1872</v>
      </c>
      <c r="U16" s="28">
        <f t="shared" si="5"/>
        <v>3873.16</v>
      </c>
      <c r="V16" s="39" t="str">
        <f>IFERROR(__xludf.DUMMYFUNCTION(" IF(Account!$F16&lt;&gt;"""", SPLIT(Account!$F16, "" ""), """")"),"Vente")</f>
        <v>Vente</v>
      </c>
      <c r="W16" s="42">
        <f>IFERROR(__xludf.DUMMYFUNCTION("""COMPUTED_VALUE"""),925.0)</f>
        <v>925</v>
      </c>
      <c r="X16" s="42" t="str">
        <f>IFERROR(__xludf.DUMMYFUNCTION("""COMPUTED_VALUE"""),"ISHSIV-DL")</f>
        <v>ISHSIV-DL</v>
      </c>
      <c r="Y16" s="42" t="str">
        <f>IFERROR(__xludf.DUMMYFUNCTION("""COMPUTED_VALUE"""),"T.BD20+YR")</f>
        <v>T.BD20+YR</v>
      </c>
      <c r="Z16" s="42" t="str">
        <f>IFERROR(__xludf.DUMMYFUNCTION("""COMPUTED_VALUE"""),"DL")</f>
        <v>DL</v>
      </c>
      <c r="AA16" s="42" t="str">
        <f>IFERROR(__xludf.DUMMYFUNCTION("""COMPUTED_VALUE"""),"D@4,1872")</f>
        <v>D@4,1872</v>
      </c>
      <c r="AB16" s="42" t="str">
        <f>IFERROR(__xludf.DUMMYFUNCTION("""COMPUTED_VALUE"""),"EUR")</f>
        <v>EUR</v>
      </c>
      <c r="AC16" s="42" t="str">
        <f>IFERROR(__xludf.DUMMYFUNCTION("""COMPUTED_VALUE"""),"(IE00BSKRJZ44)")</f>
        <v>(IE00BSKRJZ44)</v>
      </c>
      <c r="AD16" s="42"/>
      <c r="AE16" s="42"/>
      <c r="AF16" s="42"/>
      <c r="AG16" s="42"/>
      <c r="AH16" s="42"/>
      <c r="AI16" s="42"/>
      <c r="AJ16" s="42"/>
    </row>
    <row r="17">
      <c r="A17" s="7" t="s">
        <v>170</v>
      </c>
      <c r="B17" s="7" t="s">
        <v>171</v>
      </c>
      <c r="C17" s="7" t="s">
        <v>170</v>
      </c>
      <c r="D17" s="7" t="s">
        <v>73</v>
      </c>
      <c r="E17" s="7" t="s">
        <v>74</v>
      </c>
      <c r="F17" s="9" t="s">
        <v>75</v>
      </c>
      <c r="G17" s="7"/>
      <c r="H17" s="7" t="s">
        <v>68</v>
      </c>
      <c r="I17" s="7" t="s">
        <v>76</v>
      </c>
      <c r="J17" s="7" t="s">
        <v>68</v>
      </c>
      <c r="K17" s="7" t="s">
        <v>172</v>
      </c>
      <c r="L17" s="26" t="str">
        <f t="shared" si="1"/>
        <v/>
      </c>
      <c r="M17" s="28">
        <f>IFERROR(__xludf.DUMMYFUNCTION("IF(Account!$F17&lt;&gt;"""", VALUE(REGEXREPLACE($I17, ""\,"", ""."")), """")"),-2.0)</f>
        <v>-2</v>
      </c>
      <c r="N17" s="31">
        <f>IF(Account!$F17&lt;&gt;"", DATEVALUE(MID($A17,4,3) &amp; LEFT($A17,3) &amp; RIGHT($A17,4)) + TIMEVALUE($B17), "")</f>
        <v>43588.64236</v>
      </c>
      <c r="O17" s="33">
        <f>IF(Account!$F17&lt;&gt;"", DATEVALUE(MID($A17,4,3) &amp; LEFT($A17,3) &amp; RIGHT($A17,4)), "")</f>
        <v>43588</v>
      </c>
      <c r="P17" s="34" t="str">
        <f>IFERROR(VLOOKUP($Q17,Selection!$F:$G,2,false))</f>
        <v>Long term US bonds (20-25 year)</v>
      </c>
      <c r="Q17" s="36" t="str">
        <f>IF(AND($X17="change",$H17="EUR"),IF(AND($Z17="Crédit",$N17=$N18),$Q18,IF(AND($Z17="Débit",$N17=$N16),$Q16)),IF(OR(AND(OR($E17&lt;&gt;"",$L17=""),$M17&lt;&gt;0),$A17=""),IFERROR(VLOOKUP($E17,Selection!$E:$F,2,false)),IFERROR(VLOOKUP(SUBSTITUTE($I17,"-","",1),$K18:$Q1119,7,false),VLOOKUP($K17,$K18:$Q1119,7,false))))</f>
        <v>iShares USD Treasury Bond 20+yr UCITS ETF</v>
      </c>
      <c r="R17" s="34" t="str">
        <f t="shared" si="2"/>
        <v>COST</v>
      </c>
      <c r="S17" s="37" t="str">
        <f t="shared" si="3"/>
        <v/>
      </c>
      <c r="T17" s="38" t="str">
        <f t="shared" si="4"/>
        <v/>
      </c>
      <c r="U17" s="28">
        <f t="shared" si="5"/>
        <v>-2.25</v>
      </c>
      <c r="V17" s="39" t="str">
        <f>IFERROR(__xludf.DUMMYFUNCTION(" IF(Account!$F17&lt;&gt;"""", SPLIT(Account!$F17, "" ""), """")"),"Frais")</f>
        <v>Frais</v>
      </c>
      <c r="W17" s="42" t="str">
        <f>IFERROR(__xludf.DUMMYFUNCTION("""COMPUTED_VALUE"""),"de")</f>
        <v>de</v>
      </c>
      <c r="X17" s="42" t="str">
        <f>IFERROR(__xludf.DUMMYFUNCTION("""COMPUTED_VALUE"""),"courtage")</f>
        <v>courtage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</row>
    <row r="18">
      <c r="A18" s="7" t="s">
        <v>170</v>
      </c>
      <c r="B18" s="7" t="s">
        <v>171</v>
      </c>
      <c r="C18" s="7" t="s">
        <v>170</v>
      </c>
      <c r="D18" s="7" t="s">
        <v>73</v>
      </c>
      <c r="E18" s="7" t="s">
        <v>74</v>
      </c>
      <c r="F18" s="9" t="s">
        <v>75</v>
      </c>
      <c r="G18" s="7"/>
      <c r="H18" s="7" t="s">
        <v>68</v>
      </c>
      <c r="I18" s="7" t="s">
        <v>175</v>
      </c>
      <c r="J18" s="7" t="s">
        <v>68</v>
      </c>
      <c r="K18" s="7" t="s">
        <v>176</v>
      </c>
      <c r="L18" s="26" t="str">
        <f t="shared" si="1"/>
        <v/>
      </c>
      <c r="M18" s="28">
        <f>IFERROR(__xludf.DUMMYFUNCTION("IF(Account!$F18&lt;&gt;"""", VALUE(REGEXREPLACE($I18, ""\,"", ""."")), """")"),-0.25)</f>
        <v>-0.25</v>
      </c>
      <c r="N18" s="31">
        <f>IF(Account!$F18&lt;&gt;"", DATEVALUE(MID($A18,4,3) &amp; LEFT($A18,3) &amp; RIGHT($A18,4)) + TIMEVALUE($B18), "")</f>
        <v>43588.64236</v>
      </c>
      <c r="O18" s="33">
        <f>IF(Account!$F18&lt;&gt;"", DATEVALUE(MID($A18,4,3) &amp; LEFT($A18,3) &amp; RIGHT($A18,4)), "")</f>
        <v>43588</v>
      </c>
      <c r="P18" s="34" t="str">
        <f>IFERROR(VLOOKUP($Q18,Selection!$F:$G,2,false))</f>
        <v>Long term US bonds (20-25 year)</v>
      </c>
      <c r="Q18" s="36" t="str">
        <f>IF(AND($X18="change",$H18="EUR"),IF(AND($Z18="Crédit",$N18=$N19),$Q19,IF(AND($Z18="Débit",$N18=$N17),$Q17)),IF(OR(AND(OR($E18&lt;&gt;"",$L18=""),$M18&lt;&gt;0),$A18=""),IFERROR(VLOOKUP($E18,Selection!$E:$F,2,false)),IFERROR(VLOOKUP(SUBSTITUTE($I18,"-","",1),$K19:$Q1119,7,false),VLOOKUP($K18,$K19:$Q1119,7,false))))</f>
        <v>iShares USD Treasury Bond 20+yr UCITS ETF</v>
      </c>
      <c r="R18" s="34" t="str">
        <f t="shared" si="2"/>
        <v>COST</v>
      </c>
      <c r="S18" s="37" t="str">
        <f t="shared" si="3"/>
        <v/>
      </c>
      <c r="T18" s="38" t="str">
        <f t="shared" si="4"/>
        <v/>
      </c>
      <c r="U18" s="28">
        <f t="shared" si="5"/>
        <v>-2.25</v>
      </c>
      <c r="V18" s="39" t="str">
        <f>IFERROR(__xludf.DUMMYFUNCTION(" IF(Account!$F18&lt;&gt;"""", SPLIT(Account!$F18, "" ""), """")"),"Frais")</f>
        <v>Frais</v>
      </c>
      <c r="W18" s="42" t="str">
        <f>IFERROR(__xludf.DUMMYFUNCTION("""COMPUTED_VALUE"""),"de")</f>
        <v>de</v>
      </c>
      <c r="X18" s="42" t="str">
        <f>IFERROR(__xludf.DUMMYFUNCTION("""COMPUTED_VALUE"""),"courtage")</f>
        <v>courtage</v>
      </c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</row>
    <row r="19">
      <c r="A19" s="7" t="s">
        <v>170</v>
      </c>
      <c r="B19" s="7" t="s">
        <v>171</v>
      </c>
      <c r="C19" s="7" t="s">
        <v>170</v>
      </c>
      <c r="D19" s="7" t="s">
        <v>73</v>
      </c>
      <c r="E19" s="7" t="s">
        <v>74</v>
      </c>
      <c r="F19" s="9" t="s">
        <v>177</v>
      </c>
      <c r="G19" s="7"/>
      <c r="H19" s="7" t="s">
        <v>68</v>
      </c>
      <c r="I19" s="7" t="s">
        <v>178</v>
      </c>
      <c r="J19" s="7" t="s">
        <v>68</v>
      </c>
      <c r="K19" s="7" t="s">
        <v>179</v>
      </c>
      <c r="L19" s="26">
        <f t="shared" si="1"/>
        <v>-295</v>
      </c>
      <c r="M19" s="28">
        <f>IFERROR(__xludf.DUMMYFUNCTION("IF(Account!$F19&lt;&gt;"""", VALUE(REGEXREPLACE($I19, ""\,"", ""."")), """")"),1229.74)</f>
        <v>1229.74</v>
      </c>
      <c r="N19" s="31">
        <f>IF(Account!$F19&lt;&gt;"", DATEVALUE(MID($A19,4,3) &amp; LEFT($A19,3) &amp; RIGHT($A19,4)) + TIMEVALUE($B19), "")</f>
        <v>43588.64236</v>
      </c>
      <c r="O19" s="33">
        <f>IF(Account!$F19&lt;&gt;"", DATEVALUE(MID($A19,4,3) &amp; LEFT($A19,3) &amp; RIGHT($A19,4)), "")</f>
        <v>43588</v>
      </c>
      <c r="P19" s="34" t="str">
        <f>IFERROR(VLOOKUP($Q19,Selection!$F:$G,2,false))</f>
        <v>Long term US bonds (20-25 year)</v>
      </c>
      <c r="Q19" s="36" t="str">
        <f>IF(AND($X19="change",$H19="EUR"),IF(AND($Z19="Crédit",$N19=$N20),$Q20,IF(AND($Z19="Débit",$N19=$N18),$Q18)),IF(OR(AND(OR($E19&lt;&gt;"",$L19=""),$M19&lt;&gt;0),$A19=""),IFERROR(VLOOKUP($E19,Selection!$E:$F,2,false)),IFERROR(VLOOKUP(SUBSTITUTE($I19,"-","",1),$K20:$Q1119,7,false),VLOOKUP($K19,$K20:$Q1119,7,false))))</f>
        <v>iShares USD Treasury Bond 20+yr UCITS ETF</v>
      </c>
      <c r="R19" s="34" t="str">
        <f t="shared" si="2"/>
        <v>SELL</v>
      </c>
      <c r="S19" s="37">
        <f t="shared" si="3"/>
        <v>-295</v>
      </c>
      <c r="T19" s="38">
        <f t="shared" si="4"/>
        <v>4.168610169</v>
      </c>
      <c r="U19" s="28">
        <f t="shared" si="5"/>
        <v>1229.74</v>
      </c>
      <c r="V19" s="39" t="str">
        <f>IFERROR(__xludf.DUMMYFUNCTION(" IF(Account!$F19&lt;&gt;"""", SPLIT(Account!$F19, "" ""), """")"),"Vente")</f>
        <v>Vente</v>
      </c>
      <c r="W19" s="42">
        <f>IFERROR(__xludf.DUMMYFUNCTION("""COMPUTED_VALUE"""),295.0)</f>
        <v>295</v>
      </c>
      <c r="X19" s="42" t="str">
        <f>IFERROR(__xludf.DUMMYFUNCTION("""COMPUTED_VALUE"""),"ISHSIV-DL")</f>
        <v>ISHSIV-DL</v>
      </c>
      <c r="Y19" s="42" t="str">
        <f>IFERROR(__xludf.DUMMYFUNCTION("""COMPUTED_VALUE"""),"T.BD20+YR")</f>
        <v>T.BD20+YR</v>
      </c>
      <c r="Z19" s="42" t="str">
        <f>IFERROR(__xludf.DUMMYFUNCTION("""COMPUTED_VALUE"""),"DL")</f>
        <v>DL</v>
      </c>
      <c r="AA19" s="42" t="str">
        <f>IFERROR(__xludf.DUMMYFUNCTION("""COMPUTED_VALUE"""),"D@4,1686")</f>
        <v>D@4,1686</v>
      </c>
      <c r="AB19" s="42" t="str">
        <f>IFERROR(__xludf.DUMMYFUNCTION("""COMPUTED_VALUE"""),"EUR")</f>
        <v>EUR</v>
      </c>
      <c r="AC19" s="42" t="str">
        <f>IFERROR(__xludf.DUMMYFUNCTION("""COMPUTED_VALUE"""),"(IE00BSKRJZ44)")</f>
        <v>(IE00BSKRJZ44)</v>
      </c>
      <c r="AD19" s="42"/>
      <c r="AE19" s="42"/>
      <c r="AF19" s="42"/>
      <c r="AG19" s="42"/>
      <c r="AH19" s="42"/>
      <c r="AI19" s="42"/>
      <c r="AJ19" s="42"/>
    </row>
    <row r="20">
      <c r="A20" s="7" t="s">
        <v>170</v>
      </c>
      <c r="B20" s="7" t="s">
        <v>185</v>
      </c>
      <c r="C20" s="7" t="s">
        <v>186</v>
      </c>
      <c r="D20" s="7"/>
      <c r="E20" s="7"/>
      <c r="F20" s="9" t="s">
        <v>187</v>
      </c>
      <c r="G20" s="7"/>
      <c r="H20" s="7" t="s">
        <v>68</v>
      </c>
      <c r="I20" s="7" t="s">
        <v>188</v>
      </c>
      <c r="J20" s="7" t="s">
        <v>68</v>
      </c>
      <c r="K20" s="7" t="s">
        <v>189</v>
      </c>
      <c r="L20" s="26" t="str">
        <f t="shared" si="1"/>
        <v/>
      </c>
      <c r="M20" s="28">
        <f>IFERROR(__xludf.DUMMYFUNCTION("IF(Account!$F20&lt;&gt;"""", VALUE(REGEXREPLACE($I20, ""\,"", ""."")), """")"),-2.5)</f>
        <v>-2.5</v>
      </c>
      <c r="N20" s="31">
        <f>IF(Account!$F20&lt;&gt;"", DATEVALUE(MID($A20,4,3) &amp; LEFT($A20,3) &amp; RIGHT($A20,4)) + TIMEVALUE($B20), "")</f>
        <v>43588.57361</v>
      </c>
      <c r="O20" s="33">
        <f>IF(Account!$F20&lt;&gt;"", DATEVALUE(MID($A20,4,3) &amp; LEFT($A20,3) &amp; RIGHT($A20,4)), "")</f>
        <v>43588</v>
      </c>
      <c r="P20" s="34" t="str">
        <f>IFERROR(VLOOKUP($Q20,Selection!$F:$G,2,false))</f>
        <v/>
      </c>
      <c r="Q20" s="36" t="str">
        <f>IF(AND($X20="change",$H20="EUR"),IF(AND($Z20="Crédit",$N20=$N21),$Q21,IF(AND($Z20="Débit",$N20=$N19),$Q19)),IF(OR(AND(OR($E20&lt;&gt;"",$L20=""),$M20&lt;&gt;0),$A20=""),IFERROR(VLOOKUP($E20,Selection!$E:$F,2,false)),IFERROR(VLOOKUP(SUBSTITUTE($I20,"-","",1),$K21:$Q1119,7,false),VLOOKUP($K20,$K21:$Q1119,7,false))))</f>
        <v/>
      </c>
      <c r="R20" s="34" t="str">
        <f t="shared" si="2"/>
        <v>COST</v>
      </c>
      <c r="S20" s="37" t="str">
        <f t="shared" si="3"/>
        <v/>
      </c>
      <c r="T20" s="38" t="str">
        <f t="shared" si="4"/>
        <v/>
      </c>
      <c r="U20" s="28">
        <f t="shared" si="5"/>
        <v>-2.5</v>
      </c>
      <c r="V20" s="39" t="str">
        <f>IFERROR(__xludf.DUMMYFUNCTION(" IF(Account!$F20&lt;&gt;"""", SPLIT(Account!$F20, "" ""), """")"),"Frais")</f>
        <v>Frais</v>
      </c>
      <c r="W20" s="42" t="str">
        <f>IFERROR(__xludf.DUMMYFUNCTION("""COMPUTED_VALUE"""),"de")</f>
        <v>de</v>
      </c>
      <c r="X20" s="42" t="str">
        <f>IFERROR(__xludf.DUMMYFUNCTION("""COMPUTED_VALUE"""),"connexion")</f>
        <v>connexion</v>
      </c>
      <c r="Y20" s="42" t="str">
        <f>IFERROR(__xludf.DUMMYFUNCTION("""COMPUTED_VALUE"""),"aux")</f>
        <v>aux</v>
      </c>
      <c r="Z20" s="42" t="str">
        <f>IFERROR(__xludf.DUMMYFUNCTION("""COMPUTED_VALUE"""),"places")</f>
        <v>places</v>
      </c>
      <c r="AA20" s="42" t="str">
        <f>IFERROR(__xludf.DUMMYFUNCTION("""COMPUTED_VALUE"""),"boursières")</f>
        <v>boursières</v>
      </c>
      <c r="AB20" s="42">
        <f>IFERROR(__xludf.DUMMYFUNCTION("""COMPUTED_VALUE"""),2019.0)</f>
        <v>2019</v>
      </c>
      <c r="AC20" s="42" t="str">
        <f>IFERROR(__xludf.DUMMYFUNCTION("""COMPUTED_VALUE"""),"(Xetra")</f>
        <v>(Xetra</v>
      </c>
      <c r="AD20" s="42" t="str">
        <f>IFERROR(__xludf.DUMMYFUNCTION("""COMPUTED_VALUE"""),"-")</f>
        <v>-</v>
      </c>
      <c r="AE20" s="42" t="str">
        <f>IFERROR(__xludf.DUMMYFUNCTION("""COMPUTED_VALUE"""),"XET)")</f>
        <v>XET)</v>
      </c>
      <c r="AF20" s="42"/>
      <c r="AG20" s="42"/>
      <c r="AH20" s="42"/>
      <c r="AI20" s="42"/>
      <c r="AJ20" s="42"/>
    </row>
    <row r="21">
      <c r="A21" s="7" t="s">
        <v>170</v>
      </c>
      <c r="B21" s="7" t="s">
        <v>195</v>
      </c>
      <c r="C21" s="7" t="s">
        <v>170</v>
      </c>
      <c r="D21" s="7"/>
      <c r="E21" s="7"/>
      <c r="F21" s="9" t="s">
        <v>196</v>
      </c>
      <c r="G21" s="7"/>
      <c r="H21" s="7" t="s">
        <v>68</v>
      </c>
      <c r="I21" s="7" t="s">
        <v>69</v>
      </c>
      <c r="J21" s="7" t="s">
        <v>68</v>
      </c>
      <c r="K21" s="7" t="s">
        <v>197</v>
      </c>
      <c r="L21" s="26" t="str">
        <f t="shared" si="1"/>
        <v/>
      </c>
      <c r="M21" s="28">
        <f>IFERROR(__xludf.DUMMYFUNCTION("IF(Account!$F21&lt;&gt;"""", VALUE(REGEXREPLACE($I21, ""\,"", ""."")), """")"),-500.0)</f>
        <v>-500</v>
      </c>
      <c r="N21" s="31">
        <f>IF(Account!$F21&lt;&gt;"", DATEVALUE(MID($A21,4,3) &amp; LEFT($A21,3) &amp; RIGHT($A21,4)) + TIMEVALUE($B21), "")</f>
        <v>43588.55625</v>
      </c>
      <c r="O21" s="33">
        <f>IF(Account!$F21&lt;&gt;"", DATEVALUE(MID($A21,4,3) &amp; LEFT($A21,3) &amp; RIGHT($A21,4)), "")</f>
        <v>43588</v>
      </c>
      <c r="P21" s="34" t="str">
        <f>IFERROR(VLOOKUP($Q21,Selection!$F:$G,2,false))</f>
        <v/>
      </c>
      <c r="Q21" s="36" t="str">
        <f>IF(AND($X21="change",$H21="EUR"),IF(AND($Z21="Crédit",$N21=$N22),$Q22,IF(AND($Z21="Débit",$N21=$N20),$Q20)),IF(OR(AND(OR($E21&lt;&gt;"",$L21=""),$M21&lt;&gt;0),$A21=""),IFERROR(VLOOKUP($E21,Selection!$E:$F,2,false)),IFERROR(VLOOKUP(SUBSTITUTE($I21,"-","",1),$K22:$Q1119,7,false),VLOOKUP($K21,$K22:$Q1119,7,false))))</f>
        <v/>
      </c>
      <c r="R21" s="34" t="str">
        <f t="shared" si="2"/>
        <v>APPROVISIONNEMENT</v>
      </c>
      <c r="S21" s="37" t="str">
        <f t="shared" si="3"/>
        <v/>
      </c>
      <c r="T21" s="38" t="str">
        <f t="shared" si="4"/>
        <v/>
      </c>
      <c r="U21" s="28">
        <f t="shared" si="5"/>
        <v>-500</v>
      </c>
      <c r="V21" s="39" t="str">
        <f>IFERROR(__xludf.DUMMYFUNCTION(" IF(Account!$F21&lt;&gt;"""", SPLIT(Account!$F21, "" ""), """")"),"Retrait")</f>
        <v>Retrait</v>
      </c>
      <c r="W21" s="42" t="str">
        <f>IFERROR(__xludf.DUMMYFUNCTION("""COMPUTED_VALUE"""),"de")</f>
        <v>de</v>
      </c>
      <c r="X21" s="42" t="str">
        <f>IFERROR(__xludf.DUMMYFUNCTION("""COMPUTED_VALUE"""),"fonds")</f>
        <v>fonds</v>
      </c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</row>
    <row r="22">
      <c r="A22" s="7" t="s">
        <v>170</v>
      </c>
      <c r="B22" s="7" t="s">
        <v>227</v>
      </c>
      <c r="C22" s="7" t="s">
        <v>186</v>
      </c>
      <c r="D22" s="7"/>
      <c r="E22" s="7"/>
      <c r="F22" s="9" t="s">
        <v>228</v>
      </c>
      <c r="G22" s="7"/>
      <c r="H22" s="7" t="s">
        <v>68</v>
      </c>
      <c r="I22" s="7" t="s">
        <v>229</v>
      </c>
      <c r="J22" s="7" t="s">
        <v>68</v>
      </c>
      <c r="K22" s="7" t="s">
        <v>230</v>
      </c>
      <c r="L22" s="26" t="str">
        <f t="shared" si="1"/>
        <v/>
      </c>
      <c r="M22" s="28">
        <f>IFERROR(__xludf.DUMMYFUNCTION("IF(Account!$F22&lt;&gt;"""", VALUE(REGEXREPLACE($I22, ""\,"", ""."")), """")"),-547.92)</f>
        <v>-547.92</v>
      </c>
      <c r="N22" s="31">
        <f>IF(Account!$F22&lt;&gt;"", DATEVALUE(MID($A22,4,3) &amp; LEFT($A22,3) &amp; RIGHT($A22,4)) + TIMEVALUE($B22), "")</f>
        <v>43588.3625</v>
      </c>
      <c r="O22" s="33">
        <f>IF(Account!$F22&lt;&gt;"", DATEVALUE(MID($A22,4,3) &amp; LEFT($A22,3) &amp; RIGHT($A22,4)), "")</f>
        <v>43588</v>
      </c>
      <c r="P22" s="34" t="str">
        <f>IFERROR(VLOOKUP($Q22,Selection!$F:$G,2,false))</f>
        <v/>
      </c>
      <c r="Q22" s="36" t="str">
        <f>IF(AND($X22="change",$H22="EUR"),IF(AND($Z22="Crédit",$N22=$N23),$Q23,IF(AND($Z22="Débit",$N22=$N21),$Q21)),IF(OR(AND(OR($E22&lt;&gt;"",$L22=""),$M22&lt;&gt;0),$A22=""),IFERROR(VLOOKUP($E22,Selection!$E:$F,2,false)),IFERROR(VLOOKUP(SUBSTITUTE($I22,"-","",1),$K23:$Q1119,7,false),VLOOKUP($K22,$K23:$Q1119,7,false))))</f>
        <v/>
      </c>
      <c r="R22" s="34" t="str">
        <f t="shared" si="2"/>
        <v>COST</v>
      </c>
      <c r="S22" s="37" t="str">
        <f t="shared" si="3"/>
        <v/>
      </c>
      <c r="T22" s="38" t="str">
        <f t="shared" si="4"/>
        <v/>
      </c>
      <c r="U22" s="28">
        <f t="shared" si="5"/>
        <v>-547.92</v>
      </c>
      <c r="V22" s="39" t="str">
        <f>IFERROR(__xludf.DUMMYFUNCTION(" IF(Account!$F22&lt;&gt;"""", SPLIT(Account!$F22, "" ""), """")"),"Intérêts")</f>
        <v>Intérêts</v>
      </c>
      <c r="W22" s="42" t="str">
        <f>IFERROR(__xludf.DUMMYFUNCTION("""COMPUTED_VALUE"""),"débiteurs")</f>
        <v>débiteurs</v>
      </c>
      <c r="X22" s="42" t="str">
        <f>IFERROR(__xludf.DUMMYFUNCTION("""COMPUTED_VALUE"""),"mensuels")</f>
        <v>mensuels</v>
      </c>
      <c r="Y22" s="42" t="str">
        <f>IFERROR(__xludf.DUMMYFUNCTION("""COMPUTED_VALUE"""),"(Débit")</f>
        <v>(Débit</v>
      </c>
      <c r="Z22" s="42" t="str">
        <f>IFERROR(__xludf.DUMMYFUNCTION("""COMPUTED_VALUE"""),"Argent)")</f>
        <v>Argent)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</row>
    <row r="23">
      <c r="A23" s="7" t="s">
        <v>256</v>
      </c>
      <c r="B23" s="7" t="s">
        <v>257</v>
      </c>
      <c r="C23" s="7" t="s">
        <v>256</v>
      </c>
      <c r="D23" s="7" t="s">
        <v>258</v>
      </c>
      <c r="E23" s="7" t="s">
        <v>259</v>
      </c>
      <c r="F23" s="9" t="s">
        <v>260</v>
      </c>
      <c r="G23" s="7"/>
      <c r="H23" s="7" t="s">
        <v>68</v>
      </c>
      <c r="I23" s="7" t="s">
        <v>261</v>
      </c>
      <c r="J23" s="7" t="s">
        <v>68</v>
      </c>
      <c r="K23" s="7" t="s">
        <v>262</v>
      </c>
      <c r="L23" s="26">
        <f t="shared" si="1"/>
        <v>-25</v>
      </c>
      <c r="M23" s="28">
        <f>IFERROR(__xludf.DUMMYFUNCTION("IF(Account!$F23&lt;&gt;"""", VALUE(REGEXREPLACE($I23, ""\,"", ""."")), """")"),1252.3)</f>
        <v>1252.3</v>
      </c>
      <c r="N23" s="31">
        <f>IF(Account!$F23&lt;&gt;"", DATEVALUE(MID($A23,4,3) &amp; LEFT($A23,3) &amp; RIGHT($A23,4)) + TIMEVALUE($B23), "")</f>
        <v>43584.69653</v>
      </c>
      <c r="O23" s="33">
        <f>IF(Account!$F23&lt;&gt;"", DATEVALUE(MID($A23,4,3) &amp; LEFT($A23,3) &amp; RIGHT($A23,4)), "")</f>
        <v>43584</v>
      </c>
      <c r="P23" s="34" t="str">
        <f>IFERROR(VLOOKUP($Q23,Selection!$F:$G,2,false))</f>
        <v>Stocks</v>
      </c>
      <c r="Q23" s="36" t="str">
        <f>IF(AND($X23="change",$H23="EUR"),IF(AND($Z23="Crédit",$N23=$N24),$Q24,IF(AND($Z23="Débit",$N23=$N22),$Q22)),IF(OR(AND(OR($E23&lt;&gt;"",$L23=""),$M23&lt;&gt;0),$A23=""),IFERROR(VLOOKUP($E23,Selection!$E:$F,2,false)),IFERROR(VLOOKUP(SUBSTITUTE($I23,"-","",1),$K24:$Q1119,7,false),VLOOKUP($K23,$K24:$Q1119,7,false))))</f>
        <v>Vanguard S&amp;P 500 UCITS ETF</v>
      </c>
      <c r="R23" s="34" t="str">
        <f t="shared" si="2"/>
        <v>SELL</v>
      </c>
      <c r="S23" s="37">
        <f t="shared" si="3"/>
        <v>-25</v>
      </c>
      <c r="T23" s="38">
        <f t="shared" si="4"/>
        <v>50.092</v>
      </c>
      <c r="U23" s="28">
        <f t="shared" si="5"/>
        <v>1252.3</v>
      </c>
      <c r="V23" s="39" t="str">
        <f>IFERROR(__xludf.DUMMYFUNCTION(" IF(Account!$F23&lt;&gt;"""", SPLIT(Account!$F23, "" ""), """")"),"Vente")</f>
        <v>Vente</v>
      </c>
      <c r="W23" s="42">
        <f>IFERROR(__xludf.DUMMYFUNCTION("""COMPUTED_VALUE"""),25.0)</f>
        <v>25</v>
      </c>
      <c r="X23" s="42" t="str">
        <f>IFERROR(__xludf.DUMMYFUNCTION("""COMPUTED_VALUE"""),"VANGUARD")</f>
        <v>VANGUARD</v>
      </c>
      <c r="Y23" s="42" t="str">
        <f>IFERROR(__xludf.DUMMYFUNCTION("""COMPUTED_VALUE"""),"S&amp;P500@50,092")</f>
        <v>S&amp;P500@50,092</v>
      </c>
      <c r="Z23" s="42" t="str">
        <f>IFERROR(__xludf.DUMMYFUNCTION("""COMPUTED_VALUE"""),"EUR")</f>
        <v>EUR</v>
      </c>
      <c r="AA23" s="42" t="str">
        <f>IFERROR(__xludf.DUMMYFUNCTION("""COMPUTED_VALUE"""),"(IE00B3XXRP09)")</f>
        <v>(IE00B3XXRP09)</v>
      </c>
      <c r="AB23" s="42"/>
      <c r="AC23" s="42"/>
      <c r="AD23" s="42"/>
      <c r="AE23" s="42"/>
      <c r="AF23" s="42"/>
      <c r="AG23" s="42"/>
      <c r="AH23" s="42"/>
      <c r="AI23" s="42"/>
      <c r="AJ23" s="42"/>
    </row>
    <row r="24">
      <c r="A24" s="7" t="s">
        <v>265</v>
      </c>
      <c r="B24" s="7" t="s">
        <v>266</v>
      </c>
      <c r="C24" s="7" t="s">
        <v>265</v>
      </c>
      <c r="D24" s="7" t="s">
        <v>73</v>
      </c>
      <c r="E24" s="7" t="s">
        <v>74</v>
      </c>
      <c r="F24" s="9" t="s">
        <v>75</v>
      </c>
      <c r="G24" s="7"/>
      <c r="H24" s="7" t="s">
        <v>68</v>
      </c>
      <c r="I24" s="7" t="s">
        <v>76</v>
      </c>
      <c r="J24" s="7" t="s">
        <v>68</v>
      </c>
      <c r="K24" s="7" t="s">
        <v>267</v>
      </c>
      <c r="L24" s="26" t="str">
        <f t="shared" si="1"/>
        <v/>
      </c>
      <c r="M24" s="28">
        <f>IFERROR(__xludf.DUMMYFUNCTION("IF(Account!$F24&lt;&gt;"""", VALUE(REGEXREPLACE($I24, ""\,"", ""."")), """")"),-2.0)</f>
        <v>-2</v>
      </c>
      <c r="N24" s="31">
        <f>IF(Account!$F24&lt;&gt;"", DATEVALUE(MID($A24,4,3) &amp; LEFT($A24,3) &amp; RIGHT($A24,4)) + TIMEVALUE($B24), "")</f>
        <v>43580.39167</v>
      </c>
      <c r="O24" s="33">
        <f>IF(Account!$F24&lt;&gt;"", DATEVALUE(MID($A24,4,3) &amp; LEFT($A24,3) &amp; RIGHT($A24,4)), "")</f>
        <v>43580</v>
      </c>
      <c r="P24" s="34" t="str">
        <f>IFERROR(VLOOKUP($Q24,Selection!$F:$G,2,false))</f>
        <v>Long term US bonds (20-25 year)</v>
      </c>
      <c r="Q24" s="36" t="str">
        <f>IF(AND($X24="change",$H24="EUR"),IF(AND($Z24="Crédit",$N24=$N25),$Q25,IF(AND($Z24="Débit",$N24=$N23),$Q23)),IF(OR(AND(OR($E24&lt;&gt;"",$L24=""),$M24&lt;&gt;0),$A24=""),IFERROR(VLOOKUP($E24,Selection!$E:$F,2,false)),IFERROR(VLOOKUP(SUBSTITUTE($I24,"-","",1),$K25:$Q1119,7,false),VLOOKUP($K24,$K25:$Q1119,7,false))))</f>
        <v>iShares USD Treasury Bond 20+yr UCITS ETF</v>
      </c>
      <c r="R24" s="34" t="str">
        <f t="shared" si="2"/>
        <v>COST</v>
      </c>
      <c r="S24" s="37" t="str">
        <f t="shared" si="3"/>
        <v/>
      </c>
      <c r="T24" s="38" t="str">
        <f t="shared" si="4"/>
        <v/>
      </c>
      <c r="U24" s="28">
        <f t="shared" si="5"/>
        <v>-2.45</v>
      </c>
      <c r="V24" s="39" t="str">
        <f>IFERROR(__xludf.DUMMYFUNCTION(" IF(Account!$F24&lt;&gt;"""", SPLIT(Account!$F24, "" ""), """")"),"Frais")</f>
        <v>Frais</v>
      </c>
      <c r="W24" s="42" t="str">
        <f>IFERROR(__xludf.DUMMYFUNCTION("""COMPUTED_VALUE"""),"de")</f>
        <v>de</v>
      </c>
      <c r="X24" s="42" t="str">
        <f>IFERROR(__xludf.DUMMYFUNCTION("""COMPUTED_VALUE"""),"courtage")</f>
        <v>courtage</v>
      </c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</row>
    <row r="25">
      <c r="A25" s="7" t="s">
        <v>265</v>
      </c>
      <c r="B25" s="7" t="s">
        <v>266</v>
      </c>
      <c r="C25" s="7" t="s">
        <v>265</v>
      </c>
      <c r="D25" s="7" t="s">
        <v>73</v>
      </c>
      <c r="E25" s="7" t="s">
        <v>74</v>
      </c>
      <c r="F25" s="9" t="s">
        <v>75</v>
      </c>
      <c r="G25" s="7"/>
      <c r="H25" s="7" t="s">
        <v>68</v>
      </c>
      <c r="I25" s="7" t="s">
        <v>271</v>
      </c>
      <c r="J25" s="7" t="s">
        <v>68</v>
      </c>
      <c r="K25" s="7" t="s">
        <v>272</v>
      </c>
      <c r="L25" s="26" t="str">
        <f t="shared" si="1"/>
        <v/>
      </c>
      <c r="M25" s="28">
        <f>IFERROR(__xludf.DUMMYFUNCTION("IF(Account!$F25&lt;&gt;"""", VALUE(REGEXREPLACE($I25, ""\,"", ""."")), """")"),-0.45)</f>
        <v>-0.45</v>
      </c>
      <c r="N25" s="31">
        <f>IF(Account!$F25&lt;&gt;"", DATEVALUE(MID($A25,4,3) &amp; LEFT($A25,3) &amp; RIGHT($A25,4)) + TIMEVALUE($B25), "")</f>
        <v>43580.39167</v>
      </c>
      <c r="O25" s="33">
        <f>IF(Account!$F25&lt;&gt;"", DATEVALUE(MID($A25,4,3) &amp; LEFT($A25,3) &amp; RIGHT($A25,4)), "")</f>
        <v>43580</v>
      </c>
      <c r="P25" s="34" t="str">
        <f>IFERROR(VLOOKUP($Q25,Selection!$F:$G,2,false))</f>
        <v>Long term US bonds (20-25 year)</v>
      </c>
      <c r="Q25" s="36" t="str">
        <f>IF(AND($X25="change",$H25="EUR"),IF(AND($Z25="Crédit",$N25=$N26),$Q26,IF(AND($Z25="Débit",$N25=$N24),$Q24)),IF(OR(AND(OR($E25&lt;&gt;"",$L25=""),$M25&lt;&gt;0),$A25=""),IFERROR(VLOOKUP($E25,Selection!$E:$F,2,false)),IFERROR(VLOOKUP(SUBSTITUTE($I25,"-","",1),$K26:$Q1119,7,false),VLOOKUP($K25,$K26:$Q1119,7,false))))</f>
        <v>iShares USD Treasury Bond 20+yr UCITS ETF</v>
      </c>
      <c r="R25" s="34" t="str">
        <f t="shared" si="2"/>
        <v>COST</v>
      </c>
      <c r="S25" s="37" t="str">
        <f t="shared" si="3"/>
        <v/>
      </c>
      <c r="T25" s="38" t="str">
        <f t="shared" si="4"/>
        <v/>
      </c>
      <c r="U25" s="28">
        <f t="shared" si="5"/>
        <v>-2.45</v>
      </c>
      <c r="V25" s="39" t="str">
        <f>IFERROR(__xludf.DUMMYFUNCTION(" IF(Account!$F25&lt;&gt;"""", SPLIT(Account!$F25, "" ""), """")"),"Frais")</f>
        <v>Frais</v>
      </c>
      <c r="W25" s="42" t="str">
        <f>IFERROR(__xludf.DUMMYFUNCTION("""COMPUTED_VALUE"""),"de")</f>
        <v>de</v>
      </c>
      <c r="X25" s="42" t="str">
        <f>IFERROR(__xludf.DUMMYFUNCTION("""COMPUTED_VALUE"""),"courtage")</f>
        <v>courtage</v>
      </c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>
      <c r="A26" s="7" t="s">
        <v>265</v>
      </c>
      <c r="B26" s="7" t="s">
        <v>266</v>
      </c>
      <c r="C26" s="7" t="s">
        <v>265</v>
      </c>
      <c r="D26" s="7" t="s">
        <v>73</v>
      </c>
      <c r="E26" s="7" t="s">
        <v>74</v>
      </c>
      <c r="F26" s="9" t="s">
        <v>274</v>
      </c>
      <c r="G26" s="7"/>
      <c r="H26" s="7" t="s">
        <v>68</v>
      </c>
      <c r="I26" s="7" t="s">
        <v>275</v>
      </c>
      <c r="J26" s="7" t="s">
        <v>68</v>
      </c>
      <c r="K26" s="7" t="s">
        <v>276</v>
      </c>
      <c r="L26" s="26">
        <f t="shared" si="1"/>
        <v>-544</v>
      </c>
      <c r="M26" s="28">
        <f>IFERROR(__xludf.DUMMYFUNCTION("IF(Account!$F26&lt;&gt;"""", VALUE(REGEXREPLACE($I26, ""\,"", ""."")), """")"),2264.67)</f>
        <v>2264.67</v>
      </c>
      <c r="N26" s="31">
        <f>IF(Account!$F26&lt;&gt;"", DATEVALUE(MID($A26,4,3) &amp; LEFT($A26,3) &amp; RIGHT($A26,4)) + TIMEVALUE($B26), "")</f>
        <v>43580.39167</v>
      </c>
      <c r="O26" s="33">
        <f>IF(Account!$F26&lt;&gt;"", DATEVALUE(MID($A26,4,3) &amp; LEFT($A26,3) &amp; RIGHT($A26,4)), "")</f>
        <v>43580</v>
      </c>
      <c r="P26" s="34" t="str">
        <f>IFERROR(VLOOKUP($Q26,Selection!$F:$G,2,false))</f>
        <v>Long term US bonds (20-25 year)</v>
      </c>
      <c r="Q26" s="36" t="str">
        <f>IF(AND($X26="change",$H26="EUR"),IF(AND($Z26="Crédit",$N26=$N27),$Q27,IF(AND($Z26="Débit",$N26=$N25),$Q25)),IF(OR(AND(OR($E26&lt;&gt;"",$L26=""),$M26&lt;&gt;0),$A26=""),IFERROR(VLOOKUP($E26,Selection!$E:$F,2,false)),IFERROR(VLOOKUP(SUBSTITUTE($I26,"-","",1),$K27:$Q1119,7,false),VLOOKUP($K26,$K27:$Q1119,7,false))))</f>
        <v>iShares USD Treasury Bond 20+yr UCITS ETF</v>
      </c>
      <c r="R26" s="34" t="str">
        <f t="shared" si="2"/>
        <v>SELL</v>
      </c>
      <c r="S26" s="37">
        <f t="shared" si="3"/>
        <v>-544</v>
      </c>
      <c r="T26" s="38">
        <f t="shared" si="4"/>
        <v>4.162996324</v>
      </c>
      <c r="U26" s="28">
        <f t="shared" si="5"/>
        <v>2264.67</v>
      </c>
      <c r="V26" s="39" t="str">
        <f>IFERROR(__xludf.DUMMYFUNCTION(" IF(Account!$F26&lt;&gt;"""", SPLIT(Account!$F26, "" ""), """")"),"Vente")</f>
        <v>Vente</v>
      </c>
      <c r="W26" s="42">
        <f>IFERROR(__xludf.DUMMYFUNCTION("""COMPUTED_VALUE"""),544.0)</f>
        <v>544</v>
      </c>
      <c r="X26" s="42" t="str">
        <f>IFERROR(__xludf.DUMMYFUNCTION("""COMPUTED_VALUE"""),"ISHSIV-DL")</f>
        <v>ISHSIV-DL</v>
      </c>
      <c r="Y26" s="42" t="str">
        <f>IFERROR(__xludf.DUMMYFUNCTION("""COMPUTED_VALUE"""),"T.BD20+YR")</f>
        <v>T.BD20+YR</v>
      </c>
      <c r="Z26" s="42" t="str">
        <f>IFERROR(__xludf.DUMMYFUNCTION("""COMPUTED_VALUE"""),"DL")</f>
        <v>DL</v>
      </c>
      <c r="AA26" s="42" t="str">
        <f>IFERROR(__xludf.DUMMYFUNCTION("""COMPUTED_VALUE"""),"D@4,163")</f>
        <v>D@4,163</v>
      </c>
      <c r="AB26" s="42" t="str">
        <f>IFERROR(__xludf.DUMMYFUNCTION("""COMPUTED_VALUE"""),"EUR")</f>
        <v>EUR</v>
      </c>
      <c r="AC26" s="42" t="str">
        <f>IFERROR(__xludf.DUMMYFUNCTION("""COMPUTED_VALUE"""),"(IE00BSKRJZ44)")</f>
        <v>(IE00BSKRJZ44)</v>
      </c>
      <c r="AD26" s="42"/>
      <c r="AE26" s="42"/>
      <c r="AF26" s="42"/>
      <c r="AG26" s="42"/>
      <c r="AH26" s="42"/>
      <c r="AI26" s="42"/>
      <c r="AJ26" s="42"/>
    </row>
    <row r="27">
      <c r="A27" s="7" t="s">
        <v>280</v>
      </c>
      <c r="B27" s="7" t="s">
        <v>281</v>
      </c>
      <c r="C27" s="7" t="s">
        <v>280</v>
      </c>
      <c r="D27" s="7" t="s">
        <v>85</v>
      </c>
      <c r="E27" s="7" t="s">
        <v>86</v>
      </c>
      <c r="F27" s="9" t="s">
        <v>282</v>
      </c>
      <c r="G27" s="7"/>
      <c r="H27" s="7" t="s">
        <v>68</v>
      </c>
      <c r="I27" s="7" t="s">
        <v>283</v>
      </c>
      <c r="J27" s="7" t="s">
        <v>68</v>
      </c>
      <c r="K27" s="7" t="s">
        <v>284</v>
      </c>
      <c r="L27" s="26">
        <f t="shared" si="1"/>
        <v>-6</v>
      </c>
      <c r="M27" s="28">
        <f>IFERROR(__xludf.DUMMYFUNCTION("IF(Account!$F27&lt;&gt;"""", VALUE(REGEXREPLACE($I27, ""\,"", ""."")), """")"),1050.0)</f>
        <v>1050</v>
      </c>
      <c r="N27" s="31">
        <f>IF(Account!$F27&lt;&gt;"", DATEVALUE(MID($A27,4,3) &amp; LEFT($A27,3) &amp; RIGHT($A27,4)) + TIMEVALUE($B27), "")</f>
        <v>43579.72708</v>
      </c>
      <c r="O27" s="33">
        <f>IF(Account!$F27&lt;&gt;"", DATEVALUE(MID($A27,4,3) &amp; LEFT($A27,3) &amp; RIGHT($A27,4)), "")</f>
        <v>43579</v>
      </c>
      <c r="P27" s="34" t="str">
        <f>IFERROR(VLOOKUP($Q27,Selection!$F:$G,2,false))</f>
        <v>Intermediate US bonds (7-10 year)</v>
      </c>
      <c r="Q27" s="36" t="str">
        <f>IF(AND($X27="change",$H27="EUR"),IF(AND($Z27="Crédit",$N27=$N28),$Q28,IF(AND($Z27="Débit",$N27=$N26),$Q26)),IF(OR(AND(OR($E27&lt;&gt;"",$L27=""),$M27&lt;&gt;0),$A27=""),IFERROR(VLOOKUP($E27,Selection!$E:$F,2,false)),IFERROR(VLOOKUP(SUBSTITUTE($I27,"-","",1),$K28:$Q1119,7,false),VLOOKUP($K27,$K28:$Q1119,7,false))))</f>
        <v>iShares USD Treasury Bond 7-10yr UCITS ETF</v>
      </c>
      <c r="R27" s="34" t="str">
        <f t="shared" si="2"/>
        <v>SELL</v>
      </c>
      <c r="S27" s="37">
        <f t="shared" si="3"/>
        <v>-6</v>
      </c>
      <c r="T27" s="38">
        <f t="shared" si="4"/>
        <v>175</v>
      </c>
      <c r="U27" s="28">
        <f t="shared" si="5"/>
        <v>1050</v>
      </c>
      <c r="V27" s="39" t="str">
        <f>IFERROR(__xludf.DUMMYFUNCTION(" IF(Account!$F27&lt;&gt;"""", SPLIT(Account!$F27, "" ""), """")"),"Vente")</f>
        <v>Vente</v>
      </c>
      <c r="W27" s="42">
        <f>IFERROR(__xludf.DUMMYFUNCTION("""COMPUTED_VALUE"""),6.0)</f>
        <v>6</v>
      </c>
      <c r="X27" s="42" t="str">
        <f>IFERROR(__xludf.DUMMYFUNCTION("""COMPUTED_VALUE"""),"ISHARES")</f>
        <v>ISHARES</v>
      </c>
      <c r="Y27" s="42" t="str">
        <f>IFERROR(__xludf.DUMMYFUNCTION("""COMPUTED_VALUE"""),"US")</f>
        <v>US</v>
      </c>
      <c r="Z27" s="42" t="str">
        <f>IFERROR(__xludf.DUMMYFUNCTION("""COMPUTED_VALUE"""),"T")</f>
        <v>T</v>
      </c>
      <c r="AA27" s="42" t="str">
        <f>IFERROR(__xludf.DUMMYFUNCTION("""COMPUTED_VALUE"""),"7-10@175")</f>
        <v>7-10@175</v>
      </c>
      <c r="AB27" s="42" t="str">
        <f>IFERROR(__xludf.DUMMYFUNCTION("""COMPUTED_VALUE"""),"EUR")</f>
        <v>EUR</v>
      </c>
      <c r="AC27" s="42" t="str">
        <f>IFERROR(__xludf.DUMMYFUNCTION("""COMPUTED_VALUE"""),"(IE00B1FZS798)")</f>
        <v>(IE00B1FZS798)</v>
      </c>
      <c r="AD27" s="42"/>
      <c r="AE27" s="42"/>
      <c r="AF27" s="42"/>
      <c r="AG27" s="42"/>
      <c r="AH27" s="42"/>
      <c r="AI27" s="42"/>
      <c r="AJ27" s="42"/>
    </row>
    <row r="28">
      <c r="A28" s="7" t="s">
        <v>280</v>
      </c>
      <c r="B28" s="7" t="s">
        <v>294</v>
      </c>
      <c r="C28" s="7" t="s">
        <v>280</v>
      </c>
      <c r="D28" s="7" t="s">
        <v>258</v>
      </c>
      <c r="E28" s="7" t="s">
        <v>259</v>
      </c>
      <c r="F28" s="9" t="s">
        <v>295</v>
      </c>
      <c r="G28" s="7"/>
      <c r="H28" s="7" t="s">
        <v>68</v>
      </c>
      <c r="I28" s="7" t="s">
        <v>296</v>
      </c>
      <c r="J28" s="7" t="s">
        <v>68</v>
      </c>
      <c r="K28" s="7" t="s">
        <v>297</v>
      </c>
      <c r="L28" s="26">
        <f t="shared" si="1"/>
        <v>-21</v>
      </c>
      <c r="M28" s="28">
        <f>IFERROR(__xludf.DUMMYFUNCTION("IF(Account!$F28&lt;&gt;"""", VALUE(REGEXREPLACE($I28, ""\,"", ""."")), """")"),1044.31)</f>
        <v>1044.31</v>
      </c>
      <c r="N28" s="31">
        <f>IF(Account!$F28&lt;&gt;"", DATEVALUE(MID($A28,4,3) &amp; LEFT($A28,3) &amp; RIGHT($A28,4)) + TIMEVALUE($B28), "")</f>
        <v>43579.67569</v>
      </c>
      <c r="O28" s="33">
        <f>IF(Account!$F28&lt;&gt;"", DATEVALUE(MID($A28,4,3) &amp; LEFT($A28,3) &amp; RIGHT($A28,4)), "")</f>
        <v>43579</v>
      </c>
      <c r="P28" s="34" t="str">
        <f>IFERROR(VLOOKUP($Q28,Selection!$F:$G,2,false))</f>
        <v>Stocks</v>
      </c>
      <c r="Q28" s="36" t="str">
        <f>IF(AND($X28="change",$H28="EUR"),IF(AND($Z28="Crédit",$N28=$N29),$Q29,IF(AND($Z28="Débit",$N28=$N27),$Q27)),IF(OR(AND(OR($E28&lt;&gt;"",$L28=""),$M28&lt;&gt;0),$A28=""),IFERROR(VLOOKUP($E28,Selection!$E:$F,2,false)),IFERROR(VLOOKUP(SUBSTITUTE($I28,"-","",1),$K29:$Q1119,7,false),VLOOKUP($K28,$K29:$Q1119,7,false))))</f>
        <v>Vanguard S&amp;P 500 UCITS ETF</v>
      </c>
      <c r="R28" s="34" t="str">
        <f t="shared" si="2"/>
        <v>SELL</v>
      </c>
      <c r="S28" s="37">
        <f t="shared" si="3"/>
        <v>-21</v>
      </c>
      <c r="T28" s="38">
        <f t="shared" si="4"/>
        <v>49.72904762</v>
      </c>
      <c r="U28" s="28">
        <f t="shared" si="5"/>
        <v>1044.31</v>
      </c>
      <c r="V28" s="39" t="str">
        <f>IFERROR(__xludf.DUMMYFUNCTION(" IF(Account!$F28&lt;&gt;"""", SPLIT(Account!$F28, "" ""), """")"),"Vente")</f>
        <v>Vente</v>
      </c>
      <c r="W28" s="42">
        <f>IFERROR(__xludf.DUMMYFUNCTION("""COMPUTED_VALUE"""),21.0)</f>
        <v>21</v>
      </c>
      <c r="X28" s="42" t="str">
        <f>IFERROR(__xludf.DUMMYFUNCTION("""COMPUTED_VALUE"""),"VANGUARD")</f>
        <v>VANGUARD</v>
      </c>
      <c r="Y28" s="42" t="str">
        <f>IFERROR(__xludf.DUMMYFUNCTION("""COMPUTED_VALUE"""),"S&amp;P500@49,729")</f>
        <v>S&amp;P500@49,729</v>
      </c>
      <c r="Z28" s="42" t="str">
        <f>IFERROR(__xludf.DUMMYFUNCTION("""COMPUTED_VALUE"""),"EUR")</f>
        <v>EUR</v>
      </c>
      <c r="AA28" s="42" t="str">
        <f>IFERROR(__xludf.DUMMYFUNCTION("""COMPUTED_VALUE"""),"(IE00B3XXRP09)")</f>
        <v>(IE00B3XXRP09)</v>
      </c>
      <c r="AB28" s="42"/>
      <c r="AC28" s="42"/>
      <c r="AD28" s="42"/>
      <c r="AE28" s="42"/>
      <c r="AF28" s="42"/>
      <c r="AG28" s="42"/>
      <c r="AH28" s="42"/>
      <c r="AI28" s="42"/>
      <c r="AJ28" s="42"/>
    </row>
    <row r="29">
      <c r="A29" s="7" t="s">
        <v>280</v>
      </c>
      <c r="B29" s="7" t="s">
        <v>299</v>
      </c>
      <c r="C29" s="7" t="s">
        <v>280</v>
      </c>
      <c r="D29" s="7" t="s">
        <v>73</v>
      </c>
      <c r="E29" s="7" t="s">
        <v>74</v>
      </c>
      <c r="F29" s="9" t="s">
        <v>75</v>
      </c>
      <c r="G29" s="7"/>
      <c r="H29" s="7" t="s">
        <v>68</v>
      </c>
      <c r="I29" s="7" t="s">
        <v>76</v>
      </c>
      <c r="J29" s="7" t="s">
        <v>68</v>
      </c>
      <c r="K29" s="7" t="s">
        <v>300</v>
      </c>
      <c r="L29" s="26" t="str">
        <f t="shared" si="1"/>
        <v/>
      </c>
      <c r="M29" s="28">
        <f>IFERROR(__xludf.DUMMYFUNCTION("IF(Account!$F29&lt;&gt;"""", VALUE(REGEXREPLACE($I29, ""\,"", ""."")), """")"),-2.0)</f>
        <v>-2</v>
      </c>
      <c r="N29" s="31">
        <f>IF(Account!$F29&lt;&gt;"", DATEVALUE(MID($A29,4,3) &amp; LEFT($A29,3) &amp; RIGHT($A29,4)) + TIMEVALUE($B29), "")</f>
        <v>43579.65764</v>
      </c>
      <c r="O29" s="33">
        <f>IF(Account!$F29&lt;&gt;"", DATEVALUE(MID($A29,4,3) &amp; LEFT($A29,3) &amp; RIGHT($A29,4)), "")</f>
        <v>43579</v>
      </c>
      <c r="P29" s="34" t="str">
        <f>IFERROR(VLOOKUP($Q29,Selection!$F:$G,2,false))</f>
        <v>Long term US bonds (20-25 year)</v>
      </c>
      <c r="Q29" s="36" t="str">
        <f>IF(AND($X29="change",$H29="EUR"),IF(AND($Z29="Crédit",$N29=$N30),$Q30,IF(AND($Z29="Débit",$N29=$N28),$Q28)),IF(OR(AND(OR($E29&lt;&gt;"",$L29=""),$M29&lt;&gt;0),$A29=""),IFERROR(VLOOKUP($E29,Selection!$E:$F,2,false)),IFERROR(VLOOKUP(SUBSTITUTE($I29,"-","",1),$K30:$Q1119,7,false),VLOOKUP($K29,$K30:$Q1119,7,false))))</f>
        <v>iShares USD Treasury Bond 20+yr UCITS ETF</v>
      </c>
      <c r="R29" s="34" t="str">
        <f t="shared" si="2"/>
        <v>COST</v>
      </c>
      <c r="S29" s="37" t="str">
        <f t="shared" si="3"/>
        <v/>
      </c>
      <c r="T29" s="38" t="str">
        <f t="shared" si="4"/>
        <v/>
      </c>
      <c r="U29" s="28">
        <f t="shared" si="5"/>
        <v>-2.27</v>
      </c>
      <c r="V29" s="39" t="str">
        <f>IFERROR(__xludf.DUMMYFUNCTION(" IF(Account!$F29&lt;&gt;"""", SPLIT(Account!$F29, "" ""), """")"),"Frais")</f>
        <v>Frais</v>
      </c>
      <c r="W29" s="42" t="str">
        <f>IFERROR(__xludf.DUMMYFUNCTION("""COMPUTED_VALUE"""),"de")</f>
        <v>de</v>
      </c>
      <c r="X29" s="42" t="str">
        <f>IFERROR(__xludf.DUMMYFUNCTION("""COMPUTED_VALUE"""),"courtage")</f>
        <v>courtage</v>
      </c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>
      <c r="A30" s="7" t="s">
        <v>280</v>
      </c>
      <c r="B30" s="7" t="s">
        <v>299</v>
      </c>
      <c r="C30" s="7" t="s">
        <v>280</v>
      </c>
      <c r="D30" s="7" t="s">
        <v>73</v>
      </c>
      <c r="E30" s="7" t="s">
        <v>74</v>
      </c>
      <c r="F30" s="9" t="s">
        <v>75</v>
      </c>
      <c r="G30" s="7"/>
      <c r="H30" s="7" t="s">
        <v>68</v>
      </c>
      <c r="I30" s="7" t="s">
        <v>302</v>
      </c>
      <c r="J30" s="7" t="s">
        <v>68</v>
      </c>
      <c r="K30" s="7" t="s">
        <v>303</v>
      </c>
      <c r="L30" s="26" t="str">
        <f t="shared" si="1"/>
        <v/>
      </c>
      <c r="M30" s="28">
        <f>IFERROR(__xludf.DUMMYFUNCTION("IF(Account!$F30&lt;&gt;"""", VALUE(REGEXREPLACE($I30, ""\,"", ""."")), """")"),-0.27)</f>
        <v>-0.27</v>
      </c>
      <c r="N30" s="31">
        <f>IF(Account!$F30&lt;&gt;"", DATEVALUE(MID($A30,4,3) &amp; LEFT($A30,3) &amp; RIGHT($A30,4)) + TIMEVALUE($B30), "")</f>
        <v>43579.65764</v>
      </c>
      <c r="O30" s="33">
        <f>IF(Account!$F30&lt;&gt;"", DATEVALUE(MID($A30,4,3) &amp; LEFT($A30,3) &amp; RIGHT($A30,4)), "")</f>
        <v>43579</v>
      </c>
      <c r="P30" s="34" t="str">
        <f>IFERROR(VLOOKUP($Q30,Selection!$F:$G,2,false))</f>
        <v>Long term US bonds (20-25 year)</v>
      </c>
      <c r="Q30" s="36" t="str">
        <f>IF(AND($X30="change",$H30="EUR"),IF(AND($Z30="Crédit",$N30=$N31),$Q31,IF(AND($Z30="Débit",$N30=$N29),$Q29)),IF(OR(AND(OR($E30&lt;&gt;"",$L30=""),$M30&lt;&gt;0),$A30=""),IFERROR(VLOOKUP($E30,Selection!$E:$F,2,false)),IFERROR(VLOOKUP(SUBSTITUTE($I30,"-","",1),$K31:$Q1119,7,false),VLOOKUP($K30,$K31:$Q1119,7,false))))</f>
        <v>iShares USD Treasury Bond 20+yr UCITS ETF</v>
      </c>
      <c r="R30" s="34" t="str">
        <f t="shared" si="2"/>
        <v>COST</v>
      </c>
      <c r="S30" s="37" t="str">
        <f t="shared" si="3"/>
        <v/>
      </c>
      <c r="T30" s="38" t="str">
        <f t="shared" si="4"/>
        <v/>
      </c>
      <c r="U30" s="28">
        <f t="shared" si="5"/>
        <v>-2.27</v>
      </c>
      <c r="V30" s="39" t="str">
        <f>IFERROR(__xludf.DUMMYFUNCTION(" IF(Account!$F30&lt;&gt;"""", SPLIT(Account!$F30, "" ""), """")"),"Frais")</f>
        <v>Frais</v>
      </c>
      <c r="W30" s="42" t="str">
        <f>IFERROR(__xludf.DUMMYFUNCTION("""COMPUTED_VALUE"""),"de")</f>
        <v>de</v>
      </c>
      <c r="X30" s="42" t="str">
        <f>IFERROR(__xludf.DUMMYFUNCTION("""COMPUTED_VALUE"""),"courtage")</f>
        <v>courtage</v>
      </c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</row>
    <row r="31">
      <c r="A31" s="7" t="s">
        <v>280</v>
      </c>
      <c r="B31" s="7" t="s">
        <v>299</v>
      </c>
      <c r="C31" s="7" t="s">
        <v>280</v>
      </c>
      <c r="D31" s="7" t="s">
        <v>73</v>
      </c>
      <c r="E31" s="7" t="s">
        <v>74</v>
      </c>
      <c r="F31" s="9" t="s">
        <v>310</v>
      </c>
      <c r="G31" s="7"/>
      <c r="H31" s="7" t="s">
        <v>68</v>
      </c>
      <c r="I31" s="7" t="s">
        <v>311</v>
      </c>
      <c r="J31" s="7" t="s">
        <v>68</v>
      </c>
      <c r="K31" s="7" t="s">
        <v>312</v>
      </c>
      <c r="L31" s="26">
        <f t="shared" si="1"/>
        <v>-330</v>
      </c>
      <c r="M31" s="28">
        <f>IFERROR(__xludf.DUMMYFUNCTION("IF(Account!$F31&lt;&gt;"""", VALUE(REGEXREPLACE($I31, ""\,"", ""."")), """")"),1366.53)</f>
        <v>1366.53</v>
      </c>
      <c r="N31" s="31">
        <f>IF(Account!$F31&lt;&gt;"", DATEVALUE(MID($A31,4,3) &amp; LEFT($A31,3) &amp; RIGHT($A31,4)) + TIMEVALUE($B31), "")</f>
        <v>43579.65764</v>
      </c>
      <c r="O31" s="33">
        <f>IF(Account!$F31&lt;&gt;"", DATEVALUE(MID($A31,4,3) &amp; LEFT($A31,3) &amp; RIGHT($A31,4)), "")</f>
        <v>43579</v>
      </c>
      <c r="P31" s="34" t="str">
        <f>IFERROR(VLOOKUP($Q31,Selection!$F:$G,2,false))</f>
        <v>Long term US bonds (20-25 year)</v>
      </c>
      <c r="Q31" s="36" t="str">
        <f>IF(AND($X31="change",$H31="EUR"),IF(AND($Z31="Crédit",$N31=$N32),$Q32,IF(AND($Z31="Débit",$N31=$N30),$Q30)),IF(OR(AND(OR($E31&lt;&gt;"",$L31=""),$M31&lt;&gt;0),$A31=""),IFERROR(VLOOKUP($E31,Selection!$E:$F,2,false)),IFERROR(VLOOKUP(SUBSTITUTE($I31,"-","",1),$K32:$Q1119,7,false),VLOOKUP($K31,$K32:$Q1119,7,false))))</f>
        <v>iShares USD Treasury Bond 20+yr UCITS ETF</v>
      </c>
      <c r="R31" s="34" t="str">
        <f t="shared" si="2"/>
        <v>SELL</v>
      </c>
      <c r="S31" s="37">
        <f t="shared" si="3"/>
        <v>-330</v>
      </c>
      <c r="T31" s="38">
        <f t="shared" si="4"/>
        <v>4.141</v>
      </c>
      <c r="U31" s="28">
        <f t="shared" si="5"/>
        <v>1366.53</v>
      </c>
      <c r="V31" s="39" t="str">
        <f>IFERROR(__xludf.DUMMYFUNCTION(" IF(Account!$F31&lt;&gt;"""", SPLIT(Account!$F31, "" ""), """")"),"Vente")</f>
        <v>Vente</v>
      </c>
      <c r="W31" s="42">
        <f>IFERROR(__xludf.DUMMYFUNCTION("""COMPUTED_VALUE"""),330.0)</f>
        <v>330</v>
      </c>
      <c r="X31" s="42" t="str">
        <f>IFERROR(__xludf.DUMMYFUNCTION("""COMPUTED_VALUE"""),"ISHSIV-DL")</f>
        <v>ISHSIV-DL</v>
      </c>
      <c r="Y31" s="42" t="str">
        <f>IFERROR(__xludf.DUMMYFUNCTION("""COMPUTED_VALUE"""),"T.BD20+YR")</f>
        <v>T.BD20+YR</v>
      </c>
      <c r="Z31" s="42" t="str">
        <f>IFERROR(__xludf.DUMMYFUNCTION("""COMPUTED_VALUE"""),"DL")</f>
        <v>DL</v>
      </c>
      <c r="AA31" s="42" t="str">
        <f>IFERROR(__xludf.DUMMYFUNCTION("""COMPUTED_VALUE"""),"D@4,141")</f>
        <v>D@4,141</v>
      </c>
      <c r="AB31" s="42" t="str">
        <f>IFERROR(__xludf.DUMMYFUNCTION("""COMPUTED_VALUE"""),"EUR")</f>
        <v>EUR</v>
      </c>
      <c r="AC31" s="42" t="str">
        <f>IFERROR(__xludf.DUMMYFUNCTION("""COMPUTED_VALUE"""),"(IE00BSKRJZ44)")</f>
        <v>(IE00BSKRJZ44)</v>
      </c>
      <c r="AD31" s="42"/>
      <c r="AE31" s="42"/>
      <c r="AF31" s="42"/>
      <c r="AG31" s="42"/>
      <c r="AH31" s="42"/>
      <c r="AI31" s="42"/>
      <c r="AJ31" s="42"/>
    </row>
    <row r="32">
      <c r="A32" s="7" t="s">
        <v>280</v>
      </c>
      <c r="B32" s="7" t="s">
        <v>315</v>
      </c>
      <c r="C32" s="7" t="s">
        <v>280</v>
      </c>
      <c r="D32" s="7" t="s">
        <v>73</v>
      </c>
      <c r="E32" s="7" t="s">
        <v>74</v>
      </c>
      <c r="F32" s="9" t="s">
        <v>75</v>
      </c>
      <c r="G32" s="7"/>
      <c r="H32" s="7" t="s">
        <v>68</v>
      </c>
      <c r="I32" s="7" t="s">
        <v>76</v>
      </c>
      <c r="J32" s="7" t="s">
        <v>68</v>
      </c>
      <c r="K32" s="7" t="s">
        <v>316</v>
      </c>
      <c r="L32" s="26" t="str">
        <f t="shared" si="1"/>
        <v/>
      </c>
      <c r="M32" s="28">
        <f>IFERROR(__xludf.DUMMYFUNCTION("IF(Account!$F32&lt;&gt;"""", VALUE(REGEXREPLACE($I32, ""\,"", ""."")), """")"),-2.0)</f>
        <v>-2</v>
      </c>
      <c r="N32" s="31">
        <f>IF(Account!$F32&lt;&gt;"", DATEVALUE(MID($A32,4,3) &amp; LEFT($A32,3) &amp; RIGHT($A32,4)) + TIMEVALUE($B32), "")</f>
        <v>43579.61667</v>
      </c>
      <c r="O32" s="33">
        <f>IF(Account!$F32&lt;&gt;"", DATEVALUE(MID($A32,4,3) &amp; LEFT($A32,3) &amp; RIGHT($A32,4)), "")</f>
        <v>43579</v>
      </c>
      <c r="P32" s="34" t="str">
        <f>IFERROR(VLOOKUP($Q32,Selection!$F:$G,2,false))</f>
        <v>Long term US bonds (20-25 year)</v>
      </c>
      <c r="Q32" s="36" t="str">
        <f>IF(AND($X32="change",$H32="EUR"),IF(AND($Z32="Crédit",$N32=$N33),$Q33,IF(AND($Z32="Débit",$N32=$N31),$Q31)),IF(OR(AND(OR($E32&lt;&gt;"",$L32=""),$M32&lt;&gt;0),$A32=""),IFERROR(VLOOKUP($E32,Selection!$E:$F,2,false)),IFERROR(VLOOKUP(SUBSTITUTE($I32,"-","",1),$K33:$Q1119,7,false),VLOOKUP($K32,$K33:$Q1119,7,false))))</f>
        <v>iShares USD Treasury Bond 20+yr UCITS ETF</v>
      </c>
      <c r="R32" s="34" t="str">
        <f t="shared" si="2"/>
        <v>COST</v>
      </c>
      <c r="S32" s="37" t="str">
        <f t="shared" si="3"/>
        <v/>
      </c>
      <c r="T32" s="38" t="str">
        <f t="shared" si="4"/>
        <v/>
      </c>
      <c r="U32" s="28">
        <f t="shared" si="5"/>
        <v>-2.26</v>
      </c>
      <c r="V32" s="39" t="str">
        <f>IFERROR(__xludf.DUMMYFUNCTION(" IF(Account!$F32&lt;&gt;"""", SPLIT(Account!$F32, "" ""), """")"),"Frais")</f>
        <v>Frais</v>
      </c>
      <c r="W32" s="42" t="str">
        <f>IFERROR(__xludf.DUMMYFUNCTION("""COMPUTED_VALUE"""),"de")</f>
        <v>de</v>
      </c>
      <c r="X32" s="42" t="str">
        <f>IFERROR(__xludf.DUMMYFUNCTION("""COMPUTED_VALUE"""),"courtage")</f>
        <v>courtage</v>
      </c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</row>
    <row r="33">
      <c r="A33" s="7" t="s">
        <v>280</v>
      </c>
      <c r="B33" s="7" t="s">
        <v>315</v>
      </c>
      <c r="C33" s="7" t="s">
        <v>280</v>
      </c>
      <c r="D33" s="7" t="s">
        <v>73</v>
      </c>
      <c r="E33" s="7" t="s">
        <v>74</v>
      </c>
      <c r="F33" s="9" t="s">
        <v>75</v>
      </c>
      <c r="G33" s="7"/>
      <c r="H33" s="7" t="s">
        <v>68</v>
      </c>
      <c r="I33" s="7" t="s">
        <v>319</v>
      </c>
      <c r="J33" s="7" t="s">
        <v>68</v>
      </c>
      <c r="K33" s="7" t="s">
        <v>320</v>
      </c>
      <c r="L33" s="26" t="str">
        <f t="shared" si="1"/>
        <v/>
      </c>
      <c r="M33" s="28">
        <f>IFERROR(__xludf.DUMMYFUNCTION("IF(Account!$F33&lt;&gt;"""", VALUE(REGEXREPLACE($I33, ""\,"", ""."")), """")"),-0.26)</f>
        <v>-0.26</v>
      </c>
      <c r="N33" s="31">
        <f>IF(Account!$F33&lt;&gt;"", DATEVALUE(MID($A33,4,3) &amp; LEFT($A33,3) &amp; RIGHT($A33,4)) + TIMEVALUE($B33), "")</f>
        <v>43579.61667</v>
      </c>
      <c r="O33" s="33">
        <f>IF(Account!$F33&lt;&gt;"", DATEVALUE(MID($A33,4,3) &amp; LEFT($A33,3) &amp; RIGHT($A33,4)), "")</f>
        <v>43579</v>
      </c>
      <c r="P33" s="34" t="str">
        <f>IFERROR(VLOOKUP($Q33,Selection!$F:$G,2,false))</f>
        <v>Long term US bonds (20-25 year)</v>
      </c>
      <c r="Q33" s="36" t="str">
        <f>IF(AND($X33="change",$H33="EUR"),IF(AND($Z33="Crédit",$N33=$N34),$Q34,IF(AND($Z33="Débit",$N33=$N32),$Q32)),IF(OR(AND(OR($E33&lt;&gt;"",$L33=""),$M33&lt;&gt;0),$A33=""),IFERROR(VLOOKUP($E33,Selection!$E:$F,2,false)),IFERROR(VLOOKUP(SUBSTITUTE($I33,"-","",1),$K34:$Q1119,7,false),VLOOKUP($K33,$K34:$Q1119,7,false))))</f>
        <v>iShares USD Treasury Bond 20+yr UCITS ETF</v>
      </c>
      <c r="R33" s="34" t="str">
        <f t="shared" si="2"/>
        <v>COST</v>
      </c>
      <c r="S33" s="37" t="str">
        <f t="shared" si="3"/>
        <v/>
      </c>
      <c r="T33" s="38" t="str">
        <f t="shared" si="4"/>
        <v/>
      </c>
      <c r="U33" s="28">
        <f t="shared" si="5"/>
        <v>-2.26</v>
      </c>
      <c r="V33" s="39" t="str">
        <f>IFERROR(__xludf.DUMMYFUNCTION(" IF(Account!$F33&lt;&gt;"""", SPLIT(Account!$F33, "" ""), """")"),"Frais")</f>
        <v>Frais</v>
      </c>
      <c r="W33" s="42" t="str">
        <f>IFERROR(__xludf.DUMMYFUNCTION("""COMPUTED_VALUE"""),"de")</f>
        <v>de</v>
      </c>
      <c r="X33" s="42" t="str">
        <f>IFERROR(__xludf.DUMMYFUNCTION("""COMPUTED_VALUE"""),"courtage")</f>
        <v>courtage</v>
      </c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</row>
    <row r="34">
      <c r="A34" s="7" t="s">
        <v>280</v>
      </c>
      <c r="B34" s="7" t="s">
        <v>315</v>
      </c>
      <c r="C34" s="7" t="s">
        <v>280</v>
      </c>
      <c r="D34" s="7" t="s">
        <v>73</v>
      </c>
      <c r="E34" s="7" t="s">
        <v>74</v>
      </c>
      <c r="F34" s="9" t="s">
        <v>323</v>
      </c>
      <c r="G34" s="7"/>
      <c r="H34" s="7" t="s">
        <v>68</v>
      </c>
      <c r="I34" s="7" t="s">
        <v>324</v>
      </c>
      <c r="J34" s="7" t="s">
        <v>68</v>
      </c>
      <c r="K34" s="7" t="s">
        <v>325</v>
      </c>
      <c r="L34" s="26">
        <f t="shared" si="1"/>
        <v>-320</v>
      </c>
      <c r="M34" s="28">
        <f>IFERROR(__xludf.DUMMYFUNCTION("IF(Account!$F34&lt;&gt;"""", VALUE(REGEXREPLACE($I34, ""\,"", ""."")), """")"),1323.42)</f>
        <v>1323.42</v>
      </c>
      <c r="N34" s="31">
        <f>IF(Account!$F34&lt;&gt;"", DATEVALUE(MID($A34,4,3) &amp; LEFT($A34,3) &amp; RIGHT($A34,4)) + TIMEVALUE($B34), "")</f>
        <v>43579.61667</v>
      </c>
      <c r="O34" s="33">
        <f>IF(Account!$F34&lt;&gt;"", DATEVALUE(MID($A34,4,3) &amp; LEFT($A34,3) &amp; RIGHT($A34,4)), "")</f>
        <v>43579</v>
      </c>
      <c r="P34" s="34" t="str">
        <f>IFERROR(VLOOKUP($Q34,Selection!$F:$G,2,false))</f>
        <v>Long term US bonds (20-25 year)</v>
      </c>
      <c r="Q34" s="36" t="str">
        <f>IF(AND($X34="change",$H34="EUR"),IF(AND($Z34="Crédit",$N34=$N35),$Q35,IF(AND($Z34="Débit",$N34=$N33),$Q33)),IF(OR(AND(OR($E34&lt;&gt;"",$L34=""),$M34&lt;&gt;0),$A34=""),IFERROR(VLOOKUP($E34,Selection!$E:$F,2,false)),IFERROR(VLOOKUP(SUBSTITUTE($I34,"-","",1),$K35:$Q1119,7,false),VLOOKUP($K34,$K35:$Q1119,7,false))))</f>
        <v>iShares USD Treasury Bond 20+yr UCITS ETF</v>
      </c>
      <c r="R34" s="34" t="str">
        <f t="shared" si="2"/>
        <v>SELL</v>
      </c>
      <c r="S34" s="37">
        <f t="shared" si="3"/>
        <v>-320</v>
      </c>
      <c r="T34" s="38">
        <f t="shared" si="4"/>
        <v>4.1356875</v>
      </c>
      <c r="U34" s="28">
        <f t="shared" si="5"/>
        <v>1323.42</v>
      </c>
      <c r="V34" s="39" t="str">
        <f>IFERROR(__xludf.DUMMYFUNCTION(" IF(Account!$F34&lt;&gt;"""", SPLIT(Account!$F34, "" ""), """")"),"Vente")</f>
        <v>Vente</v>
      </c>
      <c r="W34" s="42">
        <f>IFERROR(__xludf.DUMMYFUNCTION("""COMPUTED_VALUE"""),320.0)</f>
        <v>320</v>
      </c>
      <c r="X34" s="42" t="str">
        <f>IFERROR(__xludf.DUMMYFUNCTION("""COMPUTED_VALUE"""),"ISHSIV-DL")</f>
        <v>ISHSIV-DL</v>
      </c>
      <c r="Y34" s="42" t="str">
        <f>IFERROR(__xludf.DUMMYFUNCTION("""COMPUTED_VALUE"""),"T.BD20+YR")</f>
        <v>T.BD20+YR</v>
      </c>
      <c r="Z34" s="42" t="str">
        <f>IFERROR(__xludf.DUMMYFUNCTION("""COMPUTED_VALUE"""),"DL")</f>
        <v>DL</v>
      </c>
      <c r="AA34" s="42" t="str">
        <f>IFERROR(__xludf.DUMMYFUNCTION("""COMPUTED_VALUE"""),"D@4,1357")</f>
        <v>D@4,1357</v>
      </c>
      <c r="AB34" s="42" t="str">
        <f>IFERROR(__xludf.DUMMYFUNCTION("""COMPUTED_VALUE"""),"EUR")</f>
        <v>EUR</v>
      </c>
      <c r="AC34" s="42" t="str">
        <f>IFERROR(__xludf.DUMMYFUNCTION("""COMPUTED_VALUE"""),"(IE00BSKRJZ44)")</f>
        <v>(IE00BSKRJZ44)</v>
      </c>
      <c r="AD34" s="42"/>
      <c r="AE34" s="42"/>
      <c r="AF34" s="42"/>
      <c r="AG34" s="42"/>
      <c r="AH34" s="42"/>
      <c r="AI34" s="42"/>
      <c r="AJ34" s="42"/>
    </row>
    <row r="35">
      <c r="A35" s="7" t="s">
        <v>280</v>
      </c>
      <c r="B35" s="7" t="s">
        <v>315</v>
      </c>
      <c r="C35" s="7" t="s">
        <v>280</v>
      </c>
      <c r="D35" s="7" t="s">
        <v>258</v>
      </c>
      <c r="E35" s="7" t="s">
        <v>259</v>
      </c>
      <c r="F35" s="9" t="s">
        <v>327</v>
      </c>
      <c r="G35" s="7"/>
      <c r="H35" s="7" t="s">
        <v>68</v>
      </c>
      <c r="I35" s="7" t="s">
        <v>328</v>
      </c>
      <c r="J35" s="7" t="s">
        <v>68</v>
      </c>
      <c r="K35" s="7" t="s">
        <v>329</v>
      </c>
      <c r="L35" s="26">
        <f t="shared" si="1"/>
        <v>-23</v>
      </c>
      <c r="M35" s="28">
        <f>IFERROR(__xludf.DUMMYFUNCTION("IF(Account!$F35&lt;&gt;"""", VALUE(REGEXREPLACE($I35, ""\,"", ""."")), """")"),1143.1)</f>
        <v>1143.1</v>
      </c>
      <c r="N35" s="31">
        <f>IF(Account!$F35&lt;&gt;"", DATEVALUE(MID($A35,4,3) &amp; LEFT($A35,3) &amp; RIGHT($A35,4)) + TIMEVALUE($B35), "")</f>
        <v>43579.61667</v>
      </c>
      <c r="O35" s="33">
        <f>IF(Account!$F35&lt;&gt;"", DATEVALUE(MID($A35,4,3) &amp; LEFT($A35,3) &amp; RIGHT($A35,4)), "")</f>
        <v>43579</v>
      </c>
      <c r="P35" s="34" t="str">
        <f>IFERROR(VLOOKUP($Q35,Selection!$F:$G,2,false))</f>
        <v>Stocks</v>
      </c>
      <c r="Q35" s="36" t="str">
        <f>IF(AND($X35="change",$H35="EUR"),IF(AND($Z35="Crédit",$N35=$N36),$Q36,IF(AND($Z35="Débit",$N35=$N34),$Q34)),IF(OR(AND(OR($E35&lt;&gt;"",$L35=""),$M35&lt;&gt;0),$A35=""),IFERROR(VLOOKUP($E35,Selection!$E:$F,2,false)),IFERROR(VLOOKUP(SUBSTITUTE($I35,"-","",1),$K36:$Q1119,7,false),VLOOKUP($K35,$K36:$Q1119,7,false))))</f>
        <v>Vanguard S&amp;P 500 UCITS ETF</v>
      </c>
      <c r="R35" s="34" t="str">
        <f t="shared" si="2"/>
        <v>SELL</v>
      </c>
      <c r="S35" s="37">
        <f t="shared" si="3"/>
        <v>-23</v>
      </c>
      <c r="T35" s="38">
        <f t="shared" si="4"/>
        <v>49.7</v>
      </c>
      <c r="U35" s="28">
        <f t="shared" si="5"/>
        <v>1143.1</v>
      </c>
      <c r="V35" s="39" t="str">
        <f>IFERROR(__xludf.DUMMYFUNCTION(" IF(Account!$F35&lt;&gt;"""", SPLIT(Account!$F35, "" ""), """")"),"Vente")</f>
        <v>Vente</v>
      </c>
      <c r="W35" s="42">
        <f>IFERROR(__xludf.DUMMYFUNCTION("""COMPUTED_VALUE"""),23.0)</f>
        <v>23</v>
      </c>
      <c r="X35" s="42" t="str">
        <f>IFERROR(__xludf.DUMMYFUNCTION("""COMPUTED_VALUE"""),"VANGUARD")</f>
        <v>VANGUARD</v>
      </c>
      <c r="Y35" s="42" t="str">
        <f>IFERROR(__xludf.DUMMYFUNCTION("""COMPUTED_VALUE"""),"S&amp;P500@49,7")</f>
        <v>S&amp;P500@49,7</v>
      </c>
      <c r="Z35" s="42" t="str">
        <f>IFERROR(__xludf.DUMMYFUNCTION("""COMPUTED_VALUE"""),"EUR")</f>
        <v>EUR</v>
      </c>
      <c r="AA35" s="42" t="str">
        <f>IFERROR(__xludf.DUMMYFUNCTION("""COMPUTED_VALUE"""),"(IE00B3XXRP09)")</f>
        <v>(IE00B3XXRP09)</v>
      </c>
      <c r="AB35" s="42"/>
      <c r="AC35" s="42"/>
      <c r="AD35" s="42"/>
      <c r="AE35" s="42"/>
      <c r="AF35" s="42"/>
      <c r="AG35" s="42"/>
      <c r="AH35" s="42"/>
      <c r="AI35" s="42"/>
      <c r="AJ35" s="42"/>
    </row>
    <row r="36">
      <c r="A36" s="7" t="s">
        <v>280</v>
      </c>
      <c r="B36" s="7" t="s">
        <v>331</v>
      </c>
      <c r="C36" s="7" t="s">
        <v>280</v>
      </c>
      <c r="D36" s="7" t="s">
        <v>85</v>
      </c>
      <c r="E36" s="7" t="s">
        <v>86</v>
      </c>
      <c r="F36" s="9" t="s">
        <v>332</v>
      </c>
      <c r="G36" s="7"/>
      <c r="H36" s="7" t="s">
        <v>68</v>
      </c>
      <c r="I36" s="7" t="s">
        <v>333</v>
      </c>
      <c r="J36" s="7" t="s">
        <v>68</v>
      </c>
      <c r="K36" s="7" t="s">
        <v>334</v>
      </c>
      <c r="L36" s="26">
        <f t="shared" si="1"/>
        <v>-6</v>
      </c>
      <c r="M36" s="28">
        <f>IFERROR(__xludf.DUMMYFUNCTION("IF(Account!$F36&lt;&gt;"""", VALUE(REGEXREPLACE($I36, ""\,"", ""."")), """")"),1048.02)</f>
        <v>1048.02</v>
      </c>
      <c r="N36" s="31">
        <f>IF(Account!$F36&lt;&gt;"", DATEVALUE(MID($A36,4,3) &amp; LEFT($A36,3) &amp; RIGHT($A36,4)) + TIMEVALUE($B36), "")</f>
        <v>43579.60972</v>
      </c>
      <c r="O36" s="33">
        <f>IF(Account!$F36&lt;&gt;"", DATEVALUE(MID($A36,4,3) &amp; LEFT($A36,3) &amp; RIGHT($A36,4)), "")</f>
        <v>43579</v>
      </c>
      <c r="P36" s="34" t="str">
        <f>IFERROR(VLOOKUP($Q36,Selection!$F:$G,2,false))</f>
        <v>Intermediate US bonds (7-10 year)</v>
      </c>
      <c r="Q36" s="36" t="str">
        <f>IF(AND($X36="change",$H36="EUR"),IF(AND($Z36="Crédit",$N36=$N37),$Q37,IF(AND($Z36="Débit",$N36=$N35),$Q35)),IF(OR(AND(OR($E36&lt;&gt;"",$L36=""),$M36&lt;&gt;0),$A36=""),IFERROR(VLOOKUP($E36,Selection!$E:$F,2,false)),IFERROR(VLOOKUP(SUBSTITUTE($I36,"-","",1),$K37:$Q1119,7,false),VLOOKUP($K36,$K37:$Q1119,7,false))))</f>
        <v>iShares USD Treasury Bond 7-10yr UCITS ETF</v>
      </c>
      <c r="R36" s="34" t="str">
        <f t="shared" si="2"/>
        <v>SELL</v>
      </c>
      <c r="S36" s="37">
        <f t="shared" si="3"/>
        <v>-6</v>
      </c>
      <c r="T36" s="38">
        <f t="shared" si="4"/>
        <v>174.67</v>
      </c>
      <c r="U36" s="28">
        <f t="shared" si="5"/>
        <v>1048.02</v>
      </c>
      <c r="V36" s="39" t="str">
        <f>IFERROR(__xludf.DUMMYFUNCTION(" IF(Account!$F36&lt;&gt;"""", SPLIT(Account!$F36, "" ""), """")"),"Vente")</f>
        <v>Vente</v>
      </c>
      <c r="W36" s="42">
        <f>IFERROR(__xludf.DUMMYFUNCTION("""COMPUTED_VALUE"""),6.0)</f>
        <v>6</v>
      </c>
      <c r="X36" s="42" t="str">
        <f>IFERROR(__xludf.DUMMYFUNCTION("""COMPUTED_VALUE"""),"ISHARES")</f>
        <v>ISHARES</v>
      </c>
      <c r="Y36" s="42" t="str">
        <f>IFERROR(__xludf.DUMMYFUNCTION("""COMPUTED_VALUE"""),"US")</f>
        <v>US</v>
      </c>
      <c r="Z36" s="42" t="str">
        <f>IFERROR(__xludf.DUMMYFUNCTION("""COMPUTED_VALUE"""),"T")</f>
        <v>T</v>
      </c>
      <c r="AA36" s="42" t="str">
        <f>IFERROR(__xludf.DUMMYFUNCTION("""COMPUTED_VALUE"""),"7-10@174,67")</f>
        <v>7-10@174,67</v>
      </c>
      <c r="AB36" s="42" t="str">
        <f>IFERROR(__xludf.DUMMYFUNCTION("""COMPUTED_VALUE"""),"EUR")</f>
        <v>EUR</v>
      </c>
      <c r="AC36" s="42" t="str">
        <f>IFERROR(__xludf.DUMMYFUNCTION("""COMPUTED_VALUE"""),"(IE00B1FZS798)")</f>
        <v>(IE00B1FZS798)</v>
      </c>
      <c r="AD36" s="42"/>
      <c r="AE36" s="42"/>
      <c r="AF36" s="42"/>
      <c r="AG36" s="42"/>
      <c r="AH36" s="42"/>
      <c r="AI36" s="42"/>
      <c r="AJ36" s="42"/>
    </row>
    <row r="37">
      <c r="A37" s="7" t="s">
        <v>280</v>
      </c>
      <c r="B37" s="7" t="s">
        <v>339</v>
      </c>
      <c r="C37" s="7" t="s">
        <v>280</v>
      </c>
      <c r="D37" s="7" t="s">
        <v>73</v>
      </c>
      <c r="E37" s="7" t="s">
        <v>74</v>
      </c>
      <c r="F37" s="9" t="s">
        <v>75</v>
      </c>
      <c r="G37" s="7"/>
      <c r="H37" s="7" t="s">
        <v>68</v>
      </c>
      <c r="I37" s="7" t="s">
        <v>76</v>
      </c>
      <c r="J37" s="7" t="s">
        <v>68</v>
      </c>
      <c r="K37" s="7" t="s">
        <v>340</v>
      </c>
      <c r="L37" s="26" t="str">
        <f t="shared" si="1"/>
        <v/>
      </c>
      <c r="M37" s="28">
        <f>IFERROR(__xludf.DUMMYFUNCTION("IF(Account!$F37&lt;&gt;"""", VALUE(REGEXREPLACE($I37, ""\,"", ""."")), """")"),-2.0)</f>
        <v>-2</v>
      </c>
      <c r="N37" s="31">
        <f>IF(Account!$F37&lt;&gt;"", DATEVALUE(MID($A37,4,3) &amp; LEFT($A37,3) &amp; RIGHT($A37,4)) + TIMEVALUE($B37), "")</f>
        <v>43579.48056</v>
      </c>
      <c r="O37" s="33">
        <f>IF(Account!$F37&lt;&gt;"", DATEVALUE(MID($A37,4,3) &amp; LEFT($A37,3) &amp; RIGHT($A37,4)), "")</f>
        <v>43579</v>
      </c>
      <c r="P37" s="34" t="str">
        <f>IFERROR(VLOOKUP($Q37,Selection!$F:$G,2,false))</f>
        <v>Long term US bonds (20-25 year)</v>
      </c>
      <c r="Q37" s="36" t="str">
        <f>IF(AND($X37="change",$H37="EUR"),IF(AND($Z37="Crédit",$N37=$N38),$Q38,IF(AND($Z37="Débit",$N37=$N36),$Q36)),IF(OR(AND(OR($E37&lt;&gt;"",$L37=""),$M37&lt;&gt;0),$A37=""),IFERROR(VLOOKUP($E37,Selection!$E:$F,2,false)),IFERROR(VLOOKUP(SUBSTITUTE($I37,"-","",1),$K38:$Q1119,7,false),VLOOKUP($K37,$K38:$Q1119,7,false))))</f>
        <v>iShares USD Treasury Bond 20+yr UCITS ETF</v>
      </c>
      <c r="R37" s="34" t="str">
        <f t="shared" si="2"/>
        <v>COST</v>
      </c>
      <c r="S37" s="37" t="str">
        <f t="shared" si="3"/>
        <v/>
      </c>
      <c r="T37" s="38" t="str">
        <f t="shared" si="4"/>
        <v/>
      </c>
      <c r="U37" s="28">
        <f t="shared" si="5"/>
        <v>-2.23</v>
      </c>
      <c r="V37" s="39" t="str">
        <f>IFERROR(__xludf.DUMMYFUNCTION(" IF(Account!$F37&lt;&gt;"""", SPLIT(Account!$F37, "" ""), """")"),"Frais")</f>
        <v>Frais</v>
      </c>
      <c r="W37" s="42" t="str">
        <f>IFERROR(__xludf.DUMMYFUNCTION("""COMPUTED_VALUE"""),"de")</f>
        <v>de</v>
      </c>
      <c r="X37" s="42" t="str">
        <f>IFERROR(__xludf.DUMMYFUNCTION("""COMPUTED_VALUE"""),"courtage")</f>
        <v>courtage</v>
      </c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</row>
    <row r="38">
      <c r="A38" s="7" t="s">
        <v>280</v>
      </c>
      <c r="B38" s="7" t="s">
        <v>339</v>
      </c>
      <c r="C38" s="7" t="s">
        <v>280</v>
      </c>
      <c r="D38" s="7" t="s">
        <v>73</v>
      </c>
      <c r="E38" s="7" t="s">
        <v>74</v>
      </c>
      <c r="F38" s="9" t="s">
        <v>75</v>
      </c>
      <c r="G38" s="7"/>
      <c r="H38" s="7" t="s">
        <v>68</v>
      </c>
      <c r="I38" s="7" t="s">
        <v>124</v>
      </c>
      <c r="J38" s="7" t="s">
        <v>68</v>
      </c>
      <c r="K38" s="7" t="s">
        <v>343</v>
      </c>
      <c r="L38" s="26" t="str">
        <f t="shared" si="1"/>
        <v/>
      </c>
      <c r="M38" s="28">
        <f>IFERROR(__xludf.DUMMYFUNCTION("IF(Account!$F38&lt;&gt;"""", VALUE(REGEXREPLACE($I38, ""\,"", ""."")), """")"),-0.23)</f>
        <v>-0.23</v>
      </c>
      <c r="N38" s="31">
        <f>IF(Account!$F38&lt;&gt;"", DATEVALUE(MID($A38,4,3) &amp; LEFT($A38,3) &amp; RIGHT($A38,4)) + TIMEVALUE($B38), "")</f>
        <v>43579.48056</v>
      </c>
      <c r="O38" s="33">
        <f>IF(Account!$F38&lt;&gt;"", DATEVALUE(MID($A38,4,3) &amp; LEFT($A38,3) &amp; RIGHT($A38,4)), "")</f>
        <v>43579</v>
      </c>
      <c r="P38" s="34" t="str">
        <f>IFERROR(VLOOKUP($Q38,Selection!$F:$G,2,false))</f>
        <v>Long term US bonds (20-25 year)</v>
      </c>
      <c r="Q38" s="36" t="str">
        <f>IF(AND($X38="change",$H38="EUR"),IF(AND($Z38="Crédit",$N38=$N39),$Q39,IF(AND($Z38="Débit",$N38=$N37),$Q37)),IF(OR(AND(OR($E38&lt;&gt;"",$L38=""),$M38&lt;&gt;0),$A38=""),IFERROR(VLOOKUP($E38,Selection!$E:$F,2,false)),IFERROR(VLOOKUP(SUBSTITUTE($I38,"-","",1),$K39:$Q1119,7,false),VLOOKUP($K38,$K39:$Q1119,7,false))))</f>
        <v>iShares USD Treasury Bond 20+yr UCITS ETF</v>
      </c>
      <c r="R38" s="34" t="str">
        <f t="shared" si="2"/>
        <v>COST</v>
      </c>
      <c r="S38" s="37" t="str">
        <f t="shared" si="3"/>
        <v/>
      </c>
      <c r="T38" s="38" t="str">
        <f t="shared" si="4"/>
        <v/>
      </c>
      <c r="U38" s="28">
        <f t="shared" si="5"/>
        <v>-2.23</v>
      </c>
      <c r="V38" s="39" t="str">
        <f>IFERROR(__xludf.DUMMYFUNCTION(" IF(Account!$F38&lt;&gt;"""", SPLIT(Account!$F38, "" ""), """")"),"Frais")</f>
        <v>Frais</v>
      </c>
      <c r="W38" s="42" t="str">
        <f>IFERROR(__xludf.DUMMYFUNCTION("""COMPUTED_VALUE"""),"de")</f>
        <v>de</v>
      </c>
      <c r="X38" s="42" t="str">
        <f>IFERROR(__xludf.DUMMYFUNCTION("""COMPUTED_VALUE"""),"courtage")</f>
        <v>courtage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</row>
    <row r="39">
      <c r="A39" s="7" t="s">
        <v>280</v>
      </c>
      <c r="B39" s="7" t="s">
        <v>339</v>
      </c>
      <c r="C39" s="7" t="s">
        <v>280</v>
      </c>
      <c r="D39" s="7" t="s">
        <v>73</v>
      </c>
      <c r="E39" s="7" t="s">
        <v>74</v>
      </c>
      <c r="F39" s="9" t="s">
        <v>345</v>
      </c>
      <c r="G39" s="7"/>
      <c r="H39" s="7" t="s">
        <v>68</v>
      </c>
      <c r="I39" s="7" t="s">
        <v>346</v>
      </c>
      <c r="J39" s="7" t="s">
        <v>68</v>
      </c>
      <c r="K39" s="7" t="s">
        <v>347</v>
      </c>
      <c r="L39" s="26">
        <f t="shared" si="1"/>
        <v>-285</v>
      </c>
      <c r="M39" s="28">
        <f>IFERROR(__xludf.DUMMYFUNCTION("IF(Account!$F39&lt;&gt;"""", VALUE(REGEXREPLACE($I39, ""\,"", ""."")), """")"),1174.71)</f>
        <v>1174.71</v>
      </c>
      <c r="N39" s="31">
        <f>IF(Account!$F39&lt;&gt;"", DATEVALUE(MID($A39,4,3) &amp; LEFT($A39,3) &amp; RIGHT($A39,4)) + TIMEVALUE($B39), "")</f>
        <v>43579.48056</v>
      </c>
      <c r="O39" s="33">
        <f>IF(Account!$F39&lt;&gt;"", DATEVALUE(MID($A39,4,3) &amp; LEFT($A39,3) &amp; RIGHT($A39,4)), "")</f>
        <v>43579</v>
      </c>
      <c r="P39" s="34" t="str">
        <f>IFERROR(VLOOKUP($Q39,Selection!$F:$G,2,false))</f>
        <v>Long term US bonds (20-25 year)</v>
      </c>
      <c r="Q39" s="36" t="str">
        <f>IF(AND($X39="change",$H39="EUR"),IF(AND($Z39="Crédit",$N39=$N40),$Q40,IF(AND($Z39="Débit",$N39=$N38),$Q38)),IF(OR(AND(OR($E39&lt;&gt;"",$L39=""),$M39&lt;&gt;0),$A39=""),IFERROR(VLOOKUP($E39,Selection!$E:$F,2,false)),IFERROR(VLOOKUP(SUBSTITUTE($I39,"-","",1),$K40:$Q1119,7,false),VLOOKUP($K39,$K40:$Q1119,7,false))))</f>
        <v>iShares USD Treasury Bond 20+yr UCITS ETF</v>
      </c>
      <c r="R39" s="34" t="str">
        <f t="shared" si="2"/>
        <v>SELL</v>
      </c>
      <c r="S39" s="37">
        <f t="shared" si="3"/>
        <v>-285</v>
      </c>
      <c r="T39" s="38">
        <f t="shared" si="4"/>
        <v>4.121789474</v>
      </c>
      <c r="U39" s="28">
        <f t="shared" si="5"/>
        <v>1174.71</v>
      </c>
      <c r="V39" s="39" t="str">
        <f>IFERROR(__xludf.DUMMYFUNCTION(" IF(Account!$F39&lt;&gt;"""", SPLIT(Account!$F39, "" ""), """")"),"Vente")</f>
        <v>Vente</v>
      </c>
      <c r="W39" s="42">
        <f>IFERROR(__xludf.DUMMYFUNCTION("""COMPUTED_VALUE"""),285.0)</f>
        <v>285</v>
      </c>
      <c r="X39" s="42" t="str">
        <f>IFERROR(__xludf.DUMMYFUNCTION("""COMPUTED_VALUE"""),"ISHSIV-DL")</f>
        <v>ISHSIV-DL</v>
      </c>
      <c r="Y39" s="42" t="str">
        <f>IFERROR(__xludf.DUMMYFUNCTION("""COMPUTED_VALUE"""),"T.BD20+YR")</f>
        <v>T.BD20+YR</v>
      </c>
      <c r="Z39" s="42" t="str">
        <f>IFERROR(__xludf.DUMMYFUNCTION("""COMPUTED_VALUE"""),"DL")</f>
        <v>DL</v>
      </c>
      <c r="AA39" s="42" t="str">
        <f>IFERROR(__xludf.DUMMYFUNCTION("""COMPUTED_VALUE"""),"D@4,1218")</f>
        <v>D@4,1218</v>
      </c>
      <c r="AB39" s="42" t="str">
        <f>IFERROR(__xludf.DUMMYFUNCTION("""COMPUTED_VALUE"""),"EUR")</f>
        <v>EUR</v>
      </c>
      <c r="AC39" s="42" t="str">
        <f>IFERROR(__xludf.DUMMYFUNCTION("""COMPUTED_VALUE"""),"(IE00BSKRJZ44)")</f>
        <v>(IE00BSKRJZ44)</v>
      </c>
      <c r="AD39" s="42"/>
      <c r="AE39" s="42"/>
      <c r="AF39" s="42"/>
      <c r="AG39" s="42"/>
      <c r="AH39" s="42"/>
      <c r="AI39" s="42"/>
      <c r="AJ39" s="42"/>
    </row>
    <row r="40">
      <c r="A40" s="7" t="s">
        <v>280</v>
      </c>
      <c r="B40" s="7" t="s">
        <v>350</v>
      </c>
      <c r="C40" s="7" t="s">
        <v>280</v>
      </c>
      <c r="D40" s="7" t="s">
        <v>258</v>
      </c>
      <c r="E40" s="7" t="s">
        <v>259</v>
      </c>
      <c r="F40" s="9" t="s">
        <v>351</v>
      </c>
      <c r="G40" s="7"/>
      <c r="H40" s="7" t="s">
        <v>68</v>
      </c>
      <c r="I40" s="7" t="s">
        <v>352</v>
      </c>
      <c r="J40" s="7" t="s">
        <v>68</v>
      </c>
      <c r="K40" s="7" t="s">
        <v>353</v>
      </c>
      <c r="L40" s="26">
        <f t="shared" si="1"/>
        <v>-25</v>
      </c>
      <c r="M40" s="28">
        <f>IFERROR(__xludf.DUMMYFUNCTION("IF(Account!$F40&lt;&gt;"""", VALUE(REGEXREPLACE($I40, ""\,"", ""."")), """")"),1240.5)</f>
        <v>1240.5</v>
      </c>
      <c r="N40" s="31">
        <f>IF(Account!$F40&lt;&gt;"", DATEVALUE(MID($A40,4,3) &amp; LEFT($A40,3) &amp; RIGHT($A40,4)) + TIMEVALUE($B40), "")</f>
        <v>43579.45972</v>
      </c>
      <c r="O40" s="33">
        <f>IF(Account!$F40&lt;&gt;"", DATEVALUE(MID($A40,4,3) &amp; LEFT($A40,3) &amp; RIGHT($A40,4)), "")</f>
        <v>43579</v>
      </c>
      <c r="P40" s="34" t="str">
        <f>IFERROR(VLOOKUP($Q40,Selection!$F:$G,2,false))</f>
        <v>Stocks</v>
      </c>
      <c r="Q40" s="36" t="str">
        <f>IF(AND($X40="change",$H40="EUR"),IF(AND($Z40="Crédit",$N40=$N41),$Q41,IF(AND($Z40="Débit",$N40=$N39),$Q39)),IF(OR(AND(OR($E40&lt;&gt;"",$L40=""),$M40&lt;&gt;0),$A40=""),IFERROR(VLOOKUP($E40,Selection!$E:$F,2,false)),IFERROR(VLOOKUP(SUBSTITUTE($I40,"-","",1),$K41:$Q1119,7,false),VLOOKUP($K40,$K41:$Q1119,7,false))))</f>
        <v>Vanguard S&amp;P 500 UCITS ETF</v>
      </c>
      <c r="R40" s="34" t="str">
        <f t="shared" si="2"/>
        <v>SELL</v>
      </c>
      <c r="S40" s="37">
        <f t="shared" si="3"/>
        <v>-25</v>
      </c>
      <c r="T40" s="38">
        <f t="shared" si="4"/>
        <v>49.62</v>
      </c>
      <c r="U40" s="28">
        <f t="shared" si="5"/>
        <v>1240.5</v>
      </c>
      <c r="V40" s="39" t="str">
        <f>IFERROR(__xludf.DUMMYFUNCTION(" IF(Account!$F40&lt;&gt;"""", SPLIT(Account!$F40, "" ""), """")"),"Vente")</f>
        <v>Vente</v>
      </c>
      <c r="W40" s="42">
        <f>IFERROR(__xludf.DUMMYFUNCTION("""COMPUTED_VALUE"""),25.0)</f>
        <v>25</v>
      </c>
      <c r="X40" s="42" t="str">
        <f>IFERROR(__xludf.DUMMYFUNCTION("""COMPUTED_VALUE"""),"VANGUARD")</f>
        <v>VANGUARD</v>
      </c>
      <c r="Y40" s="42" t="str">
        <f>IFERROR(__xludf.DUMMYFUNCTION("""COMPUTED_VALUE"""),"S&amp;P500@49,62")</f>
        <v>S&amp;P500@49,62</v>
      </c>
      <c r="Z40" s="42" t="str">
        <f>IFERROR(__xludf.DUMMYFUNCTION("""COMPUTED_VALUE"""),"EUR")</f>
        <v>EUR</v>
      </c>
      <c r="AA40" s="42" t="str">
        <f>IFERROR(__xludf.DUMMYFUNCTION("""COMPUTED_VALUE"""),"(IE00B3XXRP09)")</f>
        <v>(IE00B3XXRP09)</v>
      </c>
      <c r="AB40" s="42"/>
      <c r="AC40" s="42"/>
      <c r="AD40" s="42"/>
      <c r="AE40" s="42"/>
      <c r="AF40" s="42"/>
      <c r="AG40" s="42"/>
      <c r="AH40" s="42"/>
      <c r="AI40" s="42"/>
      <c r="AJ40" s="42"/>
    </row>
    <row r="41">
      <c r="A41" s="7" t="s">
        <v>362</v>
      </c>
      <c r="B41" s="7" t="s">
        <v>363</v>
      </c>
      <c r="C41" s="7" t="s">
        <v>362</v>
      </c>
      <c r="D41" s="7" t="s">
        <v>258</v>
      </c>
      <c r="E41" s="7" t="s">
        <v>259</v>
      </c>
      <c r="F41" s="9" t="s">
        <v>364</v>
      </c>
      <c r="G41" s="7"/>
      <c r="H41" s="7" t="s">
        <v>68</v>
      </c>
      <c r="I41" s="7" t="s">
        <v>365</v>
      </c>
      <c r="J41" s="7" t="s">
        <v>68</v>
      </c>
      <c r="K41" s="7" t="s">
        <v>367</v>
      </c>
      <c r="L41" s="26">
        <f t="shared" si="1"/>
        <v>-25</v>
      </c>
      <c r="M41" s="28">
        <f>IFERROR(__xludf.DUMMYFUNCTION("IF(Account!$F41&lt;&gt;"""", VALUE(REGEXREPLACE($I41, ""\,"", ""."")), """")"),1230.12)</f>
        <v>1230.12</v>
      </c>
      <c r="N41" s="31">
        <f>IF(Account!$F41&lt;&gt;"", DATEVALUE(MID($A41,4,3) &amp; LEFT($A41,3) &amp; RIGHT($A41,4)) + TIMEVALUE($B41), "")</f>
        <v>43578.61528</v>
      </c>
      <c r="O41" s="33">
        <f>IF(Account!$F41&lt;&gt;"", DATEVALUE(MID($A41,4,3) &amp; LEFT($A41,3) &amp; RIGHT($A41,4)), "")</f>
        <v>43578</v>
      </c>
      <c r="P41" s="34" t="str">
        <f>IFERROR(VLOOKUP($Q41,Selection!$F:$G,2,false))</f>
        <v>Stocks</v>
      </c>
      <c r="Q41" s="36" t="str">
        <f>IF(AND($X41="change",$H41="EUR"),IF(AND($Z41="Crédit",$N41=$N42),$Q42,IF(AND($Z41="Débit",$N41=$N40),$Q40)),IF(OR(AND(OR($E41&lt;&gt;"",$L41=""),$M41&lt;&gt;0),$A41=""),IFERROR(VLOOKUP($E41,Selection!$E:$F,2,false)),IFERROR(VLOOKUP(SUBSTITUTE($I41,"-","",1),$K42:$Q1119,7,false),VLOOKUP($K41,$K42:$Q1119,7,false))))</f>
        <v>Vanguard S&amp;P 500 UCITS ETF</v>
      </c>
      <c r="R41" s="34" t="str">
        <f t="shared" si="2"/>
        <v>SELL</v>
      </c>
      <c r="S41" s="37">
        <f t="shared" si="3"/>
        <v>-25</v>
      </c>
      <c r="T41" s="38">
        <f t="shared" si="4"/>
        <v>49.2048</v>
      </c>
      <c r="U41" s="28">
        <f t="shared" si="5"/>
        <v>1230.12</v>
      </c>
      <c r="V41" s="39" t="str">
        <f>IFERROR(__xludf.DUMMYFUNCTION(" IF(Account!$F41&lt;&gt;"""", SPLIT(Account!$F41, "" ""), """")"),"Vente")</f>
        <v>Vente</v>
      </c>
      <c r="W41" s="42">
        <f>IFERROR(__xludf.DUMMYFUNCTION("""COMPUTED_VALUE"""),25.0)</f>
        <v>25</v>
      </c>
      <c r="X41" s="42" t="str">
        <f>IFERROR(__xludf.DUMMYFUNCTION("""COMPUTED_VALUE"""),"VANGUARD")</f>
        <v>VANGUARD</v>
      </c>
      <c r="Y41" s="42" t="str">
        <f>IFERROR(__xludf.DUMMYFUNCTION("""COMPUTED_VALUE"""),"S&amp;P500@49,205")</f>
        <v>S&amp;P500@49,205</v>
      </c>
      <c r="Z41" s="42" t="str">
        <f>IFERROR(__xludf.DUMMYFUNCTION("""COMPUTED_VALUE"""),"EUR")</f>
        <v>EUR</v>
      </c>
      <c r="AA41" s="42" t="str">
        <f>IFERROR(__xludf.DUMMYFUNCTION("""COMPUTED_VALUE"""),"(IE00B3XXRP09)")</f>
        <v>(IE00B3XXRP09)</v>
      </c>
      <c r="AB41" s="42"/>
      <c r="AC41" s="42"/>
      <c r="AD41" s="42"/>
      <c r="AE41" s="42"/>
      <c r="AF41" s="42"/>
      <c r="AG41" s="42"/>
      <c r="AH41" s="42"/>
      <c r="AI41" s="42"/>
      <c r="AJ41" s="42"/>
    </row>
    <row r="42">
      <c r="A42" s="7" t="s">
        <v>362</v>
      </c>
      <c r="B42" s="7" t="s">
        <v>370</v>
      </c>
      <c r="C42" s="7" t="s">
        <v>362</v>
      </c>
      <c r="D42" s="7" t="s">
        <v>371</v>
      </c>
      <c r="E42" s="7" t="s">
        <v>372</v>
      </c>
      <c r="F42" s="9" t="s">
        <v>373</v>
      </c>
      <c r="G42" s="7"/>
      <c r="H42" s="7" t="s">
        <v>68</v>
      </c>
      <c r="I42" s="7" t="s">
        <v>374</v>
      </c>
      <c r="J42" s="7" t="s">
        <v>68</v>
      </c>
      <c r="K42" s="7" t="s">
        <v>375</v>
      </c>
      <c r="L42" s="26">
        <f t="shared" si="1"/>
        <v>-150</v>
      </c>
      <c r="M42" s="28">
        <f>IFERROR(__xludf.DUMMYFUNCTION("IF(Account!$F42&lt;&gt;"""", VALUE(REGEXREPLACE($I42, ""\,"", ""."")), """")"),1114.5)</f>
        <v>1114.5</v>
      </c>
      <c r="N42" s="31">
        <f>IF(Account!$F42&lt;&gt;"", DATEVALUE(MID($A42,4,3) &amp; LEFT($A42,3) &amp; RIGHT($A42,4)) + TIMEVALUE($B42), "")</f>
        <v>43578.50625</v>
      </c>
      <c r="O42" s="33">
        <f>IF(Account!$F42&lt;&gt;"", DATEVALUE(MID($A42,4,3) &amp; LEFT($A42,3) &amp; RIGHT($A42,4)), "")</f>
        <v>43578</v>
      </c>
      <c r="P42" s="34" t="str">
        <f>IFERROR(VLOOKUP($Q42,Selection!$F:$G,2,false))</f>
        <v>Commodities</v>
      </c>
      <c r="Q42" s="36" t="str">
        <f>IF(AND($X42="change",$H42="EUR"),IF(AND($Z42="Crédit",$N42=$N43),$Q43,IF(AND($Z42="Débit",$N42=$N41),$Q41)),IF(OR(AND(OR($E42&lt;&gt;"",$L42=""),$M42&lt;&gt;0),$A42=""),IFERROR(VLOOKUP($E42,Selection!$E:$F,2,false)),IFERROR(VLOOKUP(SUBSTITUTE($I42,"-","",1),$K43:$Q1119,7,false),VLOOKUP($K42,$K43:$Q1119,7,false))))</f>
        <v>ETFS All Commodities</v>
      </c>
      <c r="R42" s="34" t="str">
        <f t="shared" si="2"/>
        <v>SELL</v>
      </c>
      <c r="S42" s="37">
        <f t="shared" si="3"/>
        <v>-150</v>
      </c>
      <c r="T42" s="38">
        <f t="shared" si="4"/>
        <v>7.43</v>
      </c>
      <c r="U42" s="28">
        <f t="shared" si="5"/>
        <v>1114.5</v>
      </c>
      <c r="V42" s="39" t="str">
        <f>IFERROR(__xludf.DUMMYFUNCTION(" IF(Account!$F42&lt;&gt;"""", SPLIT(Account!$F42, "" ""), """")"),"Vente")</f>
        <v>Vente</v>
      </c>
      <c r="W42" s="42">
        <f>IFERROR(__xludf.DUMMYFUNCTION("""COMPUTED_VALUE"""),150.0)</f>
        <v>150</v>
      </c>
      <c r="X42" s="42" t="str">
        <f>IFERROR(__xludf.DUMMYFUNCTION("""COMPUTED_VALUE"""),"ETFS")</f>
        <v>ETFS</v>
      </c>
      <c r="Y42" s="42" t="str">
        <f>IFERROR(__xludf.DUMMYFUNCTION("""COMPUTED_VALUE"""),"ALL")</f>
        <v>ALL</v>
      </c>
      <c r="Z42" s="42" t="str">
        <f>IFERROR(__xludf.DUMMYFUNCTION("""COMPUTED_VALUE"""),"COMMODIT.@7,43")</f>
        <v>COMMODIT.@7,43</v>
      </c>
      <c r="AA42" s="42" t="str">
        <f>IFERROR(__xludf.DUMMYFUNCTION("""COMPUTED_VALUE"""),"EUR")</f>
        <v>EUR</v>
      </c>
      <c r="AB42" s="42" t="str">
        <f>IFERROR(__xludf.DUMMYFUNCTION("""COMPUTED_VALUE"""),"(GB00B15KY989)")</f>
        <v>(GB00B15KY989)</v>
      </c>
      <c r="AC42" s="42"/>
      <c r="AD42" s="42"/>
      <c r="AE42" s="42"/>
      <c r="AF42" s="42"/>
      <c r="AG42" s="42"/>
      <c r="AH42" s="42"/>
      <c r="AI42" s="42"/>
      <c r="AJ42" s="42"/>
    </row>
    <row r="43">
      <c r="A43" s="7" t="s">
        <v>377</v>
      </c>
      <c r="B43" s="7" t="s">
        <v>378</v>
      </c>
      <c r="C43" s="7" t="s">
        <v>377</v>
      </c>
      <c r="D43" s="7" t="s">
        <v>258</v>
      </c>
      <c r="E43" s="7" t="s">
        <v>259</v>
      </c>
      <c r="F43" s="9" t="s">
        <v>379</v>
      </c>
      <c r="G43" s="7"/>
      <c r="H43" s="7" t="s">
        <v>68</v>
      </c>
      <c r="I43" s="7" t="s">
        <v>380</v>
      </c>
      <c r="J43" s="7" t="s">
        <v>68</v>
      </c>
      <c r="K43" s="7" t="s">
        <v>381</v>
      </c>
      <c r="L43" s="26">
        <f t="shared" si="1"/>
        <v>-25</v>
      </c>
      <c r="M43" s="28">
        <f>IFERROR(__xludf.DUMMYFUNCTION("IF(Account!$F43&lt;&gt;"""", VALUE(REGEXREPLACE($I43, ""\,"", ""."")), """")"),1225.75)</f>
        <v>1225.75</v>
      </c>
      <c r="N43" s="31">
        <f>IF(Account!$F43&lt;&gt;"", DATEVALUE(MID($A43,4,3) &amp; LEFT($A43,3) &amp; RIGHT($A43,4)) + TIMEVALUE($B43), "")</f>
        <v>43573.6375</v>
      </c>
      <c r="O43" s="33">
        <f>IF(Account!$F43&lt;&gt;"", DATEVALUE(MID($A43,4,3) &amp; LEFT($A43,3) &amp; RIGHT($A43,4)), "")</f>
        <v>43573</v>
      </c>
      <c r="P43" s="34" t="str">
        <f>IFERROR(VLOOKUP($Q43,Selection!$F:$G,2,false))</f>
        <v>Stocks</v>
      </c>
      <c r="Q43" s="36" t="str">
        <f>IF(AND($X43="change",$H43="EUR"),IF(AND($Z43="Crédit",$N43=$N44),$Q44,IF(AND($Z43="Débit",$N43=$N42),$Q42)),IF(OR(AND(OR($E43&lt;&gt;"",$L43=""),$M43&lt;&gt;0),$A43=""),IFERROR(VLOOKUP($E43,Selection!$E:$F,2,false)),IFERROR(VLOOKUP(SUBSTITUTE($I43,"-","",1),$K44:$Q1119,7,false),VLOOKUP($K43,$K44:$Q1119,7,false))))</f>
        <v>Vanguard S&amp;P 500 UCITS ETF</v>
      </c>
      <c r="R43" s="34" t="str">
        <f t="shared" si="2"/>
        <v>SELL</v>
      </c>
      <c r="S43" s="37">
        <f t="shared" si="3"/>
        <v>-25</v>
      </c>
      <c r="T43" s="38">
        <f t="shared" si="4"/>
        <v>49.03</v>
      </c>
      <c r="U43" s="28">
        <f t="shared" si="5"/>
        <v>1225.75</v>
      </c>
      <c r="V43" s="39" t="str">
        <f>IFERROR(__xludf.DUMMYFUNCTION(" IF(Account!$F43&lt;&gt;"""", SPLIT(Account!$F43, "" ""), """")"),"Vente")</f>
        <v>Vente</v>
      </c>
      <c r="W43" s="42">
        <f>IFERROR(__xludf.DUMMYFUNCTION("""COMPUTED_VALUE"""),25.0)</f>
        <v>25</v>
      </c>
      <c r="X43" s="42" t="str">
        <f>IFERROR(__xludf.DUMMYFUNCTION("""COMPUTED_VALUE"""),"VANGUARD")</f>
        <v>VANGUARD</v>
      </c>
      <c r="Y43" s="42" t="str">
        <f>IFERROR(__xludf.DUMMYFUNCTION("""COMPUTED_VALUE"""),"S&amp;P500@49,03")</f>
        <v>S&amp;P500@49,03</v>
      </c>
      <c r="Z43" s="42" t="str">
        <f>IFERROR(__xludf.DUMMYFUNCTION("""COMPUTED_VALUE"""),"EUR")</f>
        <v>EUR</v>
      </c>
      <c r="AA43" s="42" t="str">
        <f>IFERROR(__xludf.DUMMYFUNCTION("""COMPUTED_VALUE"""),"(IE00B3XXRP09)")</f>
        <v>(IE00B3XXRP09)</v>
      </c>
      <c r="AB43" s="42"/>
      <c r="AC43" s="42"/>
      <c r="AD43" s="42"/>
      <c r="AE43" s="42"/>
      <c r="AF43" s="42"/>
      <c r="AG43" s="42"/>
      <c r="AH43" s="42"/>
      <c r="AI43" s="42"/>
      <c r="AJ43" s="42"/>
    </row>
    <row r="44">
      <c r="A44" s="7" t="s">
        <v>377</v>
      </c>
      <c r="B44" s="7" t="s">
        <v>384</v>
      </c>
      <c r="C44" s="7" t="s">
        <v>377</v>
      </c>
      <c r="D44" s="7" t="s">
        <v>73</v>
      </c>
      <c r="E44" s="7" t="s">
        <v>74</v>
      </c>
      <c r="F44" s="9" t="s">
        <v>75</v>
      </c>
      <c r="G44" s="7"/>
      <c r="H44" s="7" t="s">
        <v>68</v>
      </c>
      <c r="I44" s="7" t="s">
        <v>76</v>
      </c>
      <c r="J44" s="7" t="s">
        <v>68</v>
      </c>
      <c r="K44" s="7" t="s">
        <v>385</v>
      </c>
      <c r="L44" s="26" t="str">
        <f t="shared" si="1"/>
        <v/>
      </c>
      <c r="M44" s="28">
        <f>IFERROR(__xludf.DUMMYFUNCTION("IF(Account!$F44&lt;&gt;"""", VALUE(REGEXREPLACE($I44, ""\,"", ""."")), """")"),-2.0)</f>
        <v>-2</v>
      </c>
      <c r="N44" s="31">
        <f>IF(Account!$F44&lt;&gt;"", DATEVALUE(MID($A44,4,3) &amp; LEFT($A44,3) &amp; RIGHT($A44,4)) + TIMEVALUE($B44), "")</f>
        <v>43573.41667</v>
      </c>
      <c r="O44" s="33">
        <f>IF(Account!$F44&lt;&gt;"", DATEVALUE(MID($A44,4,3) &amp; LEFT($A44,3) &amp; RIGHT($A44,4)), "")</f>
        <v>43573</v>
      </c>
      <c r="P44" s="34" t="str">
        <f>IFERROR(VLOOKUP($Q44,Selection!$F:$G,2,false))</f>
        <v>Long term US bonds (20-25 year)</v>
      </c>
      <c r="Q44" s="36" t="str">
        <f>IF(AND($X44="change",$H44="EUR"),IF(AND($Z44="Crédit",$N44=$N45),$Q45,IF(AND($Z44="Débit",$N44=$N43),$Q43)),IF(OR(AND(OR($E44&lt;&gt;"",$L44=""),$M44&lt;&gt;0),$A44=""),IFERROR(VLOOKUP($E44,Selection!$E:$F,2,false)),IFERROR(VLOOKUP(SUBSTITUTE($I44,"-","",1),$K45:$Q1119,7,false),VLOOKUP($K44,$K45:$Q1119,7,false))))</f>
        <v>iShares USD Treasury Bond 20+yr UCITS ETF</v>
      </c>
      <c r="R44" s="34" t="str">
        <f t="shared" si="2"/>
        <v>COST</v>
      </c>
      <c r="S44" s="37" t="str">
        <f t="shared" si="3"/>
        <v/>
      </c>
      <c r="T44" s="38" t="str">
        <f t="shared" si="4"/>
        <v/>
      </c>
      <c r="U44" s="28">
        <f t="shared" si="5"/>
        <v>-2.72</v>
      </c>
      <c r="V44" s="39" t="str">
        <f>IFERROR(__xludf.DUMMYFUNCTION(" IF(Account!$F44&lt;&gt;"""", SPLIT(Account!$F44, "" ""), """")"),"Frais")</f>
        <v>Frais</v>
      </c>
      <c r="W44" s="42" t="str">
        <f>IFERROR(__xludf.DUMMYFUNCTION("""COMPUTED_VALUE"""),"de")</f>
        <v>de</v>
      </c>
      <c r="X44" s="42" t="str">
        <f>IFERROR(__xludf.DUMMYFUNCTION("""COMPUTED_VALUE"""),"courtage")</f>
        <v>courtage</v>
      </c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</row>
    <row r="45">
      <c r="A45" s="7" t="s">
        <v>377</v>
      </c>
      <c r="B45" s="7" t="s">
        <v>384</v>
      </c>
      <c r="C45" s="7" t="s">
        <v>377</v>
      </c>
      <c r="D45" s="7" t="s">
        <v>73</v>
      </c>
      <c r="E45" s="7" t="s">
        <v>74</v>
      </c>
      <c r="F45" s="9" t="s">
        <v>75</v>
      </c>
      <c r="G45" s="7"/>
      <c r="H45" s="7" t="s">
        <v>68</v>
      </c>
      <c r="I45" s="7" t="s">
        <v>388</v>
      </c>
      <c r="J45" s="7" t="s">
        <v>68</v>
      </c>
      <c r="K45" s="7" t="s">
        <v>389</v>
      </c>
      <c r="L45" s="26" t="str">
        <f t="shared" si="1"/>
        <v/>
      </c>
      <c r="M45" s="28">
        <f>IFERROR(__xludf.DUMMYFUNCTION("IF(Account!$F45&lt;&gt;"""", VALUE(REGEXREPLACE($I45, ""\,"", ""."")), """")"),-0.72)</f>
        <v>-0.72</v>
      </c>
      <c r="N45" s="31">
        <f>IF(Account!$F45&lt;&gt;"", DATEVALUE(MID($A45,4,3) &amp; LEFT($A45,3) &amp; RIGHT($A45,4)) + TIMEVALUE($B45), "")</f>
        <v>43573.41667</v>
      </c>
      <c r="O45" s="33">
        <f>IF(Account!$F45&lt;&gt;"", DATEVALUE(MID($A45,4,3) &amp; LEFT($A45,3) &amp; RIGHT($A45,4)), "")</f>
        <v>43573</v>
      </c>
      <c r="P45" s="34" t="str">
        <f>IFERROR(VLOOKUP($Q45,Selection!$F:$G,2,false))</f>
        <v>Long term US bonds (20-25 year)</v>
      </c>
      <c r="Q45" s="36" t="str">
        <f>IF(AND($X45="change",$H45="EUR"),IF(AND($Z45="Crédit",$N45=$N46),$Q46,IF(AND($Z45="Débit",$N45=$N44),$Q44)),IF(OR(AND(OR($E45&lt;&gt;"",$L45=""),$M45&lt;&gt;0),$A45=""),IFERROR(VLOOKUP($E45,Selection!$E:$F,2,false)),IFERROR(VLOOKUP(SUBSTITUTE($I45,"-","",1),$K46:$Q1119,7,false),VLOOKUP($K45,$K46:$Q1119,7,false))))</f>
        <v>iShares USD Treasury Bond 20+yr UCITS ETF</v>
      </c>
      <c r="R45" s="34" t="str">
        <f t="shared" si="2"/>
        <v>COST</v>
      </c>
      <c r="S45" s="37" t="str">
        <f t="shared" si="3"/>
        <v/>
      </c>
      <c r="T45" s="38" t="str">
        <f t="shared" si="4"/>
        <v/>
      </c>
      <c r="U45" s="28">
        <f t="shared" si="5"/>
        <v>-2.72</v>
      </c>
      <c r="V45" s="39" t="str">
        <f>IFERROR(__xludf.DUMMYFUNCTION(" IF(Account!$F45&lt;&gt;"""", SPLIT(Account!$F45, "" ""), """")"),"Frais")</f>
        <v>Frais</v>
      </c>
      <c r="W45" s="42" t="str">
        <f>IFERROR(__xludf.DUMMYFUNCTION("""COMPUTED_VALUE"""),"de")</f>
        <v>de</v>
      </c>
      <c r="X45" s="42" t="str">
        <f>IFERROR(__xludf.DUMMYFUNCTION("""COMPUTED_VALUE"""),"courtage")</f>
        <v>courtage</v>
      </c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>
      <c r="A46" s="7" t="s">
        <v>377</v>
      </c>
      <c r="B46" s="7" t="s">
        <v>384</v>
      </c>
      <c r="C46" s="7" t="s">
        <v>377</v>
      </c>
      <c r="D46" s="7" t="s">
        <v>73</v>
      </c>
      <c r="E46" s="7" t="s">
        <v>74</v>
      </c>
      <c r="F46" s="9" t="s">
        <v>392</v>
      </c>
      <c r="G46" s="7"/>
      <c r="H46" s="7" t="s">
        <v>68</v>
      </c>
      <c r="I46" s="7" t="s">
        <v>393</v>
      </c>
      <c r="J46" s="7" t="s">
        <v>68</v>
      </c>
      <c r="K46" s="7" t="s">
        <v>394</v>
      </c>
      <c r="L46" s="26">
        <f t="shared" si="1"/>
        <v>-879</v>
      </c>
      <c r="M46" s="28">
        <f>IFERROR(__xludf.DUMMYFUNCTION("IF(Account!$F46&lt;&gt;"""", VALUE(REGEXREPLACE($I46, ""\,"", ""."")), """")"),3603.2)</f>
        <v>3603.2</v>
      </c>
      <c r="N46" s="31">
        <f>IF(Account!$F46&lt;&gt;"", DATEVALUE(MID($A46,4,3) &amp; LEFT($A46,3) &amp; RIGHT($A46,4)) + TIMEVALUE($B46), "")</f>
        <v>43573.41667</v>
      </c>
      <c r="O46" s="33">
        <f>IF(Account!$F46&lt;&gt;"", DATEVALUE(MID($A46,4,3) &amp; LEFT($A46,3) &amp; RIGHT($A46,4)), "")</f>
        <v>43573</v>
      </c>
      <c r="P46" s="34" t="str">
        <f>IFERROR(VLOOKUP($Q46,Selection!$F:$G,2,false))</f>
        <v>Long term US bonds (20-25 year)</v>
      </c>
      <c r="Q46" s="36" t="str">
        <f>IF(AND($X46="change",$H46="EUR"),IF(AND($Z46="Crédit",$N46=$N47),$Q47,IF(AND($Z46="Débit",$N46=$N45),$Q45)),IF(OR(AND(OR($E46&lt;&gt;"",$L46=""),$M46&lt;&gt;0),$A46=""),IFERROR(VLOOKUP($E46,Selection!$E:$F,2,false)),IFERROR(VLOOKUP(SUBSTITUTE($I46,"-","",1),$K47:$Q1119,7,false),VLOOKUP($K46,$K47:$Q1119,7,false))))</f>
        <v>iShares USD Treasury Bond 20+yr UCITS ETF</v>
      </c>
      <c r="R46" s="34" t="str">
        <f t="shared" si="2"/>
        <v>SELL</v>
      </c>
      <c r="S46" s="37">
        <f t="shared" si="3"/>
        <v>-879</v>
      </c>
      <c r="T46" s="38">
        <f t="shared" si="4"/>
        <v>4.099203641</v>
      </c>
      <c r="U46" s="28">
        <f t="shared" si="5"/>
        <v>3603.2</v>
      </c>
      <c r="V46" s="39" t="str">
        <f>IFERROR(__xludf.DUMMYFUNCTION(" IF(Account!$F46&lt;&gt;"""", SPLIT(Account!$F46, "" ""), """")"),"Vente")</f>
        <v>Vente</v>
      </c>
      <c r="W46" s="42">
        <f>IFERROR(__xludf.DUMMYFUNCTION("""COMPUTED_VALUE"""),879.0)</f>
        <v>879</v>
      </c>
      <c r="X46" s="42" t="str">
        <f>IFERROR(__xludf.DUMMYFUNCTION("""COMPUTED_VALUE"""),"ISHSIV-DL")</f>
        <v>ISHSIV-DL</v>
      </c>
      <c r="Y46" s="42" t="str">
        <f>IFERROR(__xludf.DUMMYFUNCTION("""COMPUTED_VALUE"""),"T.BD20+YR")</f>
        <v>T.BD20+YR</v>
      </c>
      <c r="Z46" s="42" t="str">
        <f>IFERROR(__xludf.DUMMYFUNCTION("""COMPUTED_VALUE"""),"DL")</f>
        <v>DL</v>
      </c>
      <c r="AA46" s="42" t="str">
        <f>IFERROR(__xludf.DUMMYFUNCTION("""COMPUTED_VALUE"""),"D@4,0992")</f>
        <v>D@4,0992</v>
      </c>
      <c r="AB46" s="42" t="str">
        <f>IFERROR(__xludf.DUMMYFUNCTION("""COMPUTED_VALUE"""),"EUR")</f>
        <v>EUR</v>
      </c>
      <c r="AC46" s="42" t="str">
        <f>IFERROR(__xludf.DUMMYFUNCTION("""COMPUTED_VALUE"""),"(IE00BSKRJZ44)")</f>
        <v>(IE00BSKRJZ44)</v>
      </c>
      <c r="AD46" s="42"/>
      <c r="AE46" s="42"/>
      <c r="AF46" s="42"/>
      <c r="AG46" s="42"/>
      <c r="AH46" s="42"/>
      <c r="AI46" s="42"/>
      <c r="AJ46" s="42"/>
    </row>
    <row r="47">
      <c r="A47" s="7" t="s">
        <v>409</v>
      </c>
      <c r="B47" s="7" t="s">
        <v>410</v>
      </c>
      <c r="C47" s="7" t="s">
        <v>409</v>
      </c>
      <c r="D47" s="7" t="s">
        <v>258</v>
      </c>
      <c r="E47" s="7" t="s">
        <v>259</v>
      </c>
      <c r="F47" s="9" t="s">
        <v>411</v>
      </c>
      <c r="G47" s="7"/>
      <c r="H47" s="7" t="s">
        <v>68</v>
      </c>
      <c r="I47" s="7" t="s">
        <v>412</v>
      </c>
      <c r="J47" s="7" t="s">
        <v>68</v>
      </c>
      <c r="K47" s="7" t="s">
        <v>413</v>
      </c>
      <c r="L47" s="26">
        <f t="shared" si="1"/>
        <v>-25</v>
      </c>
      <c r="M47" s="28">
        <f>IFERROR(__xludf.DUMMYFUNCTION("IF(Account!$F47&lt;&gt;"""", VALUE(REGEXREPLACE($I47, ""\,"", ""."")), """")"),1224.75)</f>
        <v>1224.75</v>
      </c>
      <c r="N47" s="31">
        <f>IF(Account!$F47&lt;&gt;"", DATEVALUE(MID($A47,4,3) &amp; LEFT($A47,3) &amp; RIGHT($A47,4)) + TIMEVALUE($B47), "")</f>
        <v>43571.47708</v>
      </c>
      <c r="O47" s="33">
        <f>IF(Account!$F47&lt;&gt;"", DATEVALUE(MID($A47,4,3) &amp; LEFT($A47,3) &amp; RIGHT($A47,4)), "")</f>
        <v>43571</v>
      </c>
      <c r="P47" s="34" t="str">
        <f>IFERROR(VLOOKUP($Q47,Selection!$F:$G,2,false))</f>
        <v>Stocks</v>
      </c>
      <c r="Q47" s="36" t="str">
        <f>IF(AND($X47="change",$H47="EUR"),IF(AND($Z47="Crédit",$N47=$N48),$Q48,IF(AND($Z47="Débit",$N47=$N46),$Q46)),IF(OR(AND(OR($E47&lt;&gt;"",$L47=""),$M47&lt;&gt;0),$A47=""),IFERROR(VLOOKUP($E47,Selection!$E:$F,2,false)),IFERROR(VLOOKUP(SUBSTITUTE($I47,"-","",1),$K48:$Q1119,7,false),VLOOKUP($K47,$K48:$Q1119,7,false))))</f>
        <v>Vanguard S&amp;P 500 UCITS ETF</v>
      </c>
      <c r="R47" s="34" t="str">
        <f t="shared" si="2"/>
        <v>SELL</v>
      </c>
      <c r="S47" s="37">
        <f t="shared" si="3"/>
        <v>-25</v>
      </c>
      <c r="T47" s="38">
        <f t="shared" si="4"/>
        <v>48.99</v>
      </c>
      <c r="U47" s="28">
        <f t="shared" si="5"/>
        <v>1224.75</v>
      </c>
      <c r="V47" s="39" t="str">
        <f>IFERROR(__xludf.DUMMYFUNCTION(" IF(Account!$F47&lt;&gt;"""", SPLIT(Account!$F47, "" ""), """")"),"Vente")</f>
        <v>Vente</v>
      </c>
      <c r="W47" s="42">
        <f>IFERROR(__xludf.DUMMYFUNCTION("""COMPUTED_VALUE"""),25.0)</f>
        <v>25</v>
      </c>
      <c r="X47" s="42" t="str">
        <f>IFERROR(__xludf.DUMMYFUNCTION("""COMPUTED_VALUE"""),"VANGUARD")</f>
        <v>VANGUARD</v>
      </c>
      <c r="Y47" s="42" t="str">
        <f>IFERROR(__xludf.DUMMYFUNCTION("""COMPUTED_VALUE"""),"S&amp;P500@48,99")</f>
        <v>S&amp;P500@48,99</v>
      </c>
      <c r="Z47" s="42" t="str">
        <f>IFERROR(__xludf.DUMMYFUNCTION("""COMPUTED_VALUE"""),"EUR")</f>
        <v>EUR</v>
      </c>
      <c r="AA47" s="42" t="str">
        <f>IFERROR(__xludf.DUMMYFUNCTION("""COMPUTED_VALUE"""),"(IE00B3XXRP09)")</f>
        <v>(IE00B3XXRP09)</v>
      </c>
      <c r="AB47" s="42"/>
      <c r="AC47" s="42"/>
      <c r="AD47" s="42"/>
      <c r="AE47" s="42"/>
      <c r="AF47" s="42"/>
      <c r="AG47" s="42"/>
      <c r="AH47" s="42"/>
      <c r="AI47" s="42"/>
      <c r="AJ47" s="42"/>
    </row>
    <row r="48">
      <c r="A48" s="7" t="s">
        <v>416</v>
      </c>
      <c r="B48" s="7" t="s">
        <v>417</v>
      </c>
      <c r="C48" s="7" t="s">
        <v>416</v>
      </c>
      <c r="D48" s="7" t="s">
        <v>258</v>
      </c>
      <c r="E48" s="7" t="s">
        <v>259</v>
      </c>
      <c r="F48" s="9" t="s">
        <v>418</v>
      </c>
      <c r="G48" s="7"/>
      <c r="H48" s="7" t="s">
        <v>68</v>
      </c>
      <c r="I48" s="7" t="s">
        <v>419</v>
      </c>
      <c r="J48" s="7" t="s">
        <v>68</v>
      </c>
      <c r="K48" s="7" t="s">
        <v>420</v>
      </c>
      <c r="L48" s="26">
        <f t="shared" si="1"/>
        <v>-25</v>
      </c>
      <c r="M48" s="28">
        <f>IFERROR(__xludf.DUMMYFUNCTION("IF(Account!$F48&lt;&gt;"""", VALUE(REGEXREPLACE($I48, ""\,"", ""."")), """")"),1219.88)</f>
        <v>1219.88</v>
      </c>
      <c r="N48" s="31">
        <f>IF(Account!$F48&lt;&gt;"", DATEVALUE(MID($A48,4,3) &amp; LEFT($A48,3) &amp; RIGHT($A48,4)) + TIMEVALUE($B48), "")</f>
        <v>43570.55903</v>
      </c>
      <c r="O48" s="33">
        <f>IF(Account!$F48&lt;&gt;"", DATEVALUE(MID($A48,4,3) &amp; LEFT($A48,3) &amp; RIGHT($A48,4)), "")</f>
        <v>43570</v>
      </c>
      <c r="P48" s="34" t="str">
        <f>IFERROR(VLOOKUP($Q48,Selection!$F:$G,2,false))</f>
        <v>Stocks</v>
      </c>
      <c r="Q48" s="36" t="str">
        <f>IF(AND($X48="change",$H48="EUR"),IF(AND($Z48="Crédit",$N48=$N49),$Q49,IF(AND($Z48="Débit",$N48=$N47),$Q47)),IF(OR(AND(OR($E48&lt;&gt;"",$L48=""),$M48&lt;&gt;0),$A48=""),IFERROR(VLOOKUP($E48,Selection!$E:$F,2,false)),IFERROR(VLOOKUP(SUBSTITUTE($I48,"-","",1),$K49:$Q1119,7,false),VLOOKUP($K48,$K49:$Q1119,7,false))))</f>
        <v>Vanguard S&amp;P 500 UCITS ETF</v>
      </c>
      <c r="R48" s="34" t="str">
        <f t="shared" si="2"/>
        <v>SELL</v>
      </c>
      <c r="S48" s="37">
        <f t="shared" si="3"/>
        <v>-25</v>
      </c>
      <c r="T48" s="38">
        <f t="shared" si="4"/>
        <v>48.7952</v>
      </c>
      <c r="U48" s="28">
        <f t="shared" si="5"/>
        <v>1219.88</v>
      </c>
      <c r="V48" s="39" t="str">
        <f>IFERROR(__xludf.DUMMYFUNCTION(" IF(Account!$F48&lt;&gt;"""", SPLIT(Account!$F48, "" ""), """")"),"Vente")</f>
        <v>Vente</v>
      </c>
      <c r="W48" s="42">
        <f>IFERROR(__xludf.DUMMYFUNCTION("""COMPUTED_VALUE"""),25.0)</f>
        <v>25</v>
      </c>
      <c r="X48" s="42" t="str">
        <f>IFERROR(__xludf.DUMMYFUNCTION("""COMPUTED_VALUE"""),"VANGUARD")</f>
        <v>VANGUARD</v>
      </c>
      <c r="Y48" s="42" t="str">
        <f>IFERROR(__xludf.DUMMYFUNCTION("""COMPUTED_VALUE"""),"S&amp;P500@48,795")</f>
        <v>S&amp;P500@48,795</v>
      </c>
      <c r="Z48" s="42" t="str">
        <f>IFERROR(__xludf.DUMMYFUNCTION("""COMPUTED_VALUE"""),"EUR")</f>
        <v>EUR</v>
      </c>
      <c r="AA48" s="42" t="str">
        <f>IFERROR(__xludf.DUMMYFUNCTION("""COMPUTED_VALUE"""),"(IE00B3XXRP09)")</f>
        <v>(IE00B3XXRP09)</v>
      </c>
      <c r="AB48" s="42"/>
      <c r="AC48" s="42"/>
      <c r="AD48" s="42"/>
      <c r="AE48" s="42"/>
      <c r="AF48" s="42"/>
      <c r="AG48" s="42"/>
      <c r="AH48" s="42"/>
      <c r="AI48" s="42"/>
      <c r="AJ48" s="42"/>
    </row>
    <row r="49">
      <c r="A49" s="7" t="s">
        <v>422</v>
      </c>
      <c r="B49" s="7" t="s">
        <v>423</v>
      </c>
      <c r="C49" s="7" t="s">
        <v>422</v>
      </c>
      <c r="D49" s="7" t="s">
        <v>258</v>
      </c>
      <c r="E49" s="7" t="s">
        <v>259</v>
      </c>
      <c r="F49" s="9" t="s">
        <v>424</v>
      </c>
      <c r="G49" s="7"/>
      <c r="H49" s="7" t="s">
        <v>68</v>
      </c>
      <c r="I49" s="7" t="s">
        <v>425</v>
      </c>
      <c r="J49" s="7" t="s">
        <v>68</v>
      </c>
      <c r="K49" s="7" t="s">
        <v>426</v>
      </c>
      <c r="L49" s="26">
        <f t="shared" si="1"/>
        <v>-26</v>
      </c>
      <c r="M49" s="28">
        <f>IFERROR(__xludf.DUMMYFUNCTION("IF(Account!$F49&lt;&gt;"""", VALUE(REGEXREPLACE($I49, ""\,"", ""."")), """")"),1265.94)</f>
        <v>1265.94</v>
      </c>
      <c r="N49" s="31">
        <f>IF(Account!$F49&lt;&gt;"", DATEVALUE(MID($A49,4,3) &amp; LEFT($A49,3) &amp; RIGHT($A49,4)) + TIMEVALUE($B49), "")</f>
        <v>43567.53333</v>
      </c>
      <c r="O49" s="33">
        <f>IF(Account!$F49&lt;&gt;"", DATEVALUE(MID($A49,4,3) &amp; LEFT($A49,3) &amp; RIGHT($A49,4)), "")</f>
        <v>43567</v>
      </c>
      <c r="P49" s="34" t="str">
        <f>IFERROR(VLOOKUP($Q49,Selection!$F:$G,2,false))</f>
        <v>Stocks</v>
      </c>
      <c r="Q49" s="36" t="str">
        <f>IF(AND($X49="change",$H49="EUR"),IF(AND($Z49="Crédit",$N49=$N50),$Q50,IF(AND($Z49="Débit",$N49=$N48),$Q48)),IF(OR(AND(OR($E49&lt;&gt;"",$L49=""),$M49&lt;&gt;0),$A49=""),IFERROR(VLOOKUP($E49,Selection!$E:$F,2,false)),IFERROR(VLOOKUP(SUBSTITUTE($I49,"-","",1),$K50:$Q1119,7,false),VLOOKUP($K49,$K50:$Q1119,7,false))))</f>
        <v>Vanguard S&amp;P 500 UCITS ETF</v>
      </c>
      <c r="R49" s="34" t="str">
        <f t="shared" si="2"/>
        <v>SELL</v>
      </c>
      <c r="S49" s="37">
        <f t="shared" si="3"/>
        <v>-26</v>
      </c>
      <c r="T49" s="38">
        <f t="shared" si="4"/>
        <v>48.69</v>
      </c>
      <c r="U49" s="28">
        <f t="shared" si="5"/>
        <v>1265.94</v>
      </c>
      <c r="V49" s="39" t="str">
        <f>IFERROR(__xludf.DUMMYFUNCTION(" IF(Account!$F49&lt;&gt;"""", SPLIT(Account!$F49, "" ""), """")"),"Vente")</f>
        <v>Vente</v>
      </c>
      <c r="W49" s="42">
        <f>IFERROR(__xludf.DUMMYFUNCTION("""COMPUTED_VALUE"""),26.0)</f>
        <v>26</v>
      </c>
      <c r="X49" s="42" t="str">
        <f>IFERROR(__xludf.DUMMYFUNCTION("""COMPUTED_VALUE"""),"VANGUARD")</f>
        <v>VANGUARD</v>
      </c>
      <c r="Y49" s="42" t="str">
        <f>IFERROR(__xludf.DUMMYFUNCTION("""COMPUTED_VALUE"""),"S&amp;P500@48,69")</f>
        <v>S&amp;P500@48,69</v>
      </c>
      <c r="Z49" s="42" t="str">
        <f>IFERROR(__xludf.DUMMYFUNCTION("""COMPUTED_VALUE"""),"EUR")</f>
        <v>EUR</v>
      </c>
      <c r="AA49" s="42" t="str">
        <f>IFERROR(__xludf.DUMMYFUNCTION("""COMPUTED_VALUE"""),"(IE00B3XXRP09)")</f>
        <v>(IE00B3XXRP09)</v>
      </c>
      <c r="AB49" s="42"/>
      <c r="AC49" s="42"/>
      <c r="AD49" s="42"/>
      <c r="AE49" s="42"/>
      <c r="AF49" s="42"/>
      <c r="AG49" s="42"/>
      <c r="AH49" s="42"/>
      <c r="AI49" s="42"/>
      <c r="AJ49" s="42"/>
    </row>
    <row r="50">
      <c r="A50" s="7" t="s">
        <v>422</v>
      </c>
      <c r="B50" s="7" t="s">
        <v>428</v>
      </c>
      <c r="C50" s="7" t="s">
        <v>422</v>
      </c>
      <c r="D50" s="7" t="s">
        <v>73</v>
      </c>
      <c r="E50" s="7" t="s">
        <v>74</v>
      </c>
      <c r="F50" s="9" t="s">
        <v>75</v>
      </c>
      <c r="G50" s="7"/>
      <c r="H50" s="7" t="s">
        <v>68</v>
      </c>
      <c r="I50" s="7" t="s">
        <v>429</v>
      </c>
      <c r="J50" s="7" t="s">
        <v>68</v>
      </c>
      <c r="K50" s="7" t="s">
        <v>430</v>
      </c>
      <c r="L50" s="26" t="str">
        <f t="shared" si="1"/>
        <v/>
      </c>
      <c r="M50" s="28">
        <f>IFERROR(__xludf.DUMMYFUNCTION("IF(Account!$F50&lt;&gt;"""", VALUE(REGEXREPLACE($I50, ""\,"", ""."")), """")"),-7.26)</f>
        <v>-7.26</v>
      </c>
      <c r="N50" s="31">
        <f>IF(Account!$F50&lt;&gt;"", DATEVALUE(MID($A50,4,3) &amp; LEFT($A50,3) &amp; RIGHT($A50,4)) + TIMEVALUE($B50), "")</f>
        <v>43567.49792</v>
      </c>
      <c r="O50" s="33">
        <f>IF(Account!$F50&lt;&gt;"", DATEVALUE(MID($A50,4,3) &amp; LEFT($A50,3) &amp; RIGHT($A50,4)), "")</f>
        <v>43567</v>
      </c>
      <c r="P50" s="34" t="str">
        <f>IFERROR(VLOOKUP($Q50,Selection!$F:$G,2,false))</f>
        <v>Long term US bonds (20-25 year)</v>
      </c>
      <c r="Q50" s="36" t="str">
        <f>IF(AND($X50="change",$H50="EUR"),IF(AND($Z50="Crédit",$N50=$N51),$Q51,IF(AND($Z50="Débit",$N50=$N49),$Q49)),IF(OR(AND(OR($E50&lt;&gt;"",$L50=""),$M50&lt;&gt;0),$A50=""),IFERROR(VLOOKUP($E50,Selection!$E:$F,2,false)),IFERROR(VLOOKUP(SUBSTITUTE($I50,"-","",1),$K51:$Q1119,7,false),VLOOKUP($K50,$K51:$Q1119,7,false))))</f>
        <v>iShares USD Treasury Bond 20+yr UCITS ETF</v>
      </c>
      <c r="R50" s="34" t="str">
        <f t="shared" si="2"/>
        <v>COST</v>
      </c>
      <c r="S50" s="37" t="str">
        <f t="shared" si="3"/>
        <v/>
      </c>
      <c r="T50" s="38" t="str">
        <f t="shared" si="4"/>
        <v/>
      </c>
      <c r="U50" s="28">
        <f t="shared" si="5"/>
        <v>-12.47</v>
      </c>
      <c r="V50" s="39" t="str">
        <f>IFERROR(__xludf.DUMMYFUNCTION(" IF(Account!$F50&lt;&gt;"""", SPLIT(Account!$F50, "" ""), """")"),"Frais")</f>
        <v>Frais</v>
      </c>
      <c r="W50" s="42" t="str">
        <f>IFERROR(__xludf.DUMMYFUNCTION("""COMPUTED_VALUE"""),"de")</f>
        <v>de</v>
      </c>
      <c r="X50" s="42" t="str">
        <f>IFERROR(__xludf.DUMMYFUNCTION("""COMPUTED_VALUE"""),"courtage")</f>
        <v>courtage</v>
      </c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</row>
    <row r="51">
      <c r="A51" s="7" t="s">
        <v>422</v>
      </c>
      <c r="B51" s="7" t="s">
        <v>428</v>
      </c>
      <c r="C51" s="7" t="s">
        <v>422</v>
      </c>
      <c r="D51" s="7" t="s">
        <v>73</v>
      </c>
      <c r="E51" s="7" t="s">
        <v>74</v>
      </c>
      <c r="F51" s="9" t="s">
        <v>75</v>
      </c>
      <c r="G51" s="7"/>
      <c r="H51" s="7" t="s">
        <v>68</v>
      </c>
      <c r="I51" s="7" t="s">
        <v>76</v>
      </c>
      <c r="J51" s="7" t="s">
        <v>68</v>
      </c>
      <c r="K51" s="7" t="s">
        <v>440</v>
      </c>
      <c r="L51" s="26" t="str">
        <f t="shared" si="1"/>
        <v/>
      </c>
      <c r="M51" s="28">
        <f>IFERROR(__xludf.DUMMYFUNCTION("IF(Account!$F51&lt;&gt;"""", VALUE(REGEXREPLACE($I51, ""\,"", ""."")), """")"),-2.0)</f>
        <v>-2</v>
      </c>
      <c r="N51" s="31">
        <f>IF(Account!$F51&lt;&gt;"", DATEVALUE(MID($A51,4,3) &amp; LEFT($A51,3) &amp; RIGHT($A51,4)) + TIMEVALUE($B51), "")</f>
        <v>43567.49792</v>
      </c>
      <c r="O51" s="33">
        <f>IF(Account!$F51&lt;&gt;"", DATEVALUE(MID($A51,4,3) &amp; LEFT($A51,3) &amp; RIGHT($A51,4)), "")</f>
        <v>43567</v>
      </c>
      <c r="P51" s="34" t="str">
        <f>IFERROR(VLOOKUP($Q51,Selection!$F:$G,2,false))</f>
        <v>Long term US bonds (20-25 year)</v>
      </c>
      <c r="Q51" s="36" t="str">
        <f>IF(AND($X51="change",$H51="EUR"),IF(AND($Z51="Crédit",$N51=$N52),$Q52,IF(AND($Z51="Débit",$N51=$N50),$Q50)),IF(OR(AND(OR($E51&lt;&gt;"",$L51=""),$M51&lt;&gt;0),$A51=""),IFERROR(VLOOKUP($E51,Selection!$E:$F,2,false)),IFERROR(VLOOKUP(SUBSTITUTE($I51,"-","",1),$K52:$Q1119,7,false),VLOOKUP($K51,$K52:$Q1119,7,false))))</f>
        <v>iShares USD Treasury Bond 20+yr UCITS ETF</v>
      </c>
      <c r="R51" s="34" t="str">
        <f t="shared" si="2"/>
        <v>COST</v>
      </c>
      <c r="S51" s="37" t="str">
        <f t="shared" si="3"/>
        <v/>
      </c>
      <c r="T51" s="38" t="str">
        <f t="shared" si="4"/>
        <v/>
      </c>
      <c r="U51" s="28">
        <f t="shared" si="5"/>
        <v>-12.47</v>
      </c>
      <c r="V51" s="39" t="str">
        <f>IFERROR(__xludf.DUMMYFUNCTION(" IF(Account!$F51&lt;&gt;"""", SPLIT(Account!$F51, "" ""), """")"),"Frais")</f>
        <v>Frais</v>
      </c>
      <c r="W51" s="42" t="str">
        <f>IFERROR(__xludf.DUMMYFUNCTION("""COMPUTED_VALUE"""),"de")</f>
        <v>de</v>
      </c>
      <c r="X51" s="42" t="str">
        <f>IFERROR(__xludf.DUMMYFUNCTION("""COMPUTED_VALUE"""),"courtage")</f>
        <v>courtage</v>
      </c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</row>
    <row r="52">
      <c r="A52" s="7" t="s">
        <v>422</v>
      </c>
      <c r="B52" s="7" t="s">
        <v>428</v>
      </c>
      <c r="C52" s="7" t="s">
        <v>422</v>
      </c>
      <c r="D52" s="7" t="s">
        <v>73</v>
      </c>
      <c r="E52" s="7" t="s">
        <v>74</v>
      </c>
      <c r="F52" s="9" t="s">
        <v>75</v>
      </c>
      <c r="G52" s="7"/>
      <c r="H52" s="7" t="s">
        <v>68</v>
      </c>
      <c r="I52" s="7" t="s">
        <v>442</v>
      </c>
      <c r="J52" s="7" t="s">
        <v>68</v>
      </c>
      <c r="K52" s="7" t="s">
        <v>443</v>
      </c>
      <c r="L52" s="26" t="str">
        <f t="shared" si="1"/>
        <v/>
      </c>
      <c r="M52" s="28">
        <f>IFERROR(__xludf.DUMMYFUNCTION("IF(Account!$F52&lt;&gt;"""", VALUE(REGEXREPLACE($I52, ""\,"", ""."")), """")"),-3.21)</f>
        <v>-3.21</v>
      </c>
      <c r="N52" s="31">
        <f>IF(Account!$F52&lt;&gt;"", DATEVALUE(MID($A52,4,3) &amp; LEFT($A52,3) &amp; RIGHT($A52,4)) + TIMEVALUE($B52), "")</f>
        <v>43567.49792</v>
      </c>
      <c r="O52" s="33">
        <f>IF(Account!$F52&lt;&gt;"", DATEVALUE(MID($A52,4,3) &amp; LEFT($A52,3) &amp; RIGHT($A52,4)), "")</f>
        <v>43567</v>
      </c>
      <c r="P52" s="34" t="str">
        <f>IFERROR(VLOOKUP($Q52,Selection!$F:$G,2,false))</f>
        <v>Long term US bonds (20-25 year)</v>
      </c>
      <c r="Q52" s="36" t="str">
        <f>IF(AND($X52="change",$H52="EUR"),IF(AND($Z52="Crédit",$N52=$N53),$Q53,IF(AND($Z52="Débit",$N52=$N51),$Q51)),IF(OR(AND(OR($E52&lt;&gt;"",$L52=""),$M52&lt;&gt;0),$A52=""),IFERROR(VLOOKUP($E52,Selection!$E:$F,2,false)),IFERROR(VLOOKUP(SUBSTITUTE($I52,"-","",1),$K53:$Q1119,7,false),VLOOKUP($K52,$K53:$Q1119,7,false))))</f>
        <v>iShares USD Treasury Bond 20+yr UCITS ETF</v>
      </c>
      <c r="R52" s="34" t="str">
        <f t="shared" si="2"/>
        <v>COST</v>
      </c>
      <c r="S52" s="37" t="str">
        <f t="shared" si="3"/>
        <v/>
      </c>
      <c r="T52" s="38" t="str">
        <f t="shared" si="4"/>
        <v/>
      </c>
      <c r="U52" s="28">
        <f t="shared" si="5"/>
        <v>-12.47</v>
      </c>
      <c r="V52" s="39" t="str">
        <f>IFERROR(__xludf.DUMMYFUNCTION(" IF(Account!$F52&lt;&gt;"""", SPLIT(Account!$F52, "" ""), """")"),"Frais")</f>
        <v>Frais</v>
      </c>
      <c r="W52" s="42" t="str">
        <f>IFERROR(__xludf.DUMMYFUNCTION("""COMPUTED_VALUE"""),"de")</f>
        <v>de</v>
      </c>
      <c r="X52" s="42" t="str">
        <f>IFERROR(__xludf.DUMMYFUNCTION("""COMPUTED_VALUE"""),"courtage")</f>
        <v>courtage</v>
      </c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</row>
    <row r="53">
      <c r="A53" s="7" t="s">
        <v>422</v>
      </c>
      <c r="B53" s="7" t="s">
        <v>428</v>
      </c>
      <c r="C53" s="7" t="s">
        <v>422</v>
      </c>
      <c r="D53" s="7" t="s">
        <v>73</v>
      </c>
      <c r="E53" s="7" t="s">
        <v>74</v>
      </c>
      <c r="F53" s="9" t="s">
        <v>445</v>
      </c>
      <c r="G53" s="7"/>
      <c r="H53" s="7" t="s">
        <v>68</v>
      </c>
      <c r="I53" s="7" t="s">
        <v>446</v>
      </c>
      <c r="J53" s="7" t="s">
        <v>68</v>
      </c>
      <c r="K53" s="7" t="s">
        <v>447</v>
      </c>
      <c r="L53" s="26">
        <f t="shared" si="1"/>
        <v>8864</v>
      </c>
      <c r="M53" s="28">
        <f>IFERROR(__xludf.DUMMYFUNCTION("IF(Account!$F53&lt;&gt;"""", VALUE(REGEXREPLACE($I53, ""\,"", ""."")), """")"),-36324.67)</f>
        <v>-36324.67</v>
      </c>
      <c r="N53" s="31">
        <f>IF(Account!$F53&lt;&gt;"", DATEVALUE(MID($A53,4,3) &amp; LEFT($A53,3) &amp; RIGHT($A53,4)) + TIMEVALUE($B53), "")</f>
        <v>43567.49792</v>
      </c>
      <c r="O53" s="33">
        <f>IF(Account!$F53&lt;&gt;"", DATEVALUE(MID($A53,4,3) &amp; LEFT($A53,3) &amp; RIGHT($A53,4)), "")</f>
        <v>43567</v>
      </c>
      <c r="P53" s="34" t="str">
        <f>IFERROR(VLOOKUP($Q53,Selection!$F:$G,2,false))</f>
        <v>Long term US bonds (20-25 year)</v>
      </c>
      <c r="Q53" s="36" t="str">
        <f>IF(AND($X53="change",$H53="EUR"),IF(AND($Z53="Crédit",$N53=$N54),$Q54,IF(AND($Z53="Débit",$N53=$N52),$Q52)),IF(OR(AND(OR($E53&lt;&gt;"",$L53=""),$M53&lt;&gt;0),$A53=""),IFERROR(VLOOKUP($E53,Selection!$E:$F,2,false)),IFERROR(VLOOKUP(SUBSTITUTE($I53,"-","",1),$K54:$Q1119,7,false),VLOOKUP($K53,$K54:$Q1119,7,false))))</f>
        <v>iShares USD Treasury Bond 20+yr UCITS ETF</v>
      </c>
      <c r="R53" s="34" t="str">
        <f t="shared" si="2"/>
        <v>BUY</v>
      </c>
      <c r="S53" s="37">
        <f t="shared" si="3"/>
        <v>12775</v>
      </c>
      <c r="T53" s="38">
        <f t="shared" si="4"/>
        <v>4.097969472</v>
      </c>
      <c r="U53" s="28">
        <f t="shared" si="5"/>
        <v>-52351.56</v>
      </c>
      <c r="V53" s="39" t="str">
        <f>IFERROR(__xludf.DUMMYFUNCTION(" IF(Account!$F53&lt;&gt;"""", SPLIT(Account!$F53, "" ""), """")"),"Achat")</f>
        <v>Achat</v>
      </c>
      <c r="W53" s="42" t="str">
        <f>IFERROR(__xludf.DUMMYFUNCTION("""COMPUTED_VALUE"""),"8 864")</f>
        <v>8 864</v>
      </c>
      <c r="X53" s="42" t="str">
        <f>IFERROR(__xludf.DUMMYFUNCTION("""COMPUTED_VALUE"""),"ISHSIV-DL")</f>
        <v>ISHSIV-DL</v>
      </c>
      <c r="Y53" s="42" t="str">
        <f>IFERROR(__xludf.DUMMYFUNCTION("""COMPUTED_VALUE"""),"T.BD20+YR")</f>
        <v>T.BD20+YR</v>
      </c>
      <c r="Z53" s="42" t="str">
        <f>IFERROR(__xludf.DUMMYFUNCTION("""COMPUTED_VALUE"""),"DL")</f>
        <v>DL</v>
      </c>
      <c r="AA53" s="42" t="str">
        <f>IFERROR(__xludf.DUMMYFUNCTION("""COMPUTED_VALUE"""),"D@4,098")</f>
        <v>D@4,098</v>
      </c>
      <c r="AB53" s="42" t="str">
        <f>IFERROR(__xludf.DUMMYFUNCTION("""COMPUTED_VALUE"""),"EUR")</f>
        <v>EUR</v>
      </c>
      <c r="AC53" s="42" t="str">
        <f>IFERROR(__xludf.DUMMYFUNCTION("""COMPUTED_VALUE"""),"(IE00BSKRJZ44)")</f>
        <v>(IE00BSKRJZ44)</v>
      </c>
      <c r="AD53" s="42"/>
      <c r="AE53" s="42"/>
      <c r="AF53" s="42"/>
      <c r="AG53" s="42"/>
      <c r="AH53" s="42"/>
      <c r="AI53" s="42"/>
      <c r="AJ53" s="42"/>
    </row>
    <row r="54">
      <c r="A54" s="7" t="s">
        <v>422</v>
      </c>
      <c r="B54" s="7" t="s">
        <v>428</v>
      </c>
      <c r="C54" s="7" t="s">
        <v>422</v>
      </c>
      <c r="D54" s="7" t="s">
        <v>73</v>
      </c>
      <c r="E54" s="7" t="s">
        <v>74</v>
      </c>
      <c r="F54" s="9" t="s">
        <v>450</v>
      </c>
      <c r="G54" s="7"/>
      <c r="H54" s="7" t="s">
        <v>68</v>
      </c>
      <c r="I54" s="7" t="s">
        <v>451</v>
      </c>
      <c r="J54" s="7" t="s">
        <v>68</v>
      </c>
      <c r="K54" s="7" t="s">
        <v>452</v>
      </c>
      <c r="L54" s="26">
        <f t="shared" si="1"/>
        <v>3911</v>
      </c>
      <c r="M54" s="28">
        <f>IFERROR(__xludf.DUMMYFUNCTION("IF(Account!$F54&lt;&gt;"""", VALUE(REGEXREPLACE($I54, ""\,"", ""."")), """")"),-16026.89)</f>
        <v>-16026.89</v>
      </c>
      <c r="N54" s="31">
        <f>IF(Account!$F54&lt;&gt;"", DATEVALUE(MID($A54,4,3) &amp; LEFT($A54,3) &amp; RIGHT($A54,4)) + TIMEVALUE($B54), "")</f>
        <v>43567.49792</v>
      </c>
      <c r="O54" s="33">
        <f>IF(Account!$F54&lt;&gt;"", DATEVALUE(MID($A54,4,3) &amp; LEFT($A54,3) &amp; RIGHT($A54,4)), "")</f>
        <v>43567</v>
      </c>
      <c r="P54" s="34" t="str">
        <f>IFERROR(VLOOKUP($Q54,Selection!$F:$G,2,false))</f>
        <v>Long term US bonds (20-25 year)</v>
      </c>
      <c r="Q54" s="36" t="str">
        <f>IF(AND($X54="change",$H54="EUR"),IF(AND($Z54="Crédit",$N54=$N55),$Q55,IF(AND($Z54="Débit",$N54=$N53),$Q53)),IF(OR(AND(OR($E54&lt;&gt;"",$L54=""),$M54&lt;&gt;0),$A54=""),IFERROR(VLOOKUP($E54,Selection!$E:$F,2,false)),IFERROR(VLOOKUP(SUBSTITUTE($I54,"-","",1),$K55:$Q1119,7,false),VLOOKUP($K54,$K55:$Q1119,7,false))))</f>
        <v>iShares USD Treasury Bond 20+yr UCITS ETF</v>
      </c>
      <c r="R54" s="34" t="str">
        <f t="shared" si="2"/>
        <v>BUY</v>
      </c>
      <c r="S54" s="37">
        <f t="shared" si="3"/>
        <v>12775</v>
      </c>
      <c r="T54" s="38">
        <f t="shared" si="4"/>
        <v>4.097969472</v>
      </c>
      <c r="U54" s="28">
        <f t="shared" si="5"/>
        <v>-52351.56</v>
      </c>
      <c r="V54" s="39" t="str">
        <f>IFERROR(__xludf.DUMMYFUNCTION(" IF(Account!$F54&lt;&gt;"""", SPLIT(Account!$F54, "" ""), """")"),"Achat")</f>
        <v>Achat</v>
      </c>
      <c r="W54" s="42" t="str">
        <f>IFERROR(__xludf.DUMMYFUNCTION("""COMPUTED_VALUE"""),"3 911")</f>
        <v>3 911</v>
      </c>
      <c r="X54" s="42" t="str">
        <f>IFERROR(__xludf.DUMMYFUNCTION("""COMPUTED_VALUE"""),"ISHSIV-DL")</f>
        <v>ISHSIV-DL</v>
      </c>
      <c r="Y54" s="42" t="str">
        <f>IFERROR(__xludf.DUMMYFUNCTION("""COMPUTED_VALUE"""),"T.BD20+YR")</f>
        <v>T.BD20+YR</v>
      </c>
      <c r="Z54" s="42" t="str">
        <f>IFERROR(__xludf.DUMMYFUNCTION("""COMPUTED_VALUE"""),"DL")</f>
        <v>DL</v>
      </c>
      <c r="AA54" s="42" t="str">
        <f>IFERROR(__xludf.DUMMYFUNCTION("""COMPUTED_VALUE"""),"D@4,0979")</f>
        <v>D@4,0979</v>
      </c>
      <c r="AB54" s="42" t="str">
        <f>IFERROR(__xludf.DUMMYFUNCTION("""COMPUTED_VALUE"""),"EUR")</f>
        <v>EUR</v>
      </c>
      <c r="AC54" s="42" t="str">
        <f>IFERROR(__xludf.DUMMYFUNCTION("""COMPUTED_VALUE"""),"(IE00BSKRJZ44)")</f>
        <v>(IE00BSKRJZ44)</v>
      </c>
      <c r="AD54" s="42"/>
      <c r="AE54" s="42"/>
      <c r="AF54" s="42"/>
      <c r="AG54" s="42"/>
      <c r="AH54" s="42"/>
      <c r="AI54" s="42"/>
      <c r="AJ54" s="42"/>
    </row>
    <row r="55">
      <c r="A55" s="7" t="s">
        <v>422</v>
      </c>
      <c r="B55" s="7" t="s">
        <v>455</v>
      </c>
      <c r="C55" s="7" t="s">
        <v>422</v>
      </c>
      <c r="D55" s="7" t="s">
        <v>73</v>
      </c>
      <c r="E55" s="7" t="s">
        <v>74</v>
      </c>
      <c r="F55" s="9" t="s">
        <v>75</v>
      </c>
      <c r="G55" s="7"/>
      <c r="H55" s="7" t="s">
        <v>68</v>
      </c>
      <c r="I55" s="7" t="s">
        <v>456</v>
      </c>
      <c r="J55" s="7" t="s">
        <v>68</v>
      </c>
      <c r="K55" s="7" t="s">
        <v>457</v>
      </c>
      <c r="L55" s="26" t="str">
        <f t="shared" si="1"/>
        <v/>
      </c>
      <c r="M55" s="28">
        <f>IFERROR(__xludf.DUMMYFUNCTION("IF(Account!$F55&lt;&gt;"""", VALUE(REGEXREPLACE($I55, ""\,"", ""."")), """")"),-36.45)</f>
        <v>-36.45</v>
      </c>
      <c r="N55" s="31">
        <f>IF(Account!$F55&lt;&gt;"", DATEVALUE(MID($A55,4,3) &amp; LEFT($A55,3) &amp; RIGHT($A55,4)) + TIMEVALUE($B55), "")</f>
        <v>43567.49236</v>
      </c>
      <c r="O55" s="33">
        <f>IF(Account!$F55&lt;&gt;"", DATEVALUE(MID($A55,4,3) &amp; LEFT($A55,3) &amp; RIGHT($A55,4)), "")</f>
        <v>43567</v>
      </c>
      <c r="P55" s="34" t="str">
        <f>IFERROR(VLOOKUP($Q55,Selection!$F:$G,2,false))</f>
        <v>Long term US bonds (20-25 year)</v>
      </c>
      <c r="Q55" s="36" t="str">
        <f>IF(AND($X55="change",$H55="EUR"),IF(AND($Z55="Crédit",$N55=$N56),$Q56,IF(AND($Z55="Débit",$N55=$N54),$Q54)),IF(OR(AND(OR($E55&lt;&gt;"",$L55=""),$M55&lt;&gt;0),$A55=""),IFERROR(VLOOKUP($E55,Selection!$E:$F,2,false)),IFERROR(VLOOKUP(SUBSTITUTE($I55,"-","",1),$K56:$Q1119,7,false),VLOOKUP($K55,$K56:$Q1119,7,false))))</f>
        <v>iShares USD Treasury Bond 20+yr UCITS ETF</v>
      </c>
      <c r="R55" s="34" t="str">
        <f t="shared" si="2"/>
        <v>COST</v>
      </c>
      <c r="S55" s="37" t="str">
        <f t="shared" si="3"/>
        <v/>
      </c>
      <c r="T55" s="38" t="str">
        <f t="shared" si="4"/>
        <v/>
      </c>
      <c r="U55" s="28">
        <f t="shared" si="5"/>
        <v>-51.65</v>
      </c>
      <c r="V55" s="39" t="str">
        <f>IFERROR(__xludf.DUMMYFUNCTION(" IF(Account!$F55&lt;&gt;"""", SPLIT(Account!$F55, "" ""), """")"),"Frais")</f>
        <v>Frais</v>
      </c>
      <c r="W55" s="42" t="str">
        <f>IFERROR(__xludf.DUMMYFUNCTION("""COMPUTED_VALUE"""),"de")</f>
        <v>de</v>
      </c>
      <c r="X55" s="42" t="str">
        <f>IFERROR(__xludf.DUMMYFUNCTION("""COMPUTED_VALUE"""),"courtage")</f>
        <v>courtage</v>
      </c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</row>
    <row r="56">
      <c r="A56" s="7" t="s">
        <v>422</v>
      </c>
      <c r="B56" s="7" t="s">
        <v>455</v>
      </c>
      <c r="C56" s="7" t="s">
        <v>422</v>
      </c>
      <c r="D56" s="7" t="s">
        <v>73</v>
      </c>
      <c r="E56" s="7" t="s">
        <v>74</v>
      </c>
      <c r="F56" s="9" t="s">
        <v>459</v>
      </c>
      <c r="G56" s="7"/>
      <c r="H56" s="7" t="s">
        <v>68</v>
      </c>
      <c r="I56" s="7" t="s">
        <v>460</v>
      </c>
      <c r="J56" s="7" t="s">
        <v>68</v>
      </c>
      <c r="K56" s="7" t="s">
        <v>461</v>
      </c>
      <c r="L56" s="26">
        <f t="shared" si="1"/>
        <v>44467</v>
      </c>
      <c r="M56" s="28">
        <f>IFERROR(__xludf.DUMMYFUNCTION("IF(Account!$F56&lt;&gt;"""", VALUE(REGEXREPLACE($I56, ""\,"", ""."")), """")"),-182225.77)</f>
        <v>-182225.77</v>
      </c>
      <c r="N56" s="31">
        <f>IF(Account!$F56&lt;&gt;"", DATEVALUE(MID($A56,4,3) &amp; LEFT($A56,3) &amp; RIGHT($A56,4)) + TIMEVALUE($B56), "")</f>
        <v>43567.49236</v>
      </c>
      <c r="O56" s="33">
        <f>IF(Account!$F56&lt;&gt;"", DATEVALUE(MID($A56,4,3) &amp; LEFT($A56,3) &amp; RIGHT($A56,4)), "")</f>
        <v>43567</v>
      </c>
      <c r="P56" s="34" t="str">
        <f>IFERROR(VLOOKUP($Q56,Selection!$F:$G,2,false))</f>
        <v>Long term US bonds (20-25 year)</v>
      </c>
      <c r="Q56" s="36" t="str">
        <f>IF(AND($X56="change",$H56="EUR"),IF(AND($Z56="Crédit",$N56=$N57),$Q57,IF(AND($Z56="Débit",$N56=$N55),$Q55)),IF(OR(AND(OR($E56&lt;&gt;"",$L56=""),$M56&lt;&gt;0),$A56=""),IFERROR(VLOOKUP($E56,Selection!$E:$F,2,false)),IFERROR(VLOOKUP(SUBSTITUTE($I56,"-","",1),$K57:$Q1119,7,false),VLOOKUP($K56,$K57:$Q1119,7,false))))</f>
        <v>iShares USD Treasury Bond 20+yr UCITS ETF</v>
      </c>
      <c r="R56" s="34" t="str">
        <f t="shared" si="2"/>
        <v>BUY</v>
      </c>
      <c r="S56" s="37">
        <f t="shared" si="3"/>
        <v>60580</v>
      </c>
      <c r="T56" s="38">
        <f t="shared" si="4"/>
        <v>4.098</v>
      </c>
      <c r="U56" s="28">
        <f t="shared" si="5"/>
        <v>-248256.84</v>
      </c>
      <c r="V56" s="39" t="str">
        <f>IFERROR(__xludf.DUMMYFUNCTION(" IF(Account!$F56&lt;&gt;"""", SPLIT(Account!$F56, "" ""), """")"),"Achat")</f>
        <v>Achat</v>
      </c>
      <c r="W56" s="42" t="str">
        <f>IFERROR(__xludf.DUMMYFUNCTION("""COMPUTED_VALUE"""),"44 467")</f>
        <v>44 467</v>
      </c>
      <c r="X56" s="42" t="str">
        <f>IFERROR(__xludf.DUMMYFUNCTION("""COMPUTED_VALUE"""),"ISHSIV-DL")</f>
        <v>ISHSIV-DL</v>
      </c>
      <c r="Y56" s="42" t="str">
        <f>IFERROR(__xludf.DUMMYFUNCTION("""COMPUTED_VALUE"""),"T.BD20+YR")</f>
        <v>T.BD20+YR</v>
      </c>
      <c r="Z56" s="42" t="str">
        <f>IFERROR(__xludf.DUMMYFUNCTION("""COMPUTED_VALUE"""),"DL")</f>
        <v>DL</v>
      </c>
      <c r="AA56" s="42" t="str">
        <f>IFERROR(__xludf.DUMMYFUNCTION("""COMPUTED_VALUE"""),"D@4,098")</f>
        <v>D@4,098</v>
      </c>
      <c r="AB56" s="42" t="str">
        <f>IFERROR(__xludf.DUMMYFUNCTION("""COMPUTED_VALUE"""),"EUR")</f>
        <v>EUR</v>
      </c>
      <c r="AC56" s="42" t="str">
        <f>IFERROR(__xludf.DUMMYFUNCTION("""COMPUTED_VALUE"""),"(IE00BSKRJZ44)")</f>
        <v>(IE00BSKRJZ44)</v>
      </c>
      <c r="AD56" s="42"/>
      <c r="AE56" s="42"/>
      <c r="AF56" s="42"/>
      <c r="AG56" s="42"/>
      <c r="AH56" s="42"/>
      <c r="AI56" s="42"/>
      <c r="AJ56" s="42"/>
    </row>
    <row r="57">
      <c r="A57" s="7" t="s">
        <v>422</v>
      </c>
      <c r="B57" s="7" t="s">
        <v>455</v>
      </c>
      <c r="C57" s="7" t="s">
        <v>422</v>
      </c>
      <c r="D57" s="7" t="s">
        <v>73</v>
      </c>
      <c r="E57" s="7" t="s">
        <v>74</v>
      </c>
      <c r="F57" s="9" t="s">
        <v>75</v>
      </c>
      <c r="G57" s="7"/>
      <c r="H57" s="7" t="s">
        <v>68</v>
      </c>
      <c r="I57" s="7" t="s">
        <v>464</v>
      </c>
      <c r="J57" s="7" t="s">
        <v>68</v>
      </c>
      <c r="K57" s="7" t="s">
        <v>465</v>
      </c>
      <c r="L57" s="26" t="str">
        <f t="shared" si="1"/>
        <v/>
      </c>
      <c r="M57" s="28">
        <f>IFERROR(__xludf.DUMMYFUNCTION("IF(Account!$F57&lt;&gt;"""", VALUE(REGEXREPLACE($I57, ""\,"", ""."")), """")"),-5.63)</f>
        <v>-5.63</v>
      </c>
      <c r="N57" s="31">
        <f>IF(Account!$F57&lt;&gt;"", DATEVALUE(MID($A57,4,3) &amp; LEFT($A57,3) &amp; RIGHT($A57,4)) + TIMEVALUE($B57), "")</f>
        <v>43567.49236</v>
      </c>
      <c r="O57" s="33">
        <f>IF(Account!$F57&lt;&gt;"", DATEVALUE(MID($A57,4,3) &amp; LEFT($A57,3) &amp; RIGHT($A57,4)), "")</f>
        <v>43567</v>
      </c>
      <c r="P57" s="34" t="str">
        <f>IFERROR(VLOOKUP($Q57,Selection!$F:$G,2,false))</f>
        <v>Long term US bonds (20-25 year)</v>
      </c>
      <c r="Q57" s="36" t="str">
        <f>IF(AND($X57="change",$H57="EUR"),IF(AND($Z57="Crédit",$N57=$N58),$Q58,IF(AND($Z57="Débit",$N57=$N56),$Q56)),IF(OR(AND(OR($E57&lt;&gt;"",$L57=""),$M57&lt;&gt;0),$A57=""),IFERROR(VLOOKUP($E57,Selection!$E:$F,2,false)),IFERROR(VLOOKUP(SUBSTITUTE($I57,"-","",1),$K58:$Q1119,7,false),VLOOKUP($K57,$K58:$Q1119,7,false))))</f>
        <v>iShares USD Treasury Bond 20+yr UCITS ETF</v>
      </c>
      <c r="R57" s="34" t="str">
        <f t="shared" si="2"/>
        <v>COST</v>
      </c>
      <c r="S57" s="37" t="str">
        <f t="shared" si="3"/>
        <v/>
      </c>
      <c r="T57" s="38" t="str">
        <f t="shared" si="4"/>
        <v/>
      </c>
      <c r="U57" s="28">
        <f t="shared" si="5"/>
        <v>-51.65</v>
      </c>
      <c r="V57" s="39" t="str">
        <f>IFERROR(__xludf.DUMMYFUNCTION(" IF(Account!$F57&lt;&gt;"""", SPLIT(Account!$F57, "" ""), """")"),"Frais")</f>
        <v>Frais</v>
      </c>
      <c r="W57" s="42" t="str">
        <f>IFERROR(__xludf.DUMMYFUNCTION("""COMPUTED_VALUE"""),"de")</f>
        <v>de</v>
      </c>
      <c r="X57" s="42" t="str">
        <f>IFERROR(__xludf.DUMMYFUNCTION("""COMPUTED_VALUE"""),"courtage")</f>
        <v>courtage</v>
      </c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</row>
    <row r="58">
      <c r="A58" s="7" t="s">
        <v>422</v>
      </c>
      <c r="B58" s="7" t="s">
        <v>455</v>
      </c>
      <c r="C58" s="7" t="s">
        <v>422</v>
      </c>
      <c r="D58" s="7" t="s">
        <v>73</v>
      </c>
      <c r="E58" s="7" t="s">
        <v>74</v>
      </c>
      <c r="F58" s="9" t="s">
        <v>467</v>
      </c>
      <c r="G58" s="7"/>
      <c r="H58" s="7" t="s">
        <v>68</v>
      </c>
      <c r="I58" s="7" t="s">
        <v>468</v>
      </c>
      <c r="J58" s="7" t="s">
        <v>68</v>
      </c>
      <c r="K58" s="7" t="s">
        <v>469</v>
      </c>
      <c r="L58" s="26">
        <f t="shared" si="1"/>
        <v>6874</v>
      </c>
      <c r="M58" s="28">
        <f>IFERROR(__xludf.DUMMYFUNCTION("IF(Account!$F58&lt;&gt;"""", VALUE(REGEXREPLACE($I58, ""\,"", ""."")), """")"),-28169.65)</f>
        <v>-28169.65</v>
      </c>
      <c r="N58" s="31">
        <f>IF(Account!$F58&lt;&gt;"", DATEVALUE(MID($A58,4,3) &amp; LEFT($A58,3) &amp; RIGHT($A58,4)) + TIMEVALUE($B58), "")</f>
        <v>43567.49236</v>
      </c>
      <c r="O58" s="33">
        <f>IF(Account!$F58&lt;&gt;"", DATEVALUE(MID($A58,4,3) &amp; LEFT($A58,3) &amp; RIGHT($A58,4)), "")</f>
        <v>43567</v>
      </c>
      <c r="P58" s="34" t="str">
        <f>IFERROR(VLOOKUP($Q58,Selection!$F:$G,2,false))</f>
        <v>Long term US bonds (20-25 year)</v>
      </c>
      <c r="Q58" s="36" t="str">
        <f>IF(AND($X58="change",$H58="EUR"),IF(AND($Z58="Crédit",$N58=$N59),$Q59,IF(AND($Z58="Débit",$N58=$N57),$Q57)),IF(OR(AND(OR($E58&lt;&gt;"",$L58=""),$M58&lt;&gt;0),$A58=""),IFERROR(VLOOKUP($E58,Selection!$E:$F,2,false)),IFERROR(VLOOKUP(SUBSTITUTE($I58,"-","",1),$K59:$Q1119,7,false),VLOOKUP($K58,$K59:$Q1119,7,false))))</f>
        <v>iShares USD Treasury Bond 20+yr UCITS ETF</v>
      </c>
      <c r="R58" s="34" t="str">
        <f t="shared" si="2"/>
        <v>BUY</v>
      </c>
      <c r="S58" s="37">
        <f t="shared" si="3"/>
        <v>60580</v>
      </c>
      <c r="T58" s="38">
        <f t="shared" si="4"/>
        <v>4.098</v>
      </c>
      <c r="U58" s="28">
        <f t="shared" si="5"/>
        <v>-248256.84</v>
      </c>
      <c r="V58" s="39" t="str">
        <f>IFERROR(__xludf.DUMMYFUNCTION(" IF(Account!$F58&lt;&gt;"""", SPLIT(Account!$F58, "" ""), """")"),"Achat")</f>
        <v>Achat</v>
      </c>
      <c r="W58" s="42" t="str">
        <f>IFERROR(__xludf.DUMMYFUNCTION("""COMPUTED_VALUE"""),"6 874")</f>
        <v>6 874</v>
      </c>
      <c r="X58" s="42" t="str">
        <f>IFERROR(__xludf.DUMMYFUNCTION("""COMPUTED_VALUE"""),"ISHSIV-DL")</f>
        <v>ISHSIV-DL</v>
      </c>
      <c r="Y58" s="42" t="str">
        <f>IFERROR(__xludf.DUMMYFUNCTION("""COMPUTED_VALUE"""),"T.BD20+YR")</f>
        <v>T.BD20+YR</v>
      </c>
      <c r="Z58" s="42" t="str">
        <f>IFERROR(__xludf.DUMMYFUNCTION("""COMPUTED_VALUE"""),"DL")</f>
        <v>DL</v>
      </c>
      <c r="AA58" s="42" t="str">
        <f>IFERROR(__xludf.DUMMYFUNCTION("""COMPUTED_VALUE"""),"D@4,098")</f>
        <v>D@4,098</v>
      </c>
      <c r="AB58" s="42" t="str">
        <f>IFERROR(__xludf.DUMMYFUNCTION("""COMPUTED_VALUE"""),"EUR")</f>
        <v>EUR</v>
      </c>
      <c r="AC58" s="42" t="str">
        <f>IFERROR(__xludf.DUMMYFUNCTION("""COMPUTED_VALUE"""),"(IE00BSKRJZ44)")</f>
        <v>(IE00BSKRJZ44)</v>
      </c>
      <c r="AD58" s="42"/>
      <c r="AE58" s="42"/>
      <c r="AF58" s="42"/>
      <c r="AG58" s="42"/>
      <c r="AH58" s="42"/>
      <c r="AI58" s="42"/>
      <c r="AJ58" s="42"/>
    </row>
    <row r="59">
      <c r="A59" s="7" t="s">
        <v>422</v>
      </c>
      <c r="B59" s="7" t="s">
        <v>455</v>
      </c>
      <c r="C59" s="7" t="s">
        <v>422</v>
      </c>
      <c r="D59" s="7" t="s">
        <v>73</v>
      </c>
      <c r="E59" s="7" t="s">
        <v>74</v>
      </c>
      <c r="F59" s="9" t="s">
        <v>75</v>
      </c>
      <c r="G59" s="7"/>
      <c r="H59" s="7" t="s">
        <v>68</v>
      </c>
      <c r="I59" s="7" t="s">
        <v>76</v>
      </c>
      <c r="J59" s="7" t="s">
        <v>68</v>
      </c>
      <c r="K59" s="7" t="s">
        <v>473</v>
      </c>
      <c r="L59" s="26" t="str">
        <f t="shared" si="1"/>
        <v/>
      </c>
      <c r="M59" s="28">
        <f>IFERROR(__xludf.DUMMYFUNCTION("IF(Account!$F59&lt;&gt;"""", VALUE(REGEXREPLACE($I59, ""\,"", ""."")), """")"),-2.0)</f>
        <v>-2</v>
      </c>
      <c r="N59" s="31">
        <f>IF(Account!$F59&lt;&gt;"", DATEVALUE(MID($A59,4,3) &amp; LEFT($A59,3) &amp; RIGHT($A59,4)) + TIMEVALUE($B59), "")</f>
        <v>43567.49236</v>
      </c>
      <c r="O59" s="33">
        <f>IF(Account!$F59&lt;&gt;"", DATEVALUE(MID($A59,4,3) &amp; LEFT($A59,3) &amp; RIGHT($A59,4)), "")</f>
        <v>43567</v>
      </c>
      <c r="P59" s="34" t="str">
        <f>IFERROR(VLOOKUP($Q59,Selection!$F:$G,2,false))</f>
        <v>Long term US bonds (20-25 year)</v>
      </c>
      <c r="Q59" s="36" t="str">
        <f>IF(AND($X59="change",$H59="EUR"),IF(AND($Z59="Crédit",$N59=$N60),$Q60,IF(AND($Z59="Débit",$N59=$N58),$Q58)),IF(OR(AND(OR($E59&lt;&gt;"",$L59=""),$M59&lt;&gt;0),$A59=""),IFERROR(VLOOKUP($E59,Selection!$E:$F,2,false)),IFERROR(VLOOKUP(SUBSTITUTE($I59,"-","",1),$K60:$Q1119,7,false),VLOOKUP($K59,$K60:$Q1119,7,false))))</f>
        <v>iShares USD Treasury Bond 20+yr UCITS ETF</v>
      </c>
      <c r="R59" s="34" t="str">
        <f t="shared" si="2"/>
        <v>COST</v>
      </c>
      <c r="S59" s="37" t="str">
        <f t="shared" si="3"/>
        <v/>
      </c>
      <c r="T59" s="38" t="str">
        <f t="shared" si="4"/>
        <v/>
      </c>
      <c r="U59" s="28">
        <f t="shared" si="5"/>
        <v>-51.65</v>
      </c>
      <c r="V59" s="39" t="str">
        <f>IFERROR(__xludf.DUMMYFUNCTION(" IF(Account!$F59&lt;&gt;"""", SPLIT(Account!$F59, "" ""), """")"),"Frais")</f>
        <v>Frais</v>
      </c>
      <c r="W59" s="42" t="str">
        <f>IFERROR(__xludf.DUMMYFUNCTION("""COMPUTED_VALUE"""),"de")</f>
        <v>de</v>
      </c>
      <c r="X59" s="42" t="str">
        <f>IFERROR(__xludf.DUMMYFUNCTION("""COMPUTED_VALUE"""),"courtage")</f>
        <v>courtage</v>
      </c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</row>
    <row r="60">
      <c r="A60" s="7" t="s">
        <v>422</v>
      </c>
      <c r="B60" s="7" t="s">
        <v>455</v>
      </c>
      <c r="C60" s="7" t="s">
        <v>422</v>
      </c>
      <c r="D60" s="7" t="s">
        <v>73</v>
      </c>
      <c r="E60" s="7" t="s">
        <v>74</v>
      </c>
      <c r="F60" s="9" t="s">
        <v>75</v>
      </c>
      <c r="G60" s="7"/>
      <c r="H60" s="7" t="s">
        <v>68</v>
      </c>
      <c r="I60" s="7" t="s">
        <v>475</v>
      </c>
      <c r="J60" s="7" t="s">
        <v>68</v>
      </c>
      <c r="K60" s="7" t="s">
        <v>476</v>
      </c>
      <c r="L60" s="26" t="str">
        <f t="shared" si="1"/>
        <v/>
      </c>
      <c r="M60" s="28">
        <f>IFERROR(__xludf.DUMMYFUNCTION("IF(Account!$F60&lt;&gt;"""", VALUE(REGEXREPLACE($I60, ""\,"", ""."")), """")"),-7.57)</f>
        <v>-7.57</v>
      </c>
      <c r="N60" s="31">
        <f>IF(Account!$F60&lt;&gt;"", DATEVALUE(MID($A60,4,3) &amp; LEFT($A60,3) &amp; RIGHT($A60,4)) + TIMEVALUE($B60), "")</f>
        <v>43567.49236</v>
      </c>
      <c r="O60" s="33">
        <f>IF(Account!$F60&lt;&gt;"", DATEVALUE(MID($A60,4,3) &amp; LEFT($A60,3) &amp; RIGHT($A60,4)), "")</f>
        <v>43567</v>
      </c>
      <c r="P60" s="34" t="str">
        <f>IFERROR(VLOOKUP($Q60,Selection!$F:$G,2,false))</f>
        <v>Long term US bonds (20-25 year)</v>
      </c>
      <c r="Q60" s="36" t="str">
        <f>IF(AND($X60="change",$H60="EUR"),IF(AND($Z60="Crédit",$N60=$N61),$Q61,IF(AND($Z60="Débit",$N60=$N59),$Q59)),IF(OR(AND(OR($E60&lt;&gt;"",$L60=""),$M60&lt;&gt;0),$A60=""),IFERROR(VLOOKUP($E60,Selection!$E:$F,2,false)),IFERROR(VLOOKUP(SUBSTITUTE($I60,"-","",1),$K61:$Q1119,7,false),VLOOKUP($K60,$K61:$Q1119,7,false))))</f>
        <v>iShares USD Treasury Bond 20+yr UCITS ETF</v>
      </c>
      <c r="R60" s="34" t="str">
        <f t="shared" si="2"/>
        <v>COST</v>
      </c>
      <c r="S60" s="37" t="str">
        <f t="shared" si="3"/>
        <v/>
      </c>
      <c r="T60" s="38" t="str">
        <f t="shared" si="4"/>
        <v/>
      </c>
      <c r="U60" s="28">
        <f t="shared" si="5"/>
        <v>-51.65</v>
      </c>
      <c r="V60" s="39" t="str">
        <f>IFERROR(__xludf.DUMMYFUNCTION(" IF(Account!$F60&lt;&gt;"""", SPLIT(Account!$F60, "" ""), """")"),"Frais")</f>
        <v>Frais</v>
      </c>
      <c r="W60" s="42" t="str">
        <f>IFERROR(__xludf.DUMMYFUNCTION("""COMPUTED_VALUE"""),"de")</f>
        <v>de</v>
      </c>
      <c r="X60" s="42" t="str">
        <f>IFERROR(__xludf.DUMMYFUNCTION("""COMPUTED_VALUE"""),"courtage")</f>
        <v>courtage</v>
      </c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</row>
    <row r="61">
      <c r="A61" s="7" t="s">
        <v>422</v>
      </c>
      <c r="B61" s="7" t="s">
        <v>455</v>
      </c>
      <c r="C61" s="7" t="s">
        <v>422</v>
      </c>
      <c r="D61" s="7" t="s">
        <v>73</v>
      </c>
      <c r="E61" s="7" t="s">
        <v>74</v>
      </c>
      <c r="F61" s="9" t="s">
        <v>478</v>
      </c>
      <c r="G61" s="7"/>
      <c r="H61" s="7" t="s">
        <v>68</v>
      </c>
      <c r="I61" s="7" t="s">
        <v>479</v>
      </c>
      <c r="J61" s="7" t="s">
        <v>68</v>
      </c>
      <c r="K61" s="7" t="s">
        <v>480</v>
      </c>
      <c r="L61" s="26">
        <f t="shared" si="1"/>
        <v>9239</v>
      </c>
      <c r="M61" s="28">
        <f>IFERROR(__xludf.DUMMYFUNCTION("IF(Account!$F61&lt;&gt;"""", VALUE(REGEXREPLACE($I61, ""\,"", ""."")), """")"),-37861.42)</f>
        <v>-37861.42</v>
      </c>
      <c r="N61" s="31">
        <f>IF(Account!$F61&lt;&gt;"", DATEVALUE(MID($A61,4,3) &amp; LEFT($A61,3) &amp; RIGHT($A61,4)) + TIMEVALUE($B61), "")</f>
        <v>43567.49236</v>
      </c>
      <c r="O61" s="33">
        <f>IF(Account!$F61&lt;&gt;"", DATEVALUE(MID($A61,4,3) &amp; LEFT($A61,3) &amp; RIGHT($A61,4)), "")</f>
        <v>43567</v>
      </c>
      <c r="P61" s="34" t="str">
        <f>IFERROR(VLOOKUP($Q61,Selection!$F:$G,2,false))</f>
        <v>Long term US bonds (20-25 year)</v>
      </c>
      <c r="Q61" s="36" t="str">
        <f>IF(AND($X61="change",$H61="EUR"),IF(AND($Z61="Crédit",$N61=$N62),$Q62,IF(AND($Z61="Débit",$N61=$N60),$Q60)),IF(OR(AND(OR($E61&lt;&gt;"",$L61=""),$M61&lt;&gt;0),$A61=""),IFERROR(VLOOKUP($E61,Selection!$E:$F,2,false)),IFERROR(VLOOKUP(SUBSTITUTE($I61,"-","",1),$K62:$Q1119,7,false),VLOOKUP($K61,$K62:$Q1119,7,false))))</f>
        <v>iShares USD Treasury Bond 20+yr UCITS ETF</v>
      </c>
      <c r="R61" s="34" t="str">
        <f t="shared" si="2"/>
        <v>BUY</v>
      </c>
      <c r="S61" s="37">
        <f t="shared" si="3"/>
        <v>60580</v>
      </c>
      <c r="T61" s="38">
        <f t="shared" si="4"/>
        <v>4.098</v>
      </c>
      <c r="U61" s="28">
        <f t="shared" si="5"/>
        <v>-248256.84</v>
      </c>
      <c r="V61" s="39" t="str">
        <f>IFERROR(__xludf.DUMMYFUNCTION(" IF(Account!$F61&lt;&gt;"""", SPLIT(Account!$F61, "" ""), """")"),"Achat")</f>
        <v>Achat</v>
      </c>
      <c r="W61" s="42" t="str">
        <f>IFERROR(__xludf.DUMMYFUNCTION("""COMPUTED_VALUE"""),"9 239")</f>
        <v>9 239</v>
      </c>
      <c r="X61" s="42" t="str">
        <f>IFERROR(__xludf.DUMMYFUNCTION("""COMPUTED_VALUE"""),"ISHSIV-DL")</f>
        <v>ISHSIV-DL</v>
      </c>
      <c r="Y61" s="42" t="str">
        <f>IFERROR(__xludf.DUMMYFUNCTION("""COMPUTED_VALUE"""),"T.BD20+YR")</f>
        <v>T.BD20+YR</v>
      </c>
      <c r="Z61" s="42" t="str">
        <f>IFERROR(__xludf.DUMMYFUNCTION("""COMPUTED_VALUE"""),"DL")</f>
        <v>DL</v>
      </c>
      <c r="AA61" s="42" t="str">
        <f>IFERROR(__xludf.DUMMYFUNCTION("""COMPUTED_VALUE"""),"D@4,098")</f>
        <v>D@4,098</v>
      </c>
      <c r="AB61" s="42" t="str">
        <f>IFERROR(__xludf.DUMMYFUNCTION("""COMPUTED_VALUE"""),"EUR")</f>
        <v>EUR</v>
      </c>
      <c r="AC61" s="42" t="str">
        <f>IFERROR(__xludf.DUMMYFUNCTION("""COMPUTED_VALUE"""),"(IE00BSKRJZ44)")</f>
        <v>(IE00BSKRJZ44)</v>
      </c>
      <c r="AD61" s="42"/>
      <c r="AE61" s="42"/>
      <c r="AF61" s="42"/>
      <c r="AG61" s="42"/>
      <c r="AH61" s="42"/>
      <c r="AI61" s="42"/>
      <c r="AJ61" s="42"/>
    </row>
    <row r="62">
      <c r="A62" s="7" t="s">
        <v>483</v>
      </c>
      <c r="B62" s="7" t="s">
        <v>484</v>
      </c>
      <c r="C62" s="7" t="s">
        <v>485</v>
      </c>
      <c r="D62" s="7"/>
      <c r="E62" s="7"/>
      <c r="F62" s="9" t="s">
        <v>486</v>
      </c>
      <c r="G62" s="7"/>
      <c r="H62" s="7" t="s">
        <v>68</v>
      </c>
      <c r="I62" s="7" t="s">
        <v>487</v>
      </c>
      <c r="J62" s="7" t="s">
        <v>68</v>
      </c>
      <c r="K62" s="7" t="s">
        <v>488</v>
      </c>
      <c r="L62" s="26">
        <f t="shared" si="1"/>
        <v>0</v>
      </c>
      <c r="M62" s="28">
        <f>IFERROR(__xludf.DUMMYFUNCTION("IF(Account!$F62&lt;&gt;"""", VALUE(REGEXREPLACE($I62, ""\,"", ""."")), """")"),973.13)</f>
        <v>973.13</v>
      </c>
      <c r="N62" s="31">
        <f>IF(Account!$F62&lt;&gt;"", DATEVALUE(MID($A62,4,3) &amp; LEFT($A62,3) &amp; RIGHT($A62,4)) + TIMEVALUE($B62), "")</f>
        <v>43566.28472</v>
      </c>
      <c r="O62" s="33">
        <f>IF(Account!$F62&lt;&gt;"", DATEVALUE(MID($A62,4,3) &amp; LEFT($A62,3) &amp; RIGHT($A62,4)), "")</f>
        <v>43566</v>
      </c>
      <c r="P62" s="34" t="str">
        <f>IFERROR(VLOOKUP($Q62,Selection!$F:$G,2,false))</f>
        <v/>
      </c>
      <c r="Q62" s="36" t="str">
        <f>IF(AND($X62="change",$H62="EUR"),IF(AND($Z62="Crédit",$N62=$N63),$Q63,IF(AND($Z62="Débit",$N62=$N61),$Q61)),IF(OR(AND(OR($E62&lt;&gt;"",$L62=""),$M62&lt;&gt;0),$A62=""),IFERROR(VLOOKUP($E62,Selection!$E:$F,2,false)),IFERROR(VLOOKUP(SUBSTITUTE($I62,"-","",1),$K63:$Q1119,7,false),VLOOKUP($K62,$K63:$Q1119,7,false))))</f>
        <v>#N/A</v>
      </c>
      <c r="R62" s="34" t="str">
        <f t="shared" si="2"/>
        <v>#N/A</v>
      </c>
      <c r="S62" s="37" t="str">
        <f t="shared" si="3"/>
        <v/>
      </c>
      <c r="T62" s="38" t="str">
        <f t="shared" si="4"/>
        <v/>
      </c>
      <c r="U62" s="28" t="str">
        <f t="shared" si="5"/>
        <v>#N/A</v>
      </c>
      <c r="V62" s="39" t="str">
        <f>IFERROR(__xludf.DUMMYFUNCTION(" IF(Account!$F62&lt;&gt;"""", SPLIT(Account!$F62, "" ""), """")"),"Operation")</f>
        <v>Operation</v>
      </c>
      <c r="W62" s="42" t="str">
        <f>IFERROR(__xludf.DUMMYFUNCTION("""COMPUTED_VALUE"""),"de")</f>
        <v>de</v>
      </c>
      <c r="X62" s="42" t="str">
        <f>IFERROR(__xludf.DUMMYFUNCTION("""COMPUTED_VALUE"""),"change")</f>
        <v>change</v>
      </c>
      <c r="Y62" s="42" t="str">
        <f>IFERROR(__xludf.DUMMYFUNCTION("""COMPUTED_VALUE"""),"-")</f>
        <v>-</v>
      </c>
      <c r="Z62" s="42" t="str">
        <f>IFERROR(__xludf.DUMMYFUNCTION("""COMPUTED_VALUE"""),"Crédit")</f>
        <v>Crédit</v>
      </c>
      <c r="AA62" s="42"/>
      <c r="AB62" s="42"/>
      <c r="AC62" s="42"/>
      <c r="AD62" s="42"/>
      <c r="AE62" s="42"/>
      <c r="AF62" s="42"/>
      <c r="AG62" s="42"/>
      <c r="AH62" s="42"/>
      <c r="AI62" s="42"/>
      <c r="AJ62" s="42"/>
    </row>
    <row r="63">
      <c r="A63" s="7" t="s">
        <v>483</v>
      </c>
      <c r="B63" s="7" t="s">
        <v>484</v>
      </c>
      <c r="C63" s="7" t="s">
        <v>485</v>
      </c>
      <c r="D63" s="7"/>
      <c r="E63" s="7"/>
      <c r="F63" s="9" t="s">
        <v>490</v>
      </c>
      <c r="G63" s="7" t="s">
        <v>491</v>
      </c>
      <c r="H63" s="7" t="s">
        <v>492</v>
      </c>
      <c r="I63" s="7" t="s">
        <v>493</v>
      </c>
      <c r="J63" s="7" t="s">
        <v>492</v>
      </c>
      <c r="K63" s="7" t="s">
        <v>494</v>
      </c>
      <c r="L63" s="26">
        <f t="shared" si="1"/>
        <v>0</v>
      </c>
      <c r="M63" s="28">
        <f>IFERROR(__xludf.DUMMYFUNCTION("IF(Account!$F63&lt;&gt;"""", VALUE(REGEXREPLACE($I63, ""\,"", ""."")), """")"),-1098.21)</f>
        <v>-1098.21</v>
      </c>
      <c r="N63" s="31">
        <f>IF(Account!$F63&lt;&gt;"", DATEVALUE(MID($A63,4,3) &amp; LEFT($A63,3) &amp; RIGHT($A63,4)) + TIMEVALUE($B63), "")</f>
        <v>43566.28472</v>
      </c>
      <c r="O63" s="33">
        <f>IF(Account!$F63&lt;&gt;"", DATEVALUE(MID($A63,4,3) &amp; LEFT($A63,3) &amp; RIGHT($A63,4)), "")</f>
        <v>43566</v>
      </c>
      <c r="P63" s="34" t="str">
        <f>IFERROR(VLOOKUP($Q63,Selection!$F:$G,2,false))</f>
        <v/>
      </c>
      <c r="Q63" s="36" t="str">
        <f>IF(AND($X63="change",$H63="EUR"),IF(AND($Z63="Crédit",$N63=$N64),$Q64,IF(AND($Z63="Débit",$N63=$N62),$Q62)),IF(OR(AND(OR($E63&lt;&gt;"",$L63=""),$M63&lt;&gt;0),$A63=""),IFERROR(VLOOKUP($E63,Selection!$E:$F,2,false)),IFERROR(VLOOKUP(SUBSTITUTE($I63,"-","",1),$K64:$Q1119,7,false),VLOOKUP($K63,$K64:$Q1119,7,false))))</f>
        <v>#N/A</v>
      </c>
      <c r="R63" s="34" t="str">
        <f t="shared" si="2"/>
        <v>#N/A</v>
      </c>
      <c r="S63" s="37" t="str">
        <f t="shared" si="3"/>
        <v/>
      </c>
      <c r="T63" s="38" t="str">
        <f t="shared" si="4"/>
        <v/>
      </c>
      <c r="U63" s="28" t="str">
        <f t="shared" si="5"/>
        <v>#N/A</v>
      </c>
      <c r="V63" s="39" t="str">
        <f>IFERROR(__xludf.DUMMYFUNCTION(" IF(Account!$F63&lt;&gt;"""", SPLIT(Account!$F63, "" ""), """")"),"Opération")</f>
        <v>Opération</v>
      </c>
      <c r="W63" s="42" t="str">
        <f>IFERROR(__xludf.DUMMYFUNCTION("""COMPUTED_VALUE"""),"de")</f>
        <v>de</v>
      </c>
      <c r="X63" s="42" t="str">
        <f>IFERROR(__xludf.DUMMYFUNCTION("""COMPUTED_VALUE"""),"change")</f>
        <v>change</v>
      </c>
      <c r="Y63" s="42" t="str">
        <f>IFERROR(__xludf.DUMMYFUNCTION("""COMPUTED_VALUE"""),"-")</f>
        <v>-</v>
      </c>
      <c r="Z63" s="42" t="str">
        <f>IFERROR(__xludf.DUMMYFUNCTION("""COMPUTED_VALUE"""),"Débit")</f>
        <v>Débit</v>
      </c>
      <c r="AA63" s="42"/>
      <c r="AB63" s="42"/>
      <c r="AC63" s="42"/>
      <c r="AD63" s="42"/>
      <c r="AE63" s="42"/>
      <c r="AF63" s="42"/>
      <c r="AG63" s="42"/>
      <c r="AH63" s="42"/>
      <c r="AI63" s="42"/>
      <c r="AJ63" s="42"/>
    </row>
    <row r="64">
      <c r="A64" s="7"/>
      <c r="B64" s="7"/>
      <c r="C64" s="7"/>
      <c r="D64" s="7"/>
      <c r="E64" s="7"/>
      <c r="F64" s="9"/>
      <c r="G64" s="7"/>
      <c r="H64" s="7"/>
      <c r="I64" s="7"/>
      <c r="J64" s="7"/>
      <c r="K64" s="7"/>
      <c r="L64" s="26" t="str">
        <f t="shared" si="1"/>
        <v/>
      </c>
      <c r="M64" s="28" t="str">
        <f>IFERROR(__xludf.DUMMYFUNCTION("IF(Account!$F64&lt;&gt;"""", VALUE(REGEXREPLACE($I64, ""\,"", ""."")), """")"),"")</f>
        <v/>
      </c>
      <c r="N64" s="31" t="str">
        <f>IF(Account!$F64&lt;&gt;"", DATEVALUE(MID($A64,4,3) &amp; LEFT($A64,3) &amp; RIGHT($A64,4)) + TIMEVALUE($B64), "")</f>
        <v/>
      </c>
      <c r="O64" s="33" t="str">
        <f>IF(Account!$F64&lt;&gt;"", DATEVALUE(MID($A64,4,3) &amp; LEFT($A64,3) &amp; RIGHT($A64,4)), "")</f>
        <v/>
      </c>
      <c r="P64" s="34" t="str">
        <f>IFERROR(VLOOKUP($Q64,Selection!$F:$G,2,false))</f>
        <v/>
      </c>
      <c r="Q64" s="36" t="str">
        <f>IF(AND($X64="change",$H64="EUR"),IF(AND($Z64="Crédit",$N64=$N65),$Q65,IF(AND($Z64="Débit",$N64=$N63),$Q63)),IF(OR(AND(OR($E64&lt;&gt;"",$L64=""),$M64&lt;&gt;0),$A64=""),IFERROR(VLOOKUP($E64,Selection!$E:$F,2,false)),IFERROR(VLOOKUP(SUBSTITUTE($I64,"-","",1),$K65:$Q1119,7,false),VLOOKUP($K64,$K65:$Q1119,7,false))))</f>
        <v/>
      </c>
      <c r="R64" s="34" t="str">
        <f t="shared" si="2"/>
        <v/>
      </c>
      <c r="S64" s="37" t="str">
        <f t="shared" si="3"/>
        <v/>
      </c>
      <c r="T64" s="38" t="str">
        <f t="shared" si="4"/>
        <v/>
      </c>
      <c r="U64" s="28" t="str">
        <f t="shared" si="5"/>
        <v/>
      </c>
      <c r="V64" s="39" t="str">
        <f>IFERROR(__xludf.DUMMYFUNCTION(" IF(Account!$F64&lt;&gt;"""", SPLIT(Account!$F64, "" ""), """")"),"")</f>
        <v/>
      </c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</row>
    <row r="65">
      <c r="A65" s="7"/>
      <c r="B65" s="7"/>
      <c r="C65" s="7"/>
      <c r="D65" s="7"/>
      <c r="E65" s="7"/>
      <c r="F65" s="9"/>
      <c r="G65" s="7"/>
      <c r="H65" s="7"/>
      <c r="I65" s="7"/>
      <c r="J65" s="7"/>
      <c r="K65" s="7"/>
      <c r="L65" s="26" t="str">
        <f t="shared" si="1"/>
        <v/>
      </c>
      <c r="M65" s="28" t="str">
        <f>IFERROR(__xludf.DUMMYFUNCTION("IF(Account!$F65&lt;&gt;"""", VALUE(REGEXREPLACE($I65, ""\,"", ""."")), """")"),"")</f>
        <v/>
      </c>
      <c r="N65" s="31" t="str">
        <f>IF(Account!$F65&lt;&gt;"", DATEVALUE(MID($A65,4,3) &amp; LEFT($A65,3) &amp; RIGHT($A65,4)) + TIMEVALUE($B65), "")</f>
        <v/>
      </c>
      <c r="O65" s="33" t="str">
        <f>IF(Account!$F65&lt;&gt;"", DATEVALUE(MID($A65,4,3) &amp; LEFT($A65,3) &amp; RIGHT($A65,4)), "")</f>
        <v/>
      </c>
      <c r="P65" s="34" t="str">
        <f>IFERROR(VLOOKUP($Q65,Selection!$F:$G,2,false))</f>
        <v/>
      </c>
      <c r="Q65" s="36" t="str">
        <f>IF(AND($X65="change",$H65="EUR"),IF(AND($Z65="Crédit",$N65=$N66),$Q66,IF(AND($Z65="Débit",$N65=$N64),$Q64)),IF(OR(AND(OR($E65&lt;&gt;"",$L65=""),$M65&lt;&gt;0),$A65=""),IFERROR(VLOOKUP($E65,Selection!$E:$F,2,false)),IFERROR(VLOOKUP(SUBSTITUTE($I65,"-","",1),$K66:$Q1119,7,false),VLOOKUP($K65,$K66:$Q1119,7,false))))</f>
        <v/>
      </c>
      <c r="R65" s="34" t="str">
        <f t="shared" si="2"/>
        <v/>
      </c>
      <c r="S65" s="37" t="str">
        <f t="shared" si="3"/>
        <v/>
      </c>
      <c r="T65" s="38" t="str">
        <f t="shared" si="4"/>
        <v/>
      </c>
      <c r="U65" s="28" t="str">
        <f t="shared" si="5"/>
        <v/>
      </c>
      <c r="V65" s="39" t="str">
        <f>IFERROR(__xludf.DUMMYFUNCTION(" IF(Account!$F65&lt;&gt;"""", SPLIT(Account!$F65, "" ""), """")"),"")</f>
        <v/>
      </c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</row>
    <row r="66">
      <c r="A66" s="7"/>
      <c r="B66" s="7"/>
      <c r="C66" s="7"/>
      <c r="D66" s="7"/>
      <c r="E66" s="7"/>
      <c r="F66" s="9"/>
      <c r="G66" s="7"/>
      <c r="H66" s="7"/>
      <c r="I66" s="7"/>
      <c r="J66" s="7"/>
      <c r="K66" s="7"/>
      <c r="L66" s="26" t="str">
        <f t="shared" si="1"/>
        <v/>
      </c>
      <c r="M66" s="28" t="str">
        <f>IFERROR(__xludf.DUMMYFUNCTION("IF(Account!$F66&lt;&gt;"""", VALUE(REGEXREPLACE($I66, ""\,"", ""."")), """")"),"")</f>
        <v/>
      </c>
      <c r="N66" s="31" t="str">
        <f>IF(Account!$F66&lt;&gt;"", DATEVALUE(MID($A66,4,3) &amp; LEFT($A66,3) &amp; RIGHT($A66,4)) + TIMEVALUE($B66), "")</f>
        <v/>
      </c>
      <c r="O66" s="33" t="str">
        <f>IF(Account!$F66&lt;&gt;"", DATEVALUE(MID($A66,4,3) &amp; LEFT($A66,3) &amp; RIGHT($A66,4)), "")</f>
        <v/>
      </c>
      <c r="P66" s="34" t="str">
        <f>IFERROR(VLOOKUP($Q66,Selection!$F:$G,2,false))</f>
        <v/>
      </c>
      <c r="Q66" s="36" t="str">
        <f>IF(AND($X66="change",$H66="EUR"),IF(AND($Z66="Crédit",$N66=$N67),$Q67,IF(AND($Z66="Débit",$N66=$N65),$Q65)),IF(OR(AND(OR($E66&lt;&gt;"",$L66=""),$M66&lt;&gt;0),$A66=""),IFERROR(VLOOKUP($E66,Selection!$E:$F,2,false)),IFERROR(VLOOKUP(SUBSTITUTE($I66,"-","",1),$K67:$Q1119,7,false),VLOOKUP($K66,$K67:$Q1119,7,false))))</f>
        <v/>
      </c>
      <c r="R66" s="34" t="str">
        <f t="shared" si="2"/>
        <v/>
      </c>
      <c r="S66" s="37" t="str">
        <f t="shared" si="3"/>
        <v/>
      </c>
      <c r="T66" s="38" t="str">
        <f t="shared" si="4"/>
        <v/>
      </c>
      <c r="U66" s="28" t="str">
        <f t="shared" si="5"/>
        <v/>
      </c>
      <c r="V66" s="39" t="str">
        <f>IFERROR(__xludf.DUMMYFUNCTION(" IF(Account!$F66&lt;&gt;"""", SPLIT(Account!$F66, "" ""), """")"),"")</f>
        <v/>
      </c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</row>
    <row r="67">
      <c r="A67" s="7"/>
      <c r="B67" s="7"/>
      <c r="C67" s="7"/>
      <c r="D67" s="7"/>
      <c r="E67" s="7"/>
      <c r="F67" s="9"/>
      <c r="G67" s="7"/>
      <c r="H67" s="7"/>
      <c r="I67" s="7"/>
      <c r="J67" s="7"/>
      <c r="K67" s="7"/>
      <c r="L67" s="26" t="str">
        <f t="shared" si="1"/>
        <v/>
      </c>
      <c r="M67" s="28" t="str">
        <f>IFERROR(__xludf.DUMMYFUNCTION("IF(Account!$F67&lt;&gt;"""", VALUE(REGEXREPLACE($I67, ""\,"", ""."")), """")"),"")</f>
        <v/>
      </c>
      <c r="N67" s="31" t="str">
        <f>IF(Account!$F67&lt;&gt;"", DATEVALUE(MID($A67,4,3) &amp; LEFT($A67,3) &amp; RIGHT($A67,4)) + TIMEVALUE($B67), "")</f>
        <v/>
      </c>
      <c r="O67" s="33" t="str">
        <f>IF(Account!$F67&lt;&gt;"", DATEVALUE(MID($A67,4,3) &amp; LEFT($A67,3) &amp; RIGHT($A67,4)), "")</f>
        <v/>
      </c>
      <c r="P67" s="34" t="str">
        <f>IFERROR(VLOOKUP($Q67,Selection!$F:$G,2,false))</f>
        <v/>
      </c>
      <c r="Q67" s="36" t="str">
        <f>IF(AND($X67="change",$H67="EUR"),IF(AND($Z67="Crédit",$N67=$N68),$Q68,IF(AND($Z67="Débit",$N67=$N66),$Q66)),IF(OR(AND(OR($E67&lt;&gt;"",$L67=""),$M67&lt;&gt;0),$A67=""),IFERROR(VLOOKUP($E67,Selection!$E:$F,2,false)),IFERROR(VLOOKUP(SUBSTITUTE($I67,"-","",1),$K68:$Q1119,7,false),VLOOKUP($K67,$K68:$Q1119,7,false))))</f>
        <v/>
      </c>
      <c r="R67" s="34" t="str">
        <f t="shared" si="2"/>
        <v/>
      </c>
      <c r="S67" s="37" t="str">
        <f t="shared" si="3"/>
        <v/>
      </c>
      <c r="T67" s="38" t="str">
        <f t="shared" si="4"/>
        <v/>
      </c>
      <c r="U67" s="28" t="str">
        <f t="shared" si="5"/>
        <v/>
      </c>
      <c r="V67" s="39" t="str">
        <f>IFERROR(__xludf.DUMMYFUNCTION(" IF(Account!$F67&lt;&gt;"""", SPLIT(Account!$F67, "" ""), """")"),"")</f>
        <v/>
      </c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>
      <c r="A68" s="7"/>
      <c r="B68" s="7"/>
      <c r="C68" s="7"/>
      <c r="D68" s="7"/>
      <c r="E68" s="7"/>
      <c r="F68" s="9"/>
      <c r="G68" s="7"/>
      <c r="H68" s="7"/>
      <c r="I68" s="7"/>
      <c r="J68" s="7"/>
      <c r="K68" s="7"/>
      <c r="L68" s="26" t="str">
        <f t="shared" si="1"/>
        <v/>
      </c>
      <c r="M68" s="28" t="str">
        <f>IFERROR(__xludf.DUMMYFUNCTION("IF(Account!$F68&lt;&gt;"""", VALUE(REGEXREPLACE($I68, ""\,"", ""."")), """")"),"")</f>
        <v/>
      </c>
      <c r="N68" s="31" t="str">
        <f>IF(Account!$F68&lt;&gt;"", DATEVALUE(MID($A68,4,3) &amp; LEFT($A68,3) &amp; RIGHT($A68,4)) + TIMEVALUE($B68), "")</f>
        <v/>
      </c>
      <c r="O68" s="33" t="str">
        <f>IF(Account!$F68&lt;&gt;"", DATEVALUE(MID($A68,4,3) &amp; LEFT($A68,3) &amp; RIGHT($A68,4)), "")</f>
        <v/>
      </c>
      <c r="P68" s="34" t="str">
        <f>IFERROR(VLOOKUP($Q68,Selection!$F:$G,2,false))</f>
        <v/>
      </c>
      <c r="Q68" s="36" t="str">
        <f>IF(AND($X68="change",$H68="EUR"),IF(AND($Z68="Crédit",$N68=$N69),$Q69,IF(AND($Z68="Débit",$N68=$N67),$Q67)),IF(OR(AND(OR($E68&lt;&gt;"",$L68=""),$M68&lt;&gt;0),$A68=""),IFERROR(VLOOKUP($E68,Selection!$E:$F,2,false)),IFERROR(VLOOKUP(SUBSTITUTE($I68,"-","",1),$K69:$Q1119,7,false),VLOOKUP($K68,$K69:$Q1119,7,false))))</f>
        <v/>
      </c>
      <c r="R68" s="34" t="str">
        <f t="shared" si="2"/>
        <v/>
      </c>
      <c r="S68" s="37" t="str">
        <f t="shared" si="3"/>
        <v/>
      </c>
      <c r="T68" s="38" t="str">
        <f t="shared" si="4"/>
        <v/>
      </c>
      <c r="U68" s="28" t="str">
        <f t="shared" si="5"/>
        <v/>
      </c>
      <c r="V68" s="39" t="str">
        <f>IFERROR(__xludf.DUMMYFUNCTION(" IF(Account!$F68&lt;&gt;"""", SPLIT(Account!$F68, "" ""), """")"),"")</f>
        <v/>
      </c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</row>
    <row r="69">
      <c r="A69" s="7"/>
      <c r="B69" s="7"/>
      <c r="C69" s="7"/>
      <c r="D69" s="7"/>
      <c r="E69" s="7"/>
      <c r="F69" s="9"/>
      <c r="G69" s="7"/>
      <c r="H69" s="7"/>
      <c r="I69" s="7"/>
      <c r="J69" s="7"/>
      <c r="K69" s="7"/>
      <c r="L69" s="26" t="str">
        <f t="shared" si="1"/>
        <v/>
      </c>
      <c r="M69" s="28" t="str">
        <f>IFERROR(__xludf.DUMMYFUNCTION("IF(Account!$F69&lt;&gt;"""", VALUE(REGEXREPLACE($I69, ""\,"", ""."")), """")"),"")</f>
        <v/>
      </c>
      <c r="N69" s="31" t="str">
        <f>IF(Account!$F69&lt;&gt;"", DATEVALUE(MID($A69,4,3) &amp; LEFT($A69,3) &amp; RIGHT($A69,4)) + TIMEVALUE($B69), "")</f>
        <v/>
      </c>
      <c r="O69" s="33" t="str">
        <f>IF(Account!$F69&lt;&gt;"", DATEVALUE(MID($A69,4,3) &amp; LEFT($A69,3) &amp; RIGHT($A69,4)), "")</f>
        <v/>
      </c>
      <c r="P69" s="34" t="str">
        <f>IFERROR(VLOOKUP($Q69,Selection!$F:$G,2,false))</f>
        <v/>
      </c>
      <c r="Q69" s="36" t="str">
        <f>IF(AND($X69="change",$H69="EUR"),IF(AND($Z69="Crédit",$N69=$N70),$Q70,IF(AND($Z69="Débit",$N69=$N68),$Q68)),IF(OR(AND(OR($E69&lt;&gt;"",$L69=""),$M69&lt;&gt;0),$A69=""),IFERROR(VLOOKUP($E69,Selection!$E:$F,2,false)),IFERROR(VLOOKUP(SUBSTITUTE($I69,"-","",1),$K70:$Q1119,7,false),VLOOKUP($K69,$K70:$Q1119,7,false))))</f>
        <v/>
      </c>
      <c r="R69" s="34" t="str">
        <f t="shared" si="2"/>
        <v/>
      </c>
      <c r="S69" s="37" t="str">
        <f t="shared" si="3"/>
        <v/>
      </c>
      <c r="T69" s="38" t="str">
        <f t="shared" si="4"/>
        <v/>
      </c>
      <c r="U69" s="28" t="str">
        <f t="shared" si="5"/>
        <v/>
      </c>
      <c r="V69" s="39" t="str">
        <f>IFERROR(__xludf.DUMMYFUNCTION(" IF(Account!$F69&lt;&gt;"""", SPLIT(Account!$F69, "" ""), """")"),"")</f>
        <v/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</row>
    <row r="70">
      <c r="A70" s="7"/>
      <c r="B70" s="7"/>
      <c r="C70" s="7"/>
      <c r="D70" s="7"/>
      <c r="E70" s="7"/>
      <c r="F70" s="9"/>
      <c r="G70" s="7"/>
      <c r="H70" s="7"/>
      <c r="I70" s="7"/>
      <c r="J70" s="7"/>
      <c r="K70" s="7"/>
      <c r="L70" s="26" t="str">
        <f t="shared" si="1"/>
        <v/>
      </c>
      <c r="M70" s="28" t="str">
        <f>IFERROR(__xludf.DUMMYFUNCTION("IF(Account!$F70&lt;&gt;"""", VALUE(REGEXREPLACE($I70, ""\,"", ""."")), """")"),"")</f>
        <v/>
      </c>
      <c r="N70" s="31" t="str">
        <f>IF(Account!$F70&lt;&gt;"", DATEVALUE(MID($A70,4,3) &amp; LEFT($A70,3) &amp; RIGHT($A70,4)) + TIMEVALUE($B70), "")</f>
        <v/>
      </c>
      <c r="O70" s="33" t="str">
        <f>IF(Account!$F70&lt;&gt;"", DATEVALUE(MID($A70,4,3) &amp; LEFT($A70,3) &amp; RIGHT($A70,4)), "")</f>
        <v/>
      </c>
      <c r="P70" s="34" t="str">
        <f>IFERROR(VLOOKUP($Q70,Selection!$F:$G,2,false))</f>
        <v/>
      </c>
      <c r="Q70" s="36" t="str">
        <f>IF(AND($X70="change",$H70="EUR"),IF(AND($Z70="Crédit",$N70=$N71),$Q71,IF(AND($Z70="Débit",$N70=$N69),$Q69)),IF(OR(AND(OR($E70&lt;&gt;"",$L70=""),$M70&lt;&gt;0),$A70=""),IFERROR(VLOOKUP($E70,Selection!$E:$F,2,false)),IFERROR(VLOOKUP(SUBSTITUTE($I70,"-","",1),$K71:$Q1119,7,false),VLOOKUP($K70,$K71:$Q1119,7,false))))</f>
        <v/>
      </c>
      <c r="R70" s="34" t="str">
        <f t="shared" si="2"/>
        <v/>
      </c>
      <c r="S70" s="37" t="str">
        <f t="shared" si="3"/>
        <v/>
      </c>
      <c r="T70" s="38" t="str">
        <f t="shared" si="4"/>
        <v/>
      </c>
      <c r="U70" s="28" t="str">
        <f t="shared" si="5"/>
        <v/>
      </c>
      <c r="V70" s="39" t="str">
        <f>IFERROR(__xludf.DUMMYFUNCTION(" IF(Account!$F70&lt;&gt;"""", SPLIT(Account!$F70, "" ""), """")"),"")</f>
        <v/>
      </c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</row>
    <row r="71">
      <c r="A71" s="7"/>
      <c r="B71" s="7"/>
      <c r="C71" s="7"/>
      <c r="D71" s="7"/>
      <c r="E71" s="7"/>
      <c r="F71" s="9"/>
      <c r="G71" s="7"/>
      <c r="H71" s="7"/>
      <c r="I71" s="7"/>
      <c r="J71" s="7"/>
      <c r="K71" s="7"/>
      <c r="L71" s="26" t="str">
        <f t="shared" si="1"/>
        <v/>
      </c>
      <c r="M71" s="28" t="str">
        <f>IFERROR(__xludf.DUMMYFUNCTION("IF(Account!$F71&lt;&gt;"""", VALUE(REGEXREPLACE($I71, ""\,"", ""."")), """")"),"")</f>
        <v/>
      </c>
      <c r="N71" s="31" t="str">
        <f>IF(Account!$F71&lt;&gt;"", DATEVALUE(MID($A71,4,3) &amp; LEFT($A71,3) &amp; RIGHT($A71,4)) + TIMEVALUE($B71), "")</f>
        <v/>
      </c>
      <c r="O71" s="33" t="str">
        <f>IF(Account!$F71&lt;&gt;"", DATEVALUE(MID($A71,4,3) &amp; LEFT($A71,3) &amp; RIGHT($A71,4)), "")</f>
        <v/>
      </c>
      <c r="P71" s="34" t="str">
        <f>IFERROR(VLOOKUP($Q71,Selection!$F:$G,2,false))</f>
        <v/>
      </c>
      <c r="Q71" s="36" t="str">
        <f>IF(AND($X71="change",$H71="EUR"),IF(AND($Z71="Crédit",$N71=$N72),$Q72,IF(AND($Z71="Débit",$N71=$N70),$Q70)),IF(OR(AND(OR($E71&lt;&gt;"",$L71=""),$M71&lt;&gt;0),$A71=""),IFERROR(VLOOKUP($E71,Selection!$E:$F,2,false)),IFERROR(VLOOKUP(SUBSTITUTE($I71,"-","",1),$K72:$Q1119,7,false),VLOOKUP($K71,$K72:$Q1119,7,false))))</f>
        <v/>
      </c>
      <c r="R71" s="34" t="str">
        <f t="shared" si="2"/>
        <v/>
      </c>
      <c r="S71" s="37" t="str">
        <f t="shared" si="3"/>
        <v/>
      </c>
      <c r="T71" s="38" t="str">
        <f t="shared" si="4"/>
        <v/>
      </c>
      <c r="U71" s="28" t="str">
        <f t="shared" si="5"/>
        <v/>
      </c>
      <c r="V71" s="39" t="str">
        <f>IFERROR(__xludf.DUMMYFUNCTION(" IF(Account!$F71&lt;&gt;"""", SPLIT(Account!$F71, "" ""), """")"),"")</f>
        <v/>
      </c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</row>
    <row r="72">
      <c r="A72" s="7"/>
      <c r="B72" s="7"/>
      <c r="C72" s="7"/>
      <c r="D72" s="7"/>
      <c r="E72" s="7"/>
      <c r="F72" s="9"/>
      <c r="G72" s="7"/>
      <c r="H72" s="7"/>
      <c r="I72" s="7"/>
      <c r="J72" s="7"/>
      <c r="K72" s="7"/>
      <c r="L72" s="26" t="str">
        <f t="shared" si="1"/>
        <v/>
      </c>
      <c r="M72" s="28" t="str">
        <f>IFERROR(__xludf.DUMMYFUNCTION("IF(Account!$F72&lt;&gt;"""", VALUE(REGEXREPLACE($I72, ""\,"", ""."")), """")"),"")</f>
        <v/>
      </c>
      <c r="N72" s="31" t="str">
        <f>IF(Account!$F72&lt;&gt;"", DATEVALUE(MID($A72,4,3) &amp; LEFT($A72,3) &amp; RIGHT($A72,4)) + TIMEVALUE($B72), "")</f>
        <v/>
      </c>
      <c r="O72" s="33" t="str">
        <f>IF(Account!$F72&lt;&gt;"", DATEVALUE(MID($A72,4,3) &amp; LEFT($A72,3) &amp; RIGHT($A72,4)), "")</f>
        <v/>
      </c>
      <c r="P72" s="34" t="str">
        <f>IFERROR(VLOOKUP($Q72,Selection!$F:$G,2,false))</f>
        <v/>
      </c>
      <c r="Q72" s="36" t="str">
        <f>IF(AND($X72="change",$H72="EUR"),IF(AND($Z72="Crédit",$N72=$N73),$Q73,IF(AND($Z72="Débit",$N72=$N71),$Q71)),IF(OR(AND(OR($E72&lt;&gt;"",$L72=""),$M72&lt;&gt;0),$A72=""),IFERROR(VLOOKUP($E72,Selection!$E:$F,2,false)),IFERROR(VLOOKUP(SUBSTITUTE($I72,"-","",1),$K73:$Q1119,7,false),VLOOKUP($K72,$K73:$Q1119,7,false))))</f>
        <v/>
      </c>
      <c r="R72" s="34" t="str">
        <f t="shared" si="2"/>
        <v/>
      </c>
      <c r="S72" s="37" t="str">
        <f t="shared" si="3"/>
        <v/>
      </c>
      <c r="T72" s="38" t="str">
        <f t="shared" si="4"/>
        <v/>
      </c>
      <c r="U72" s="28" t="str">
        <f t="shared" si="5"/>
        <v/>
      </c>
      <c r="V72" s="39" t="str">
        <f>IFERROR(__xludf.DUMMYFUNCTION(" IF(Account!$F72&lt;&gt;"""", SPLIT(Account!$F72, "" ""), """")"),"")</f>
        <v/>
      </c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>
      <c r="A73" s="7"/>
      <c r="B73" s="7"/>
      <c r="C73" s="7"/>
      <c r="D73" s="7"/>
      <c r="E73" s="7"/>
      <c r="F73" s="9"/>
      <c r="G73" s="7"/>
      <c r="H73" s="7"/>
      <c r="I73" s="7"/>
      <c r="J73" s="7"/>
      <c r="K73" s="7"/>
      <c r="L73" s="26" t="str">
        <f t="shared" si="1"/>
        <v/>
      </c>
      <c r="M73" s="28" t="str">
        <f>IFERROR(__xludf.DUMMYFUNCTION("IF(Account!$F73&lt;&gt;"""", VALUE(REGEXREPLACE($I73, ""\,"", ""."")), """")"),"")</f>
        <v/>
      </c>
      <c r="N73" s="31" t="str">
        <f>IF(Account!$F73&lt;&gt;"", DATEVALUE(MID($A73,4,3) &amp; LEFT($A73,3) &amp; RIGHT($A73,4)) + TIMEVALUE($B73), "")</f>
        <v/>
      </c>
      <c r="O73" s="33" t="str">
        <f>IF(Account!$F73&lt;&gt;"", DATEVALUE(MID($A73,4,3) &amp; LEFT($A73,3) &amp; RIGHT($A73,4)), "")</f>
        <v/>
      </c>
      <c r="P73" s="34" t="str">
        <f>IFERROR(VLOOKUP($Q73,Selection!$F:$G,2,false))</f>
        <v/>
      </c>
      <c r="Q73" s="36" t="str">
        <f>IF(AND($X73="change",$H73="EUR"),IF(AND($Z73="Crédit",$N73=$N74),$Q74,IF(AND($Z73="Débit",$N73=$N72),$Q72)),IF(OR(AND(OR($E73&lt;&gt;"",$L73=""),$M73&lt;&gt;0),$A73=""),IFERROR(VLOOKUP($E73,Selection!$E:$F,2,false)),IFERROR(VLOOKUP(SUBSTITUTE($I73,"-","",1),$K74:$Q1119,7,false),VLOOKUP($K73,$K74:$Q1119,7,false))))</f>
        <v/>
      </c>
      <c r="R73" s="34" t="str">
        <f t="shared" si="2"/>
        <v/>
      </c>
      <c r="S73" s="37" t="str">
        <f t="shared" si="3"/>
        <v/>
      </c>
      <c r="T73" s="38" t="str">
        <f t="shared" si="4"/>
        <v/>
      </c>
      <c r="U73" s="28" t="str">
        <f t="shared" si="5"/>
        <v/>
      </c>
      <c r="V73" s="39" t="str">
        <f>IFERROR(__xludf.DUMMYFUNCTION(" IF(Account!$F73&lt;&gt;"""", SPLIT(Account!$F73, "" ""), """")"),"")</f>
        <v/>
      </c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>
      <c r="A74" s="7"/>
      <c r="B74" s="7"/>
      <c r="C74" s="7"/>
      <c r="D74" s="7"/>
      <c r="E74" s="7"/>
      <c r="F74" s="9"/>
      <c r="G74" s="7"/>
      <c r="H74" s="7"/>
      <c r="I74" s="7"/>
      <c r="J74" s="7"/>
      <c r="K74" s="7"/>
      <c r="L74" s="26" t="str">
        <f t="shared" si="1"/>
        <v/>
      </c>
      <c r="M74" s="28" t="str">
        <f>IFERROR(__xludf.DUMMYFUNCTION("IF(Account!$F74&lt;&gt;"""", VALUE(REGEXREPLACE($I74, ""\,"", ""."")), """")"),"")</f>
        <v/>
      </c>
      <c r="N74" s="31" t="str">
        <f>IF(Account!$F74&lt;&gt;"", DATEVALUE(MID($A74,4,3) &amp; LEFT($A74,3) &amp; RIGHT($A74,4)) + TIMEVALUE($B74), "")</f>
        <v/>
      </c>
      <c r="O74" s="33" t="str">
        <f>IF(Account!$F74&lt;&gt;"", DATEVALUE(MID($A74,4,3) &amp; LEFT($A74,3) &amp; RIGHT($A74,4)), "")</f>
        <v/>
      </c>
      <c r="P74" s="34" t="str">
        <f>IFERROR(VLOOKUP($Q74,Selection!$F:$G,2,false))</f>
        <v/>
      </c>
      <c r="Q74" s="36" t="str">
        <f>IF(AND($X74="change",$H74="EUR"),IF(AND($Z74="Crédit",$N74=$N75),$Q75,IF(AND($Z74="Débit",$N74=$N73),$Q73)),IF(OR(AND(OR($E74&lt;&gt;"",$L74=""),$M74&lt;&gt;0),$A74=""),IFERROR(VLOOKUP($E74,Selection!$E:$F,2,false)),IFERROR(VLOOKUP(SUBSTITUTE($I74,"-","",1),$K75:$Q1119,7,false),VLOOKUP($K74,$K75:$Q1119,7,false))))</f>
        <v/>
      </c>
      <c r="R74" s="34" t="str">
        <f t="shared" si="2"/>
        <v/>
      </c>
      <c r="S74" s="37" t="str">
        <f t="shared" si="3"/>
        <v/>
      </c>
      <c r="T74" s="38" t="str">
        <f t="shared" si="4"/>
        <v/>
      </c>
      <c r="U74" s="28" t="str">
        <f t="shared" si="5"/>
        <v/>
      </c>
      <c r="V74" s="39" t="str">
        <f>IFERROR(__xludf.DUMMYFUNCTION(" IF(Account!$F74&lt;&gt;"""", SPLIT(Account!$F74, "" ""), """")"),"")</f>
        <v/>
      </c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>
      <c r="A75" s="7"/>
      <c r="B75" s="7"/>
      <c r="C75" s="7"/>
      <c r="D75" s="7"/>
      <c r="E75" s="7"/>
      <c r="F75" s="9"/>
      <c r="G75" s="7"/>
      <c r="H75" s="7"/>
      <c r="I75" s="7"/>
      <c r="J75" s="7"/>
      <c r="K75" s="7"/>
      <c r="L75" s="26" t="str">
        <f t="shared" si="1"/>
        <v/>
      </c>
      <c r="M75" s="28" t="str">
        <f>IFERROR(__xludf.DUMMYFUNCTION("IF(Account!$F75&lt;&gt;"""", VALUE(REGEXREPLACE($I75, ""\,"", ""."")), """")"),"")</f>
        <v/>
      </c>
      <c r="N75" s="31" t="str">
        <f>IF(Account!$F75&lt;&gt;"", DATEVALUE(MID($A75,4,3) &amp; LEFT($A75,3) &amp; RIGHT($A75,4)) + TIMEVALUE($B75), "")</f>
        <v/>
      </c>
      <c r="O75" s="33" t="str">
        <f>IF(Account!$F75&lt;&gt;"", DATEVALUE(MID($A75,4,3) &amp; LEFT($A75,3) &amp; RIGHT($A75,4)), "")</f>
        <v/>
      </c>
      <c r="P75" s="34" t="str">
        <f>IFERROR(VLOOKUP($Q75,Selection!$F:$G,2,false))</f>
        <v/>
      </c>
      <c r="Q75" s="36" t="str">
        <f>IF(AND($X75="change",$H75="EUR"),IF(AND($Z75="Crédit",$N75=$N76),$Q76,IF(AND($Z75="Débit",$N75=$N74),$Q74)),IF(OR(AND(OR($E75&lt;&gt;"",$L75=""),$M75&lt;&gt;0),$A75=""),IFERROR(VLOOKUP($E75,Selection!$E:$F,2,false)),IFERROR(VLOOKUP(SUBSTITUTE($I75,"-","",1),$K76:$Q1119,7,false),VLOOKUP($K75,$K76:$Q1119,7,false))))</f>
        <v/>
      </c>
      <c r="R75" s="34" t="str">
        <f t="shared" si="2"/>
        <v/>
      </c>
      <c r="S75" s="37" t="str">
        <f t="shared" si="3"/>
        <v/>
      </c>
      <c r="T75" s="38" t="str">
        <f t="shared" si="4"/>
        <v/>
      </c>
      <c r="U75" s="28" t="str">
        <f t="shared" si="5"/>
        <v/>
      </c>
      <c r="V75" s="39" t="str">
        <f>IFERROR(__xludf.DUMMYFUNCTION(" IF(Account!$F75&lt;&gt;"""", SPLIT(Account!$F75, "" ""), """")"),"")</f>
        <v/>
      </c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>
      <c r="A76" s="7"/>
      <c r="B76" s="7"/>
      <c r="C76" s="7"/>
      <c r="D76" s="7"/>
      <c r="E76" s="7"/>
      <c r="F76" s="9"/>
      <c r="G76" s="7"/>
      <c r="H76" s="7"/>
      <c r="I76" s="7"/>
      <c r="J76" s="7"/>
      <c r="K76" s="7"/>
      <c r="L76" s="26" t="str">
        <f t="shared" si="1"/>
        <v/>
      </c>
      <c r="M76" s="28" t="str">
        <f>IFERROR(__xludf.DUMMYFUNCTION("IF(Account!$F76&lt;&gt;"""", VALUE(REGEXREPLACE($I76, ""\,"", ""."")), """")"),"")</f>
        <v/>
      </c>
      <c r="N76" s="31" t="str">
        <f>IF(Account!$F76&lt;&gt;"", DATEVALUE(MID($A76,4,3) &amp; LEFT($A76,3) &amp; RIGHT($A76,4)) + TIMEVALUE($B76), "")</f>
        <v/>
      </c>
      <c r="O76" s="33" t="str">
        <f>IF(Account!$F76&lt;&gt;"", DATEVALUE(MID($A76,4,3) &amp; LEFT($A76,3) &amp; RIGHT($A76,4)), "")</f>
        <v/>
      </c>
      <c r="P76" s="34" t="str">
        <f>IFERROR(VLOOKUP($Q76,Selection!$F:$G,2,false))</f>
        <v/>
      </c>
      <c r="Q76" s="36" t="str">
        <f>IF(AND($X76="change",$H76="EUR"),IF(AND($Z76="Crédit",$N76=$N77),$Q77,IF(AND($Z76="Débit",$N76=$N75),$Q75)),IF(OR(AND(OR($E76&lt;&gt;"",$L76=""),$M76&lt;&gt;0),$A76=""),IFERROR(VLOOKUP($E76,Selection!$E:$F,2,false)),IFERROR(VLOOKUP(SUBSTITUTE($I76,"-","",1),$K77:$Q1119,7,false),VLOOKUP($K76,$K77:$Q1119,7,false))))</f>
        <v/>
      </c>
      <c r="R76" s="34" t="str">
        <f t="shared" si="2"/>
        <v/>
      </c>
      <c r="S76" s="37" t="str">
        <f t="shared" si="3"/>
        <v/>
      </c>
      <c r="T76" s="38" t="str">
        <f t="shared" si="4"/>
        <v/>
      </c>
      <c r="U76" s="28" t="str">
        <f t="shared" si="5"/>
        <v/>
      </c>
      <c r="V76" s="39" t="str">
        <f>IFERROR(__xludf.DUMMYFUNCTION(" IF(Account!$F76&lt;&gt;"""", SPLIT(Account!$F76, "" ""), """")"),"")</f>
        <v/>
      </c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>
      <c r="A77" s="7"/>
      <c r="B77" s="7"/>
      <c r="C77" s="7"/>
      <c r="D77" s="7"/>
      <c r="E77" s="7"/>
      <c r="F77" s="9"/>
      <c r="G77" s="7"/>
      <c r="H77" s="7"/>
      <c r="I77" s="7"/>
      <c r="J77" s="7"/>
      <c r="K77" s="7"/>
      <c r="L77" s="26" t="str">
        <f t="shared" si="1"/>
        <v/>
      </c>
      <c r="M77" s="28" t="str">
        <f>IFERROR(__xludf.DUMMYFUNCTION("IF(Account!$F77&lt;&gt;"""", VALUE(REGEXREPLACE($I77, ""\,"", ""."")), """")"),"")</f>
        <v/>
      </c>
      <c r="N77" s="31" t="str">
        <f>IF(Account!$F77&lt;&gt;"", DATEVALUE(MID($A77,4,3) &amp; LEFT($A77,3) &amp; RIGHT($A77,4)) + TIMEVALUE($B77), "")</f>
        <v/>
      </c>
      <c r="O77" s="33" t="str">
        <f>IF(Account!$F77&lt;&gt;"", DATEVALUE(MID($A77,4,3) &amp; LEFT($A77,3) &amp; RIGHT($A77,4)), "")</f>
        <v/>
      </c>
      <c r="P77" s="34" t="str">
        <f>IFERROR(VLOOKUP($Q77,Selection!$F:$G,2,false))</f>
        <v/>
      </c>
      <c r="Q77" s="36" t="str">
        <f>IF(AND($X77="change",$H77="EUR"),IF(AND($Z77="Crédit",$N77=$N78),$Q78,IF(AND($Z77="Débit",$N77=$N76),$Q76)),IF(OR(AND(OR($E77&lt;&gt;"",$L77=""),$M77&lt;&gt;0),$A77=""),IFERROR(VLOOKUP($E77,Selection!$E:$F,2,false)),IFERROR(VLOOKUP(SUBSTITUTE($I77,"-","",1),$K78:$Q1119,7,false),VLOOKUP($K77,$K78:$Q1119,7,false))))</f>
        <v/>
      </c>
      <c r="R77" s="34" t="str">
        <f t="shared" si="2"/>
        <v/>
      </c>
      <c r="S77" s="37" t="str">
        <f t="shared" si="3"/>
        <v/>
      </c>
      <c r="T77" s="38" t="str">
        <f t="shared" si="4"/>
        <v/>
      </c>
      <c r="U77" s="28" t="str">
        <f t="shared" si="5"/>
        <v/>
      </c>
      <c r="V77" s="39" t="str">
        <f>IFERROR(__xludf.DUMMYFUNCTION(" IF(Account!$F77&lt;&gt;"""", SPLIT(Account!$F77, "" ""), """")"),"")</f>
        <v/>
      </c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>
      <c r="A78" s="7"/>
      <c r="B78" s="7"/>
      <c r="C78" s="7"/>
      <c r="D78" s="7"/>
      <c r="E78" s="7"/>
      <c r="F78" s="9"/>
      <c r="G78" s="7"/>
      <c r="H78" s="7"/>
      <c r="I78" s="7"/>
      <c r="J78" s="7"/>
      <c r="K78" s="7"/>
      <c r="L78" s="26" t="str">
        <f t="shared" si="1"/>
        <v/>
      </c>
      <c r="M78" s="28" t="str">
        <f>IFERROR(__xludf.DUMMYFUNCTION("IF(Account!$F78&lt;&gt;"""", VALUE(REGEXREPLACE($I78, ""\,"", ""."")), """")"),"")</f>
        <v/>
      </c>
      <c r="N78" s="31" t="str">
        <f>IF(Account!$F78&lt;&gt;"", DATEVALUE(MID($A78,4,3) &amp; LEFT($A78,3) &amp; RIGHT($A78,4)) + TIMEVALUE($B78), "")</f>
        <v/>
      </c>
      <c r="O78" s="33" t="str">
        <f>IF(Account!$F78&lt;&gt;"", DATEVALUE(MID($A78,4,3) &amp; LEFT($A78,3) &amp; RIGHT($A78,4)), "")</f>
        <v/>
      </c>
      <c r="P78" s="34" t="str">
        <f>IFERROR(VLOOKUP($Q78,Selection!$F:$G,2,false))</f>
        <v/>
      </c>
      <c r="Q78" s="36" t="str">
        <f>IF(AND($X78="change",$H78="EUR"),IF(AND($Z78="Crédit",$N78=$N79),$Q79,IF(AND($Z78="Débit",$N78=$N77),$Q77)),IF(OR(AND(OR($E78&lt;&gt;"",$L78=""),$M78&lt;&gt;0),$A78=""),IFERROR(VLOOKUP($E78,Selection!$E:$F,2,false)),IFERROR(VLOOKUP(SUBSTITUTE($I78,"-","",1),$K79:$Q1119,7,false),VLOOKUP($K78,$K79:$Q1119,7,false))))</f>
        <v/>
      </c>
      <c r="R78" s="34" t="str">
        <f t="shared" si="2"/>
        <v/>
      </c>
      <c r="S78" s="37" t="str">
        <f t="shared" si="3"/>
        <v/>
      </c>
      <c r="T78" s="38" t="str">
        <f t="shared" si="4"/>
        <v/>
      </c>
      <c r="U78" s="28" t="str">
        <f t="shared" si="5"/>
        <v/>
      </c>
      <c r="V78" s="39" t="str">
        <f>IFERROR(__xludf.DUMMYFUNCTION(" IF(Account!$F78&lt;&gt;"""", SPLIT(Account!$F78, "" ""), """")"),"")</f>
        <v/>
      </c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>
      <c r="A79" s="7"/>
      <c r="B79" s="7"/>
      <c r="C79" s="7"/>
      <c r="D79" s="7"/>
      <c r="E79" s="7"/>
      <c r="F79" s="9"/>
      <c r="G79" s="7"/>
      <c r="H79" s="7"/>
      <c r="I79" s="7"/>
      <c r="J79" s="7"/>
      <c r="K79" s="7"/>
      <c r="L79" s="26" t="str">
        <f t="shared" si="1"/>
        <v/>
      </c>
      <c r="M79" s="28" t="str">
        <f>IFERROR(__xludf.DUMMYFUNCTION("IF(Account!$F79&lt;&gt;"""", VALUE(REGEXREPLACE($I79, ""\,"", ""."")), """")"),"")</f>
        <v/>
      </c>
      <c r="N79" s="31" t="str">
        <f>IF(Account!$F79&lt;&gt;"", DATEVALUE(MID($A79,4,3) &amp; LEFT($A79,3) &amp; RIGHT($A79,4)) + TIMEVALUE($B79), "")</f>
        <v/>
      </c>
      <c r="O79" s="33" t="str">
        <f>IF(Account!$F79&lt;&gt;"", DATEVALUE(MID($A79,4,3) &amp; LEFT($A79,3) &amp; RIGHT($A79,4)), "")</f>
        <v/>
      </c>
      <c r="P79" s="34" t="str">
        <f>IFERROR(VLOOKUP($Q79,Selection!$F:$G,2,false))</f>
        <v/>
      </c>
      <c r="Q79" s="36" t="str">
        <f>IF(AND($X79="change",$H79="EUR"),IF(AND($Z79="Crédit",$N79=$N80),$Q80,IF(AND($Z79="Débit",$N79=$N78),$Q78)),IF(OR(AND(OR($E79&lt;&gt;"",$L79=""),$M79&lt;&gt;0),$A79=""),IFERROR(VLOOKUP($E79,Selection!$E:$F,2,false)),IFERROR(VLOOKUP(SUBSTITUTE($I79,"-","",1),$K80:$Q1119,7,false),VLOOKUP($K79,$K80:$Q1119,7,false))))</f>
        <v/>
      </c>
      <c r="R79" s="34" t="str">
        <f t="shared" si="2"/>
        <v/>
      </c>
      <c r="S79" s="37" t="str">
        <f t="shared" si="3"/>
        <v/>
      </c>
      <c r="T79" s="38" t="str">
        <f t="shared" si="4"/>
        <v/>
      </c>
      <c r="U79" s="28" t="str">
        <f t="shared" si="5"/>
        <v/>
      </c>
      <c r="V79" s="39" t="str">
        <f>IFERROR(__xludf.DUMMYFUNCTION(" IF(Account!$F79&lt;&gt;"""", SPLIT(Account!$F79, "" ""), """")"),"")</f>
        <v/>
      </c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>
      <c r="A80" s="7"/>
      <c r="B80" s="7"/>
      <c r="C80" s="7"/>
      <c r="D80" s="7"/>
      <c r="E80" s="7"/>
      <c r="F80" s="9"/>
      <c r="G80" s="7"/>
      <c r="H80" s="7"/>
      <c r="I80" s="7"/>
      <c r="J80" s="7"/>
      <c r="K80" s="7"/>
      <c r="L80" s="26" t="str">
        <f t="shared" si="1"/>
        <v/>
      </c>
      <c r="M80" s="28" t="str">
        <f>IFERROR(__xludf.DUMMYFUNCTION("IF(Account!$F80&lt;&gt;"""", VALUE(REGEXREPLACE($I80, ""\,"", ""."")), """")"),"")</f>
        <v/>
      </c>
      <c r="N80" s="31" t="str">
        <f>IF(Account!$F80&lt;&gt;"", DATEVALUE(MID($A80,4,3) &amp; LEFT($A80,3) &amp; RIGHT($A80,4)) + TIMEVALUE($B80), "")</f>
        <v/>
      </c>
      <c r="O80" s="33" t="str">
        <f>IF(Account!$F80&lt;&gt;"", DATEVALUE(MID($A80,4,3) &amp; LEFT($A80,3) &amp; RIGHT($A80,4)), "")</f>
        <v/>
      </c>
      <c r="P80" s="34" t="str">
        <f>IFERROR(VLOOKUP($Q80,Selection!$F:$G,2,false))</f>
        <v/>
      </c>
      <c r="Q80" s="36" t="str">
        <f>IF(AND($X80="change",$H80="EUR"),IF(AND($Z80="Crédit",$N80=$N81),$Q81,IF(AND($Z80="Débit",$N80=$N79),$Q79)),IF(OR(AND(OR($E80&lt;&gt;"",$L80=""),$M80&lt;&gt;0),$A80=""),IFERROR(VLOOKUP($E80,Selection!$E:$F,2,false)),IFERROR(VLOOKUP(SUBSTITUTE($I80,"-","",1),$K81:$Q1119,7,false),VLOOKUP($K80,$K81:$Q1119,7,false))))</f>
        <v/>
      </c>
      <c r="R80" s="34" t="str">
        <f t="shared" si="2"/>
        <v/>
      </c>
      <c r="S80" s="37" t="str">
        <f t="shared" si="3"/>
        <v/>
      </c>
      <c r="T80" s="38" t="str">
        <f t="shared" si="4"/>
        <v/>
      </c>
      <c r="U80" s="28" t="str">
        <f t="shared" si="5"/>
        <v/>
      </c>
      <c r="V80" s="39" t="str">
        <f>IFERROR(__xludf.DUMMYFUNCTION(" IF(Account!$F80&lt;&gt;"""", SPLIT(Account!$F80, "" ""), """")"),"")</f>
        <v/>
      </c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>
      <c r="A81" s="7"/>
      <c r="B81" s="7"/>
      <c r="C81" s="7"/>
      <c r="D81" s="7"/>
      <c r="E81" s="7"/>
      <c r="F81" s="9"/>
      <c r="G81" s="7"/>
      <c r="H81" s="7"/>
      <c r="I81" s="7"/>
      <c r="J81" s="7"/>
      <c r="K81" s="7"/>
      <c r="L81" s="26" t="str">
        <f t="shared" si="1"/>
        <v/>
      </c>
      <c r="M81" s="28" t="str">
        <f>IFERROR(__xludf.DUMMYFUNCTION("IF(Account!$F81&lt;&gt;"""", VALUE(REGEXREPLACE($I81, ""\,"", ""."")), """")"),"")</f>
        <v/>
      </c>
      <c r="N81" s="31" t="str">
        <f>IF(Account!$F81&lt;&gt;"", DATEVALUE(MID($A81,4,3) &amp; LEFT($A81,3) &amp; RIGHT($A81,4)) + TIMEVALUE($B81), "")</f>
        <v/>
      </c>
      <c r="O81" s="33" t="str">
        <f>IF(Account!$F81&lt;&gt;"", DATEVALUE(MID($A81,4,3) &amp; LEFT($A81,3) &amp; RIGHT($A81,4)), "")</f>
        <v/>
      </c>
      <c r="P81" s="34" t="str">
        <f>IFERROR(VLOOKUP($Q81,Selection!$F:$G,2,false))</f>
        <v/>
      </c>
      <c r="Q81" s="36" t="str">
        <f>IF(AND($X81="change",$H81="EUR"),IF(AND($Z81="Crédit",$N81=$N82),$Q82,IF(AND($Z81="Débit",$N81=$N80),$Q80)),IF(OR(AND(OR($E81&lt;&gt;"",$L81=""),$M81&lt;&gt;0),$A81=""),IFERROR(VLOOKUP($E81,Selection!$E:$F,2,false)),IFERROR(VLOOKUP(SUBSTITUTE($I81,"-","",1),$K82:$Q1119,7,false),VLOOKUP($K81,$K82:$Q1119,7,false))))</f>
        <v/>
      </c>
      <c r="R81" s="34" t="str">
        <f t="shared" si="2"/>
        <v/>
      </c>
      <c r="S81" s="37" t="str">
        <f t="shared" si="3"/>
        <v/>
      </c>
      <c r="T81" s="38" t="str">
        <f t="shared" si="4"/>
        <v/>
      </c>
      <c r="U81" s="28" t="str">
        <f t="shared" si="5"/>
        <v/>
      </c>
      <c r="V81" s="39" t="str">
        <f>IFERROR(__xludf.DUMMYFUNCTION(" IF(Account!$F81&lt;&gt;"""", SPLIT(Account!$F81, "" ""), """")"),"")</f>
        <v/>
      </c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>
      <c r="A82" s="7"/>
      <c r="B82" s="7"/>
      <c r="C82" s="7"/>
      <c r="D82" s="7"/>
      <c r="E82" s="7"/>
      <c r="F82" s="9"/>
      <c r="G82" s="7"/>
      <c r="H82" s="7"/>
      <c r="I82" s="7"/>
      <c r="J82" s="7"/>
      <c r="K82" s="7"/>
      <c r="L82" s="26" t="str">
        <f t="shared" si="1"/>
        <v/>
      </c>
      <c r="M82" s="28" t="str">
        <f>IFERROR(__xludf.DUMMYFUNCTION("IF(Account!$F82&lt;&gt;"""", VALUE(REGEXREPLACE($I82, ""\,"", ""."")), """")"),"")</f>
        <v/>
      </c>
      <c r="N82" s="31" t="str">
        <f>IF(Account!$F82&lt;&gt;"", DATEVALUE(MID($A82,4,3) &amp; LEFT($A82,3) &amp; RIGHT($A82,4)) + TIMEVALUE($B82), "")</f>
        <v/>
      </c>
      <c r="O82" s="33" t="str">
        <f>IF(Account!$F82&lt;&gt;"", DATEVALUE(MID($A82,4,3) &amp; LEFT($A82,3) &amp; RIGHT($A82,4)), "")</f>
        <v/>
      </c>
      <c r="P82" s="34" t="str">
        <f>IFERROR(VLOOKUP($Q82,Selection!$F:$G,2,false))</f>
        <v/>
      </c>
      <c r="Q82" s="36" t="str">
        <f>IF(AND($X82="change",$H82="EUR"),IF(AND($Z82="Crédit",$N82=$N83),$Q83,IF(AND($Z82="Débit",$N82=$N81),$Q81)),IF(OR(AND(OR($E82&lt;&gt;"",$L82=""),$M82&lt;&gt;0),$A82=""),IFERROR(VLOOKUP($E82,Selection!$E:$F,2,false)),IFERROR(VLOOKUP(SUBSTITUTE($I82,"-","",1),$K83:$Q1119,7,false),VLOOKUP($K82,$K83:$Q1119,7,false))))</f>
        <v/>
      </c>
      <c r="R82" s="34" t="str">
        <f t="shared" si="2"/>
        <v/>
      </c>
      <c r="S82" s="37" t="str">
        <f t="shared" si="3"/>
        <v/>
      </c>
      <c r="T82" s="38" t="str">
        <f t="shared" si="4"/>
        <v/>
      </c>
      <c r="U82" s="28" t="str">
        <f t="shared" si="5"/>
        <v/>
      </c>
      <c r="V82" s="39" t="str">
        <f>IFERROR(__xludf.DUMMYFUNCTION(" IF(Account!$F82&lt;&gt;"""", SPLIT(Account!$F82, "" ""), """")"),"")</f>
        <v/>
      </c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>
      <c r="A83" s="7"/>
      <c r="B83" s="7"/>
      <c r="C83" s="7"/>
      <c r="D83" s="7"/>
      <c r="E83" s="7"/>
      <c r="F83" s="9"/>
      <c r="G83" s="7"/>
      <c r="H83" s="7"/>
      <c r="I83" s="7"/>
      <c r="J83" s="7"/>
      <c r="K83" s="7"/>
      <c r="L83" s="26" t="str">
        <f t="shared" si="1"/>
        <v/>
      </c>
      <c r="M83" s="28" t="str">
        <f>IFERROR(__xludf.DUMMYFUNCTION("IF(Account!$F83&lt;&gt;"""", VALUE(REGEXREPLACE($I83, ""\,"", ""."")), """")"),"")</f>
        <v/>
      </c>
      <c r="N83" s="31" t="str">
        <f>IF(Account!$F83&lt;&gt;"", DATEVALUE(MID($A83,4,3) &amp; LEFT($A83,3) &amp; RIGHT($A83,4)) + TIMEVALUE($B83), "")</f>
        <v/>
      </c>
      <c r="O83" s="33" t="str">
        <f>IF(Account!$F83&lt;&gt;"", DATEVALUE(MID($A83,4,3) &amp; LEFT($A83,3) &amp; RIGHT($A83,4)), "")</f>
        <v/>
      </c>
      <c r="P83" s="34" t="str">
        <f>IFERROR(VLOOKUP($Q83,Selection!$F:$G,2,false))</f>
        <v/>
      </c>
      <c r="Q83" s="36" t="str">
        <f>IF(AND($X83="change",$H83="EUR"),IF(AND($Z83="Crédit",$N83=$N84),$Q84,IF(AND($Z83="Débit",$N83=$N82),$Q82)),IF(OR(AND(OR($E83&lt;&gt;"",$L83=""),$M83&lt;&gt;0),$A83=""),IFERROR(VLOOKUP($E83,Selection!$E:$F,2,false)),IFERROR(VLOOKUP(SUBSTITUTE($I83,"-","",1),$K84:$Q1119,7,false),VLOOKUP($K83,$K84:$Q1119,7,false))))</f>
        <v/>
      </c>
      <c r="R83" s="34" t="str">
        <f t="shared" si="2"/>
        <v/>
      </c>
      <c r="S83" s="37" t="str">
        <f t="shared" si="3"/>
        <v/>
      </c>
      <c r="T83" s="38" t="str">
        <f t="shared" si="4"/>
        <v/>
      </c>
      <c r="U83" s="28" t="str">
        <f t="shared" si="5"/>
        <v/>
      </c>
      <c r="V83" s="39" t="str">
        <f>IFERROR(__xludf.DUMMYFUNCTION(" IF(Account!$F83&lt;&gt;"""", SPLIT(Account!$F83, "" ""), """")"),"")</f>
        <v/>
      </c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>
      <c r="A84" s="7"/>
      <c r="B84" s="7"/>
      <c r="C84" s="7"/>
      <c r="D84" s="7"/>
      <c r="E84" s="7"/>
      <c r="F84" s="9"/>
      <c r="G84" s="7"/>
      <c r="H84" s="7"/>
      <c r="I84" s="7"/>
      <c r="J84" s="7"/>
      <c r="K84" s="7"/>
      <c r="L84" s="26" t="str">
        <f t="shared" si="1"/>
        <v/>
      </c>
      <c r="M84" s="28" t="str">
        <f>IFERROR(__xludf.DUMMYFUNCTION("IF(Account!$F84&lt;&gt;"""", VALUE(REGEXREPLACE($I84, ""\,"", ""."")), """")"),"")</f>
        <v/>
      </c>
      <c r="N84" s="31" t="str">
        <f>IF(Account!$F84&lt;&gt;"", DATEVALUE(MID($A84,4,3) &amp; LEFT($A84,3) &amp; RIGHT($A84,4)) + TIMEVALUE($B84), "")</f>
        <v/>
      </c>
      <c r="O84" s="33" t="str">
        <f>IF(Account!$F84&lt;&gt;"", DATEVALUE(MID($A84,4,3) &amp; LEFT($A84,3) &amp; RIGHT($A84,4)), "")</f>
        <v/>
      </c>
      <c r="P84" s="34" t="str">
        <f>IFERROR(VLOOKUP($Q84,Selection!$F:$G,2,false))</f>
        <v/>
      </c>
      <c r="Q84" s="36" t="str">
        <f>IF(AND($X84="change",$H84="EUR"),IF(AND($Z84="Crédit",$N84=$N85),$Q85,IF(AND($Z84="Débit",$N84=$N83),$Q83)),IF(OR(AND(OR($E84&lt;&gt;"",$L84=""),$M84&lt;&gt;0),$A84=""),IFERROR(VLOOKUP($E84,Selection!$E:$F,2,false)),IFERROR(VLOOKUP(SUBSTITUTE($I84,"-","",1),$K85:$Q1119,7,false),VLOOKUP($K84,$K85:$Q1119,7,false))))</f>
        <v/>
      </c>
      <c r="R84" s="34" t="str">
        <f t="shared" si="2"/>
        <v/>
      </c>
      <c r="S84" s="37" t="str">
        <f t="shared" si="3"/>
        <v/>
      </c>
      <c r="T84" s="38" t="str">
        <f t="shared" si="4"/>
        <v/>
      </c>
      <c r="U84" s="28" t="str">
        <f t="shared" si="5"/>
        <v/>
      </c>
      <c r="V84" s="39" t="str">
        <f>IFERROR(__xludf.DUMMYFUNCTION(" IF(Account!$F84&lt;&gt;"""", SPLIT(Account!$F84, "" ""), """")"),"")</f>
        <v/>
      </c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>
      <c r="A85" s="7"/>
      <c r="B85" s="7"/>
      <c r="C85" s="7"/>
      <c r="D85" s="7"/>
      <c r="E85" s="7"/>
      <c r="F85" s="9"/>
      <c r="G85" s="7"/>
      <c r="H85" s="7"/>
      <c r="I85" s="7"/>
      <c r="J85" s="7"/>
      <c r="K85" s="7"/>
      <c r="L85" s="26" t="str">
        <f t="shared" si="1"/>
        <v/>
      </c>
      <c r="M85" s="28" t="str">
        <f>IFERROR(__xludf.DUMMYFUNCTION("IF(Account!$F85&lt;&gt;"""", VALUE(REGEXREPLACE($I85, ""\,"", ""."")), """")"),"")</f>
        <v/>
      </c>
      <c r="N85" s="31" t="str">
        <f>IF(Account!$F85&lt;&gt;"", DATEVALUE(MID($A85,4,3) &amp; LEFT($A85,3) &amp; RIGHT($A85,4)) + TIMEVALUE($B85), "")</f>
        <v/>
      </c>
      <c r="O85" s="33" t="str">
        <f>IF(Account!$F85&lt;&gt;"", DATEVALUE(MID($A85,4,3) &amp; LEFT($A85,3) &amp; RIGHT($A85,4)), "")</f>
        <v/>
      </c>
      <c r="P85" s="34" t="str">
        <f>IFERROR(VLOOKUP($Q85,Selection!$F:$G,2,false))</f>
        <v/>
      </c>
      <c r="Q85" s="36" t="str">
        <f>IF(AND($X85="change",$H85="EUR"),IF(AND($Z85="Crédit",$N85=$N86),$Q86,IF(AND($Z85="Débit",$N85=$N84),$Q84)),IF(OR(AND(OR($E85&lt;&gt;"",$L85=""),$M85&lt;&gt;0),$A85=""),IFERROR(VLOOKUP($E85,Selection!$E:$F,2,false)),IFERROR(VLOOKUP(SUBSTITUTE($I85,"-","",1),$K86:$Q1119,7,false),VLOOKUP($K85,$K86:$Q1119,7,false))))</f>
        <v/>
      </c>
      <c r="R85" s="34" t="str">
        <f t="shared" si="2"/>
        <v/>
      </c>
      <c r="S85" s="37" t="str">
        <f t="shared" si="3"/>
        <v/>
      </c>
      <c r="T85" s="38" t="str">
        <f t="shared" si="4"/>
        <v/>
      </c>
      <c r="U85" s="28" t="str">
        <f t="shared" si="5"/>
        <v/>
      </c>
      <c r="V85" s="39" t="str">
        <f>IFERROR(__xludf.DUMMYFUNCTION(" IF(Account!$F85&lt;&gt;"""", SPLIT(Account!$F85, "" ""), """")"),"")</f>
        <v/>
      </c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>
      <c r="A86" s="7"/>
      <c r="B86" s="7"/>
      <c r="C86" s="7"/>
      <c r="D86" s="7"/>
      <c r="E86" s="7"/>
      <c r="F86" s="9"/>
      <c r="G86" s="7"/>
      <c r="H86" s="7"/>
      <c r="I86" s="7"/>
      <c r="J86" s="7"/>
      <c r="K86" s="7"/>
      <c r="L86" s="26" t="str">
        <f t="shared" si="1"/>
        <v/>
      </c>
      <c r="M86" s="28" t="str">
        <f>IFERROR(__xludf.DUMMYFUNCTION("IF(Account!$F86&lt;&gt;"""", VALUE(REGEXREPLACE($I86, ""\,"", ""."")), """")"),"")</f>
        <v/>
      </c>
      <c r="N86" s="31" t="str">
        <f>IF(Account!$F86&lt;&gt;"", DATEVALUE(MID($A86,4,3) &amp; LEFT($A86,3) &amp; RIGHT($A86,4)) + TIMEVALUE($B86), "")</f>
        <v/>
      </c>
      <c r="O86" s="33" t="str">
        <f>IF(Account!$F86&lt;&gt;"", DATEVALUE(MID($A86,4,3) &amp; LEFT($A86,3) &amp; RIGHT($A86,4)), "")</f>
        <v/>
      </c>
      <c r="P86" s="34" t="str">
        <f>IFERROR(VLOOKUP($Q86,Selection!$F:$G,2,false))</f>
        <v/>
      </c>
      <c r="Q86" s="36" t="str">
        <f>IF(AND($X86="change",$H86="EUR"),IF(AND($Z86="Crédit",$N86=$N87),$Q87,IF(AND($Z86="Débit",$N86=$N85),$Q85)),IF(OR(AND(OR($E86&lt;&gt;"",$L86=""),$M86&lt;&gt;0),$A86=""),IFERROR(VLOOKUP($E86,Selection!$E:$F,2,false)),IFERROR(VLOOKUP(SUBSTITUTE($I86,"-","",1),$K87:$Q1119,7,false),VLOOKUP($K86,$K87:$Q1119,7,false))))</f>
        <v/>
      </c>
      <c r="R86" s="34" t="str">
        <f t="shared" si="2"/>
        <v/>
      </c>
      <c r="S86" s="37" t="str">
        <f t="shared" si="3"/>
        <v/>
      </c>
      <c r="T86" s="38" t="str">
        <f t="shared" si="4"/>
        <v/>
      </c>
      <c r="U86" s="28" t="str">
        <f t="shared" si="5"/>
        <v/>
      </c>
      <c r="V86" s="39" t="str">
        <f>IFERROR(__xludf.DUMMYFUNCTION(" IF(Account!$F86&lt;&gt;"""", SPLIT(Account!$F86, "" ""), """")"),"")</f>
        <v/>
      </c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>
      <c r="A87" s="7"/>
      <c r="B87" s="7"/>
      <c r="C87" s="7"/>
      <c r="D87" s="7"/>
      <c r="E87" s="7"/>
      <c r="F87" s="9"/>
      <c r="G87" s="7"/>
      <c r="H87" s="7"/>
      <c r="I87" s="7"/>
      <c r="J87" s="7"/>
      <c r="K87" s="7"/>
      <c r="L87" s="26" t="str">
        <f t="shared" si="1"/>
        <v/>
      </c>
      <c r="M87" s="28" t="str">
        <f>IFERROR(__xludf.DUMMYFUNCTION("IF(Account!$F87&lt;&gt;"""", VALUE(REGEXREPLACE($I87, ""\,"", ""."")), """")"),"")</f>
        <v/>
      </c>
      <c r="N87" s="31" t="str">
        <f>IF(Account!$F87&lt;&gt;"", DATEVALUE(MID($A87,4,3) &amp; LEFT($A87,3) &amp; RIGHT($A87,4)) + TIMEVALUE($B87), "")</f>
        <v/>
      </c>
      <c r="O87" s="33" t="str">
        <f>IF(Account!$F87&lt;&gt;"", DATEVALUE(MID($A87,4,3) &amp; LEFT($A87,3) &amp; RIGHT($A87,4)), "")</f>
        <v/>
      </c>
      <c r="P87" s="34" t="str">
        <f>IFERROR(VLOOKUP($Q87,Selection!$F:$G,2,false))</f>
        <v/>
      </c>
      <c r="Q87" s="36" t="str">
        <f>IF(AND($X87="change",$H87="EUR"),IF(AND($Z87="Crédit",$N87=$N88),$Q88,IF(AND($Z87="Débit",$N87=$N86),$Q86)),IF(OR(AND(OR($E87&lt;&gt;"",$L87=""),$M87&lt;&gt;0),$A87=""),IFERROR(VLOOKUP($E87,Selection!$E:$F,2,false)),IFERROR(VLOOKUP(SUBSTITUTE($I87,"-","",1),$K88:$Q1119,7,false),VLOOKUP($K87,$K88:$Q1119,7,false))))</f>
        <v/>
      </c>
      <c r="R87" s="34" t="str">
        <f t="shared" si="2"/>
        <v/>
      </c>
      <c r="S87" s="37" t="str">
        <f t="shared" si="3"/>
        <v/>
      </c>
      <c r="T87" s="38" t="str">
        <f t="shared" si="4"/>
        <v/>
      </c>
      <c r="U87" s="28" t="str">
        <f t="shared" si="5"/>
        <v/>
      </c>
      <c r="V87" s="39" t="str">
        <f>IFERROR(__xludf.DUMMYFUNCTION(" IF(Account!$F87&lt;&gt;"""", SPLIT(Account!$F87, "" ""), """")"),"")</f>
        <v/>
      </c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>
      <c r="A88" s="7"/>
      <c r="B88" s="7"/>
      <c r="C88" s="7"/>
      <c r="D88" s="7"/>
      <c r="E88" s="7"/>
      <c r="F88" s="9"/>
      <c r="G88" s="7"/>
      <c r="H88" s="7"/>
      <c r="I88" s="7"/>
      <c r="J88" s="7"/>
      <c r="K88" s="7"/>
      <c r="L88" s="26" t="str">
        <f t="shared" si="1"/>
        <v/>
      </c>
      <c r="M88" s="28" t="str">
        <f>IFERROR(__xludf.DUMMYFUNCTION("IF(Account!$F88&lt;&gt;"""", VALUE(REGEXREPLACE($I88, ""\,"", ""."")), """")"),"")</f>
        <v/>
      </c>
      <c r="N88" s="31" t="str">
        <f>IF(Account!$F88&lt;&gt;"", DATEVALUE(MID($A88,4,3) &amp; LEFT($A88,3) &amp; RIGHT($A88,4)) + TIMEVALUE($B88), "")</f>
        <v/>
      </c>
      <c r="O88" s="33" t="str">
        <f>IF(Account!$F88&lt;&gt;"", DATEVALUE(MID($A88,4,3) &amp; LEFT($A88,3) &amp; RIGHT($A88,4)), "")</f>
        <v/>
      </c>
      <c r="P88" s="34" t="str">
        <f>IFERROR(VLOOKUP($Q88,Selection!$F:$G,2,false))</f>
        <v/>
      </c>
      <c r="Q88" s="36" t="str">
        <f>IF(AND($X88="change",$H88="EUR"),IF(AND($Z88="Crédit",$N88=$N89),$Q89,IF(AND($Z88="Débit",$N88=$N87),$Q87)),IF(OR(AND(OR($E88&lt;&gt;"",$L88=""),$M88&lt;&gt;0),$A88=""),IFERROR(VLOOKUP($E88,Selection!$E:$F,2,false)),IFERROR(VLOOKUP(SUBSTITUTE($I88,"-","",1),$K89:$Q1119,7,false),VLOOKUP($K88,$K89:$Q1119,7,false))))</f>
        <v/>
      </c>
      <c r="R88" s="34" t="str">
        <f t="shared" si="2"/>
        <v/>
      </c>
      <c r="S88" s="37" t="str">
        <f t="shared" si="3"/>
        <v/>
      </c>
      <c r="T88" s="38" t="str">
        <f t="shared" si="4"/>
        <v/>
      </c>
      <c r="U88" s="28" t="str">
        <f t="shared" si="5"/>
        <v/>
      </c>
      <c r="V88" s="39" t="str">
        <f>IFERROR(__xludf.DUMMYFUNCTION(" IF(Account!$F88&lt;&gt;"""", SPLIT(Account!$F88, "" ""), """")"),"")</f>
        <v/>
      </c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>
      <c r="A89" s="7"/>
      <c r="B89" s="7"/>
      <c r="C89" s="7"/>
      <c r="D89" s="7"/>
      <c r="E89" s="7"/>
      <c r="F89" s="9"/>
      <c r="G89" s="7"/>
      <c r="H89" s="7"/>
      <c r="I89" s="7"/>
      <c r="J89" s="7"/>
      <c r="K89" s="7"/>
      <c r="L89" s="26" t="str">
        <f t="shared" si="1"/>
        <v/>
      </c>
      <c r="M89" s="28" t="str">
        <f>IFERROR(__xludf.DUMMYFUNCTION("IF(Account!$F89&lt;&gt;"""", VALUE(REGEXREPLACE($I89, ""\,"", ""."")), """")"),"")</f>
        <v/>
      </c>
      <c r="N89" s="31" t="str">
        <f>IF(Account!$F89&lt;&gt;"", DATEVALUE(MID($A89,4,3) &amp; LEFT($A89,3) &amp; RIGHT($A89,4)) + TIMEVALUE($B89), "")</f>
        <v/>
      </c>
      <c r="O89" s="33" t="str">
        <f>IF(Account!$F89&lt;&gt;"", DATEVALUE(MID($A89,4,3) &amp; LEFT($A89,3) &amp; RIGHT($A89,4)), "")</f>
        <v/>
      </c>
      <c r="P89" s="34" t="str">
        <f>IFERROR(VLOOKUP($Q89,Selection!$F:$G,2,false))</f>
        <v/>
      </c>
      <c r="Q89" s="36" t="str">
        <f>IF(AND($X89="change",$H89="EUR"),IF(AND($Z89="Crédit",$N89=$N90),$Q90,IF(AND($Z89="Débit",$N89=$N88),$Q88)),IF(OR(AND(OR($E89&lt;&gt;"",$L89=""),$M89&lt;&gt;0),$A89=""),IFERROR(VLOOKUP($E89,Selection!$E:$F,2,false)),IFERROR(VLOOKUP(SUBSTITUTE($I89,"-","",1),$K90:$Q1119,7,false),VLOOKUP($K89,$K90:$Q1119,7,false))))</f>
        <v/>
      </c>
      <c r="R89" s="34" t="str">
        <f t="shared" si="2"/>
        <v/>
      </c>
      <c r="S89" s="37" t="str">
        <f t="shared" si="3"/>
        <v/>
      </c>
      <c r="T89" s="38" t="str">
        <f t="shared" si="4"/>
        <v/>
      </c>
      <c r="U89" s="28" t="str">
        <f t="shared" si="5"/>
        <v/>
      </c>
      <c r="V89" s="39" t="str">
        <f>IFERROR(__xludf.DUMMYFUNCTION(" IF(Account!$F89&lt;&gt;"""", SPLIT(Account!$F89, "" ""), """")"),"")</f>
        <v/>
      </c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>
      <c r="A90" s="7"/>
      <c r="B90" s="7"/>
      <c r="C90" s="7"/>
      <c r="D90" s="7"/>
      <c r="E90" s="7"/>
      <c r="F90" s="9"/>
      <c r="G90" s="7"/>
      <c r="H90" s="7"/>
      <c r="I90" s="7"/>
      <c r="J90" s="7"/>
      <c r="K90" s="7"/>
      <c r="L90" s="26" t="str">
        <f t="shared" si="1"/>
        <v/>
      </c>
      <c r="M90" s="28" t="str">
        <f>IFERROR(__xludf.DUMMYFUNCTION("IF(Account!$F90&lt;&gt;"""", VALUE(REGEXREPLACE($I90, ""\,"", ""."")), """")"),"")</f>
        <v/>
      </c>
      <c r="N90" s="31" t="str">
        <f>IF(Account!$F90&lt;&gt;"", DATEVALUE(MID($A90,4,3) &amp; LEFT($A90,3) &amp; RIGHT($A90,4)) + TIMEVALUE($B90), "")</f>
        <v/>
      </c>
      <c r="O90" s="33" t="str">
        <f>IF(Account!$F90&lt;&gt;"", DATEVALUE(MID($A90,4,3) &amp; LEFT($A90,3) &amp; RIGHT($A90,4)), "")</f>
        <v/>
      </c>
      <c r="P90" s="34" t="str">
        <f>IFERROR(VLOOKUP($Q90,Selection!$F:$G,2,false))</f>
        <v/>
      </c>
      <c r="Q90" s="36" t="str">
        <f>IF(AND($X90="change",$H90="EUR"),IF(AND($Z90="Crédit",$N90=$N91),$Q91,IF(AND($Z90="Débit",$N90=$N89),$Q89)),IF(OR(AND(OR($E90&lt;&gt;"",$L90=""),$M90&lt;&gt;0),$A90=""),IFERROR(VLOOKUP($E90,Selection!$E:$F,2,false)),IFERROR(VLOOKUP(SUBSTITUTE($I90,"-","",1),$K91:$Q1119,7,false),VLOOKUP($K90,$K91:$Q1119,7,false))))</f>
        <v/>
      </c>
      <c r="R90" s="34" t="str">
        <f t="shared" si="2"/>
        <v/>
      </c>
      <c r="S90" s="37" t="str">
        <f t="shared" si="3"/>
        <v/>
      </c>
      <c r="T90" s="38" t="str">
        <f t="shared" si="4"/>
        <v/>
      </c>
      <c r="U90" s="28" t="str">
        <f t="shared" si="5"/>
        <v/>
      </c>
      <c r="V90" s="39" t="str">
        <f>IFERROR(__xludf.DUMMYFUNCTION(" IF(Account!$F90&lt;&gt;"""", SPLIT(Account!$F90, "" ""), """")"),"")</f>
        <v/>
      </c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>
      <c r="A91" s="7"/>
      <c r="B91" s="7"/>
      <c r="C91" s="7"/>
      <c r="D91" s="7"/>
      <c r="E91" s="7"/>
      <c r="F91" s="9"/>
      <c r="G91" s="7"/>
      <c r="H91" s="7"/>
      <c r="I91" s="7"/>
      <c r="J91" s="7"/>
      <c r="K91" s="7"/>
      <c r="L91" s="26" t="str">
        <f t="shared" si="1"/>
        <v/>
      </c>
      <c r="M91" s="28" t="str">
        <f>IFERROR(__xludf.DUMMYFUNCTION("IF(Account!$F91&lt;&gt;"""", VALUE(REGEXREPLACE($I91, ""\,"", ""."")), """")"),"")</f>
        <v/>
      </c>
      <c r="N91" s="31" t="str">
        <f>IF(Account!$F91&lt;&gt;"", DATEVALUE(MID($A91,4,3) &amp; LEFT($A91,3) &amp; RIGHT($A91,4)) + TIMEVALUE($B91), "")</f>
        <v/>
      </c>
      <c r="O91" s="33" t="str">
        <f>IF(Account!$F91&lt;&gt;"", DATEVALUE(MID($A91,4,3) &amp; LEFT($A91,3) &amp; RIGHT($A91,4)), "")</f>
        <v/>
      </c>
      <c r="P91" s="34" t="str">
        <f>IFERROR(VLOOKUP($Q91,Selection!$F:$G,2,false))</f>
        <v/>
      </c>
      <c r="Q91" s="36" t="str">
        <f>IF(AND($X91="change",$H91="EUR"),IF(AND($Z91="Crédit",$N91=$N92),$Q92,IF(AND($Z91="Débit",$N91=$N90),$Q90)),IF(OR(AND(OR($E91&lt;&gt;"",$L91=""),$M91&lt;&gt;0),$A91=""),IFERROR(VLOOKUP($E91,Selection!$E:$F,2,false)),IFERROR(VLOOKUP(SUBSTITUTE($I91,"-","",1),$K92:$Q1119,7,false),VLOOKUP($K91,$K92:$Q1119,7,false))))</f>
        <v/>
      </c>
      <c r="R91" s="34" t="str">
        <f t="shared" si="2"/>
        <v/>
      </c>
      <c r="S91" s="37" t="str">
        <f t="shared" si="3"/>
        <v/>
      </c>
      <c r="T91" s="38" t="str">
        <f t="shared" si="4"/>
        <v/>
      </c>
      <c r="U91" s="28" t="str">
        <f t="shared" si="5"/>
        <v/>
      </c>
      <c r="V91" s="39" t="str">
        <f>IFERROR(__xludf.DUMMYFUNCTION(" IF(Account!$F91&lt;&gt;"""", SPLIT(Account!$F91, "" ""), """")"),"")</f>
        <v/>
      </c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>
      <c r="A92" s="7"/>
      <c r="B92" s="7"/>
      <c r="C92" s="7"/>
      <c r="D92" s="7"/>
      <c r="E92" s="7"/>
      <c r="F92" s="9"/>
      <c r="G92" s="7"/>
      <c r="H92" s="7"/>
      <c r="I92" s="7"/>
      <c r="J92" s="7"/>
      <c r="K92" s="7"/>
      <c r="L92" s="26" t="str">
        <f t="shared" si="1"/>
        <v/>
      </c>
      <c r="M92" s="28" t="str">
        <f>IFERROR(__xludf.DUMMYFUNCTION("IF(Account!$F92&lt;&gt;"""", VALUE(REGEXREPLACE($I92, ""\,"", ""."")), """")"),"")</f>
        <v/>
      </c>
      <c r="N92" s="31" t="str">
        <f>IF(Account!$F92&lt;&gt;"", DATEVALUE(MID($A92,4,3) &amp; LEFT($A92,3) &amp; RIGHT($A92,4)) + TIMEVALUE($B92), "")</f>
        <v/>
      </c>
      <c r="O92" s="33" t="str">
        <f>IF(Account!$F92&lt;&gt;"", DATEVALUE(MID($A92,4,3) &amp; LEFT($A92,3) &amp; RIGHT($A92,4)), "")</f>
        <v/>
      </c>
      <c r="P92" s="34" t="str">
        <f>IFERROR(VLOOKUP($Q92,Selection!$F:$G,2,false))</f>
        <v/>
      </c>
      <c r="Q92" s="36" t="str">
        <f>IF(AND($X92="change",$H92="EUR"),IF(AND($Z92="Crédit",$N92=$N93),$Q93,IF(AND($Z92="Débit",$N92=$N91),$Q91)),IF(OR(AND(OR($E92&lt;&gt;"",$L92=""),$M92&lt;&gt;0),$A92=""),IFERROR(VLOOKUP($E92,Selection!$E:$F,2,false)),IFERROR(VLOOKUP(SUBSTITUTE($I92,"-","",1),$K93:$Q1119,7,false),VLOOKUP($K92,$K93:$Q1119,7,false))))</f>
        <v/>
      </c>
      <c r="R92" s="34" t="str">
        <f t="shared" si="2"/>
        <v/>
      </c>
      <c r="S92" s="37" t="str">
        <f t="shared" si="3"/>
        <v/>
      </c>
      <c r="T92" s="38" t="str">
        <f t="shared" si="4"/>
        <v/>
      </c>
      <c r="U92" s="28" t="str">
        <f t="shared" si="5"/>
        <v/>
      </c>
      <c r="V92" s="39" t="str">
        <f>IFERROR(__xludf.DUMMYFUNCTION(" IF(Account!$F92&lt;&gt;"""", SPLIT(Account!$F92, "" ""), """")"),"")</f>
        <v/>
      </c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>
      <c r="A93" s="7"/>
      <c r="B93" s="7"/>
      <c r="C93" s="7"/>
      <c r="D93" s="7"/>
      <c r="E93" s="7"/>
      <c r="F93" s="9"/>
      <c r="G93" s="7"/>
      <c r="H93" s="7"/>
      <c r="I93" s="7"/>
      <c r="J93" s="7"/>
      <c r="K93" s="7"/>
      <c r="L93" s="26" t="str">
        <f t="shared" si="1"/>
        <v/>
      </c>
      <c r="M93" s="28" t="str">
        <f>IFERROR(__xludf.DUMMYFUNCTION("IF(Account!$F93&lt;&gt;"""", VALUE(REGEXREPLACE($I93, ""\,"", ""."")), """")"),"")</f>
        <v/>
      </c>
      <c r="N93" s="31" t="str">
        <f>IF(Account!$F93&lt;&gt;"", DATEVALUE(MID($A93,4,3) &amp; LEFT($A93,3) &amp; RIGHT($A93,4)) + TIMEVALUE($B93), "")</f>
        <v/>
      </c>
      <c r="O93" s="33" t="str">
        <f>IF(Account!$F93&lt;&gt;"", DATEVALUE(MID($A93,4,3) &amp; LEFT($A93,3) &amp; RIGHT($A93,4)), "")</f>
        <v/>
      </c>
      <c r="P93" s="34" t="str">
        <f>IFERROR(VLOOKUP($Q93,Selection!$F:$G,2,false))</f>
        <v/>
      </c>
      <c r="Q93" s="36" t="str">
        <f>IF(AND($X93="change",$H93="EUR"),IF(AND($Z93="Crédit",$N93=$N94),$Q94,IF(AND($Z93="Débit",$N93=$N92),$Q92)),IF(OR(AND(OR($E93&lt;&gt;"",$L93=""),$M93&lt;&gt;0),$A93=""),IFERROR(VLOOKUP($E93,Selection!$E:$F,2,false)),IFERROR(VLOOKUP(SUBSTITUTE($I93,"-","",1),$K94:$Q1119,7,false),VLOOKUP($K93,$K94:$Q1119,7,false))))</f>
        <v/>
      </c>
      <c r="R93" s="34" t="str">
        <f t="shared" si="2"/>
        <v/>
      </c>
      <c r="S93" s="37" t="str">
        <f t="shared" si="3"/>
        <v/>
      </c>
      <c r="T93" s="38" t="str">
        <f t="shared" si="4"/>
        <v/>
      </c>
      <c r="U93" s="28" t="str">
        <f t="shared" si="5"/>
        <v/>
      </c>
      <c r="V93" s="39" t="str">
        <f>IFERROR(__xludf.DUMMYFUNCTION(" IF(Account!$F93&lt;&gt;"""", SPLIT(Account!$F93, "" ""), """")"),"")</f>
        <v/>
      </c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>
      <c r="A94" s="7"/>
      <c r="B94" s="7"/>
      <c r="C94" s="7"/>
      <c r="D94" s="7"/>
      <c r="E94" s="7"/>
      <c r="F94" s="9"/>
      <c r="G94" s="7"/>
      <c r="H94" s="7"/>
      <c r="I94" s="7"/>
      <c r="J94" s="7"/>
      <c r="K94" s="7"/>
      <c r="L94" s="26" t="str">
        <f t="shared" si="1"/>
        <v/>
      </c>
      <c r="M94" s="28" t="str">
        <f>IFERROR(__xludf.DUMMYFUNCTION("IF(Account!$F94&lt;&gt;"""", VALUE(REGEXREPLACE($I94, ""\,"", ""."")), """")"),"")</f>
        <v/>
      </c>
      <c r="N94" s="31" t="str">
        <f>IF(Account!$F94&lt;&gt;"", DATEVALUE(MID($A94,4,3) &amp; LEFT($A94,3) &amp; RIGHT($A94,4)) + TIMEVALUE($B94), "")</f>
        <v/>
      </c>
      <c r="O94" s="33" t="str">
        <f>IF(Account!$F94&lt;&gt;"", DATEVALUE(MID($A94,4,3) &amp; LEFT($A94,3) &amp; RIGHT($A94,4)), "")</f>
        <v/>
      </c>
      <c r="P94" s="34" t="str">
        <f>IFERROR(VLOOKUP($Q94,Selection!$F:$G,2,false))</f>
        <v/>
      </c>
      <c r="Q94" s="36" t="str">
        <f>IF(AND($X94="change",$H94="EUR"),IF(AND($Z94="Crédit",$N94=$N95),$Q95,IF(AND($Z94="Débit",$N94=$N93),$Q93)),IF(OR(AND(OR($E94&lt;&gt;"",$L94=""),$M94&lt;&gt;0),$A94=""),IFERROR(VLOOKUP($E94,Selection!$E:$F,2,false)),IFERROR(VLOOKUP(SUBSTITUTE($I94,"-","",1),$K95:$Q1119,7,false),VLOOKUP($K94,$K95:$Q1119,7,false))))</f>
        <v/>
      </c>
      <c r="R94" s="34" t="str">
        <f t="shared" si="2"/>
        <v/>
      </c>
      <c r="S94" s="37" t="str">
        <f t="shared" si="3"/>
        <v/>
      </c>
      <c r="T94" s="38" t="str">
        <f t="shared" si="4"/>
        <v/>
      </c>
      <c r="U94" s="28" t="str">
        <f t="shared" si="5"/>
        <v/>
      </c>
      <c r="V94" s="39" t="str">
        <f>IFERROR(__xludf.DUMMYFUNCTION(" IF(Account!$F94&lt;&gt;"""", SPLIT(Account!$F94, "" ""), """")"),"")</f>
        <v/>
      </c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>
      <c r="A95" s="7"/>
      <c r="B95" s="7"/>
      <c r="C95" s="7"/>
      <c r="D95" s="7"/>
      <c r="E95" s="7"/>
      <c r="F95" s="9"/>
      <c r="G95" s="7"/>
      <c r="H95" s="7"/>
      <c r="I95" s="7"/>
      <c r="J95" s="7"/>
      <c r="K95" s="7"/>
      <c r="L95" s="26" t="str">
        <f t="shared" si="1"/>
        <v/>
      </c>
      <c r="M95" s="28" t="str">
        <f>IFERROR(__xludf.DUMMYFUNCTION("IF(Account!$F95&lt;&gt;"""", VALUE(REGEXREPLACE($I95, ""\,"", ""."")), """")"),"")</f>
        <v/>
      </c>
      <c r="N95" s="31" t="str">
        <f>IF(Account!$F95&lt;&gt;"", DATEVALUE(MID($A95,4,3) &amp; LEFT($A95,3) &amp; RIGHT($A95,4)) + TIMEVALUE($B95), "")</f>
        <v/>
      </c>
      <c r="O95" s="33" t="str">
        <f>IF(Account!$F95&lt;&gt;"", DATEVALUE(MID($A95,4,3) &amp; LEFT($A95,3) &amp; RIGHT($A95,4)), "")</f>
        <v/>
      </c>
      <c r="P95" s="34" t="str">
        <f>IFERROR(VLOOKUP($Q95,Selection!$F:$G,2,false))</f>
        <v/>
      </c>
      <c r="Q95" s="36" t="str">
        <f>IF(AND($X95="change",$H95="EUR"),IF(AND($Z95="Crédit",$N95=$N96),$Q96,IF(AND($Z95="Débit",$N95=$N94),$Q94)),IF(OR(AND(OR($E95&lt;&gt;"",$L95=""),$M95&lt;&gt;0),$A95=""),IFERROR(VLOOKUP($E95,Selection!$E:$F,2,false)),IFERROR(VLOOKUP(SUBSTITUTE($I95,"-","",1),$K96:$Q1119,7,false),VLOOKUP($K95,$K96:$Q1119,7,false))))</f>
        <v/>
      </c>
      <c r="R95" s="34" t="str">
        <f t="shared" si="2"/>
        <v/>
      </c>
      <c r="S95" s="37" t="str">
        <f t="shared" si="3"/>
        <v/>
      </c>
      <c r="T95" s="38" t="str">
        <f t="shared" si="4"/>
        <v/>
      </c>
      <c r="U95" s="28" t="str">
        <f t="shared" si="5"/>
        <v/>
      </c>
      <c r="V95" s="39" t="str">
        <f>IFERROR(__xludf.DUMMYFUNCTION(" IF(Account!$F95&lt;&gt;"""", SPLIT(Account!$F95, "" ""), """")"),"")</f>
        <v/>
      </c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>
      <c r="A96" s="7"/>
      <c r="B96" s="7"/>
      <c r="C96" s="7"/>
      <c r="D96" s="7"/>
      <c r="E96" s="7"/>
      <c r="F96" s="9"/>
      <c r="G96" s="7"/>
      <c r="H96" s="7"/>
      <c r="I96" s="7"/>
      <c r="J96" s="7"/>
      <c r="K96" s="7"/>
      <c r="L96" s="26" t="str">
        <f t="shared" si="1"/>
        <v/>
      </c>
      <c r="M96" s="28" t="str">
        <f>IFERROR(__xludf.DUMMYFUNCTION("IF(Account!$F96&lt;&gt;"""", VALUE(REGEXREPLACE($I96, ""\,"", ""."")), """")"),"")</f>
        <v/>
      </c>
      <c r="N96" s="31" t="str">
        <f>IF(Account!$F96&lt;&gt;"", DATEVALUE(MID($A96,4,3) &amp; LEFT($A96,3) &amp; RIGHT($A96,4)) + TIMEVALUE($B96), "")</f>
        <v/>
      </c>
      <c r="O96" s="33" t="str">
        <f>IF(Account!$F96&lt;&gt;"", DATEVALUE(MID($A96,4,3) &amp; LEFT($A96,3) &amp; RIGHT($A96,4)), "")</f>
        <v/>
      </c>
      <c r="P96" s="34" t="str">
        <f>IFERROR(VLOOKUP($Q96,Selection!$F:$G,2,false))</f>
        <v/>
      </c>
      <c r="Q96" s="36" t="str">
        <f>IF(AND($X96="change",$H96="EUR"),IF(AND($Z96="Crédit",$N96=$N97),$Q97,IF(AND($Z96="Débit",$N96=$N95),$Q95)),IF(OR(AND(OR($E96&lt;&gt;"",$L96=""),$M96&lt;&gt;0),$A96=""),IFERROR(VLOOKUP($E96,Selection!$E:$F,2,false)),IFERROR(VLOOKUP(SUBSTITUTE($I96,"-","",1),$K97:$Q1119,7,false),VLOOKUP($K96,$K97:$Q1119,7,false))))</f>
        <v/>
      </c>
      <c r="R96" s="34" t="str">
        <f t="shared" si="2"/>
        <v/>
      </c>
      <c r="S96" s="37" t="str">
        <f t="shared" si="3"/>
        <v/>
      </c>
      <c r="T96" s="38" t="str">
        <f t="shared" si="4"/>
        <v/>
      </c>
      <c r="U96" s="28" t="str">
        <f t="shared" si="5"/>
        <v/>
      </c>
      <c r="V96" s="39" t="str">
        <f>IFERROR(__xludf.DUMMYFUNCTION(" IF(Account!$F96&lt;&gt;"""", SPLIT(Account!$F96, "" ""), """")"),"")</f>
        <v/>
      </c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</row>
    <row r="97">
      <c r="A97" s="7"/>
      <c r="B97" s="7"/>
      <c r="C97" s="7"/>
      <c r="D97" s="7"/>
      <c r="E97" s="7"/>
      <c r="F97" s="9"/>
      <c r="G97" s="7"/>
      <c r="H97" s="7"/>
      <c r="I97" s="7"/>
      <c r="J97" s="7"/>
      <c r="K97" s="7"/>
      <c r="L97" s="26" t="str">
        <f t="shared" si="1"/>
        <v/>
      </c>
      <c r="M97" s="28" t="str">
        <f>IFERROR(__xludf.DUMMYFUNCTION("IF(Account!$F97&lt;&gt;"""", VALUE(REGEXREPLACE($I97, ""\,"", ""."")), """")"),"")</f>
        <v/>
      </c>
      <c r="N97" s="31" t="str">
        <f>IF(Account!$F97&lt;&gt;"", DATEVALUE(MID($A97,4,3) &amp; LEFT($A97,3) &amp; RIGHT($A97,4)) + TIMEVALUE($B97), "")</f>
        <v/>
      </c>
      <c r="O97" s="33" t="str">
        <f>IF(Account!$F97&lt;&gt;"", DATEVALUE(MID($A97,4,3) &amp; LEFT($A97,3) &amp; RIGHT($A97,4)), "")</f>
        <v/>
      </c>
      <c r="P97" s="34" t="str">
        <f>IFERROR(VLOOKUP($Q97,Selection!$F:$G,2,false))</f>
        <v/>
      </c>
      <c r="Q97" s="36" t="str">
        <f>IF(AND($X97="change",$H97="EUR"),IF(AND($Z97="Crédit",$N97=$N98),$Q98,IF(AND($Z97="Débit",$N97=$N96),$Q96)),IF(OR(AND(OR($E97&lt;&gt;"",$L97=""),$M97&lt;&gt;0),$A97=""),IFERROR(VLOOKUP($E97,Selection!$E:$F,2,false)),IFERROR(VLOOKUP(SUBSTITUTE($I97,"-","",1),$K98:$Q1119,7,false),VLOOKUP($K97,$K98:$Q1119,7,false))))</f>
        <v/>
      </c>
      <c r="R97" s="34" t="str">
        <f t="shared" si="2"/>
        <v/>
      </c>
      <c r="S97" s="37" t="str">
        <f t="shared" si="3"/>
        <v/>
      </c>
      <c r="T97" s="38" t="str">
        <f t="shared" si="4"/>
        <v/>
      </c>
      <c r="U97" s="28" t="str">
        <f t="shared" si="5"/>
        <v/>
      </c>
      <c r="V97" s="39" t="str">
        <f>IFERROR(__xludf.DUMMYFUNCTION(" IF(Account!$F97&lt;&gt;"""", SPLIT(Account!$F97, "" ""), """")"),"")</f>
        <v/>
      </c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</row>
    <row r="98">
      <c r="A98" s="7"/>
      <c r="B98" s="7"/>
      <c r="C98" s="7"/>
      <c r="D98" s="7"/>
      <c r="E98" s="7"/>
      <c r="F98" s="9"/>
      <c r="G98" s="7"/>
      <c r="H98" s="7"/>
      <c r="I98" s="7"/>
      <c r="J98" s="7"/>
      <c r="K98" s="7"/>
      <c r="L98" s="26" t="str">
        <f t="shared" si="1"/>
        <v/>
      </c>
      <c r="M98" s="28" t="str">
        <f>IFERROR(__xludf.DUMMYFUNCTION("IF(Account!$F98&lt;&gt;"""", VALUE(REGEXREPLACE($I98, ""\,"", ""."")), """")"),"")</f>
        <v/>
      </c>
      <c r="N98" s="31" t="str">
        <f>IF(Account!$F98&lt;&gt;"", DATEVALUE(MID($A98,4,3) &amp; LEFT($A98,3) &amp; RIGHT($A98,4)) + TIMEVALUE($B98), "")</f>
        <v/>
      </c>
      <c r="O98" s="33" t="str">
        <f>IF(Account!$F98&lt;&gt;"", DATEVALUE(MID($A98,4,3) &amp; LEFT($A98,3) &amp; RIGHT($A98,4)), "")</f>
        <v/>
      </c>
      <c r="P98" s="34" t="str">
        <f>IFERROR(VLOOKUP($Q98,Selection!$F:$G,2,false))</f>
        <v/>
      </c>
      <c r="Q98" s="36" t="str">
        <f>IF(AND($X98="change",$H98="EUR"),IF(AND($Z98="Crédit",$N98=$N99),$Q99,IF(AND($Z98="Débit",$N98=$N97),$Q97)),IF(OR(AND(OR($E98&lt;&gt;"",$L98=""),$M98&lt;&gt;0),$A98=""),IFERROR(VLOOKUP($E98,Selection!$E:$F,2,false)),IFERROR(VLOOKUP(SUBSTITUTE($I98,"-","",1),$K99:$Q1119,7,false),VLOOKUP($K98,$K99:$Q1119,7,false))))</f>
        <v/>
      </c>
      <c r="R98" s="34" t="str">
        <f t="shared" si="2"/>
        <v/>
      </c>
      <c r="S98" s="37" t="str">
        <f t="shared" si="3"/>
        <v/>
      </c>
      <c r="T98" s="38" t="str">
        <f t="shared" si="4"/>
        <v/>
      </c>
      <c r="U98" s="28" t="str">
        <f t="shared" si="5"/>
        <v/>
      </c>
      <c r="V98" s="39" t="str">
        <f>IFERROR(__xludf.DUMMYFUNCTION(" IF(Account!$F98&lt;&gt;"""", SPLIT(Account!$F98, "" ""), """")"),"")</f>
        <v/>
      </c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</row>
    <row r="99">
      <c r="A99" s="7"/>
      <c r="B99" s="7"/>
      <c r="C99" s="7"/>
      <c r="D99" s="7"/>
      <c r="E99" s="7"/>
      <c r="F99" s="9"/>
      <c r="G99" s="7"/>
      <c r="H99" s="7"/>
      <c r="I99" s="7"/>
      <c r="J99" s="7"/>
      <c r="K99" s="7"/>
      <c r="L99" s="26" t="str">
        <f t="shared" si="1"/>
        <v/>
      </c>
      <c r="M99" s="28" t="str">
        <f>IFERROR(__xludf.DUMMYFUNCTION("IF(Account!$F99&lt;&gt;"""", VALUE(REGEXREPLACE($I99, ""\,"", ""."")), """")"),"")</f>
        <v/>
      </c>
      <c r="N99" s="31" t="str">
        <f>IF(Account!$F99&lt;&gt;"", DATEVALUE(MID($A99,4,3) &amp; LEFT($A99,3) &amp; RIGHT($A99,4)) + TIMEVALUE($B99), "")</f>
        <v/>
      </c>
      <c r="O99" s="33" t="str">
        <f>IF(Account!$F99&lt;&gt;"", DATEVALUE(MID($A99,4,3) &amp; LEFT($A99,3) &amp; RIGHT($A99,4)), "")</f>
        <v/>
      </c>
      <c r="P99" s="34" t="str">
        <f>IFERROR(VLOOKUP($Q99,Selection!$F:$G,2,false))</f>
        <v/>
      </c>
      <c r="Q99" s="36" t="str">
        <f>IF(AND($X99="change",$H99="EUR"),IF(AND($Z99="Crédit",$N99=$N100),$Q100,IF(AND($Z99="Débit",$N99=$N98),$Q98)),IF(OR(AND(OR($E99&lt;&gt;"",$L99=""),$M99&lt;&gt;0),$A99=""),IFERROR(VLOOKUP($E99,Selection!$E:$F,2,false)),IFERROR(VLOOKUP(SUBSTITUTE($I99,"-","",1),$K100:$Q1119,7,false),VLOOKUP($K99,$K100:$Q1119,7,false))))</f>
        <v/>
      </c>
      <c r="R99" s="34" t="str">
        <f t="shared" si="2"/>
        <v/>
      </c>
      <c r="S99" s="37" t="str">
        <f t="shared" si="3"/>
        <v/>
      </c>
      <c r="T99" s="38" t="str">
        <f t="shared" si="4"/>
        <v/>
      </c>
      <c r="U99" s="28" t="str">
        <f t="shared" si="5"/>
        <v/>
      </c>
      <c r="V99" s="39" t="str">
        <f>IFERROR(__xludf.DUMMYFUNCTION(" IF(Account!$F99&lt;&gt;"""", SPLIT(Account!$F99, "" ""), """")"),"")</f>
        <v/>
      </c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</row>
    <row r="100">
      <c r="A100" s="7"/>
      <c r="B100" s="7"/>
      <c r="C100" s="7"/>
      <c r="D100" s="7"/>
      <c r="E100" s="7"/>
      <c r="F100" s="9"/>
      <c r="G100" s="7"/>
      <c r="H100" s="7"/>
      <c r="I100" s="7"/>
      <c r="J100" s="7"/>
      <c r="K100" s="7"/>
      <c r="L100" s="26" t="str">
        <f t="shared" si="1"/>
        <v/>
      </c>
      <c r="M100" s="28" t="str">
        <f>IFERROR(__xludf.DUMMYFUNCTION("IF(Account!$F100&lt;&gt;"""", VALUE(REGEXREPLACE($I100, ""\,"", ""."")), """")"),"")</f>
        <v/>
      </c>
      <c r="N100" s="31" t="str">
        <f>IF(Account!$F100&lt;&gt;"", DATEVALUE(MID($A100,4,3) &amp; LEFT($A100,3) &amp; RIGHT($A100,4)) + TIMEVALUE($B100), "")</f>
        <v/>
      </c>
      <c r="O100" s="33" t="str">
        <f>IF(Account!$F100&lt;&gt;"", DATEVALUE(MID($A100,4,3) &amp; LEFT($A100,3) &amp; RIGHT($A100,4)), "")</f>
        <v/>
      </c>
      <c r="P100" s="34" t="str">
        <f>IFERROR(VLOOKUP($Q100,Selection!$F:$G,2,false))</f>
        <v/>
      </c>
      <c r="Q100" s="36" t="str">
        <f>IF(AND($X100="change",$H100="EUR"),IF(AND($Z100="Crédit",$N100=$N101),$Q101,IF(AND($Z100="Débit",$N100=$N99),$Q99)),IF(OR(AND(OR($E100&lt;&gt;"",$L100=""),$M100&lt;&gt;0),$A100=""),IFERROR(VLOOKUP($E100,Selection!$E:$F,2,false)),IFERROR(VLOOKUP(SUBSTITUTE($I100,"-","",1),$K101:$Q1119,7,false),VLOOKUP($K100,$K101:$Q1119,7,false))))</f>
        <v/>
      </c>
      <c r="R100" s="34" t="str">
        <f t="shared" si="2"/>
        <v/>
      </c>
      <c r="S100" s="37" t="str">
        <f t="shared" si="3"/>
        <v/>
      </c>
      <c r="T100" s="38" t="str">
        <f t="shared" si="4"/>
        <v/>
      </c>
      <c r="U100" s="28" t="str">
        <f t="shared" si="5"/>
        <v/>
      </c>
      <c r="V100" s="39" t="str">
        <f>IFERROR(__xludf.DUMMYFUNCTION(" IF(Account!$F100&lt;&gt;"""", SPLIT(Account!$F100, "" ""), """")"),"")</f>
        <v/>
      </c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</row>
    <row r="101">
      <c r="A101" s="7"/>
      <c r="B101" s="7"/>
      <c r="C101" s="7"/>
      <c r="D101" s="7"/>
      <c r="E101" s="7"/>
      <c r="F101" s="9"/>
      <c r="G101" s="7"/>
      <c r="H101" s="7"/>
      <c r="I101" s="7"/>
      <c r="J101" s="7"/>
      <c r="K101" s="7"/>
      <c r="L101" s="26" t="str">
        <f t="shared" si="1"/>
        <v/>
      </c>
      <c r="M101" s="28" t="str">
        <f>IFERROR(__xludf.DUMMYFUNCTION("IF(Account!$F101&lt;&gt;"""", VALUE(REGEXREPLACE($I101, ""\,"", ""."")), """")"),"")</f>
        <v/>
      </c>
      <c r="N101" s="31" t="str">
        <f>IF(Account!$F101&lt;&gt;"", DATEVALUE(MID($A101,4,3) &amp; LEFT($A101,3) &amp; RIGHT($A101,4)) + TIMEVALUE($B101), "")</f>
        <v/>
      </c>
      <c r="O101" s="33" t="str">
        <f>IF(Account!$F101&lt;&gt;"", DATEVALUE(MID($A101,4,3) &amp; LEFT($A101,3) &amp; RIGHT($A101,4)), "")</f>
        <v/>
      </c>
      <c r="P101" s="34" t="str">
        <f>IFERROR(VLOOKUP($Q101,Selection!$F:$G,2,false))</f>
        <v/>
      </c>
      <c r="Q101" s="36" t="str">
        <f>IF(AND($X101="change",$H101="EUR"),IF(AND($Z101="Crédit",$N101=$N102),$Q102,IF(AND($Z101="Débit",$N101=$N100),$Q100)),IF(OR(AND(OR($E101&lt;&gt;"",$L101=""),$M101&lt;&gt;0),$A101=""),IFERROR(VLOOKUP($E101,Selection!$E:$F,2,false)),IFERROR(VLOOKUP(SUBSTITUTE($I101,"-","",1),$K102:$Q1119,7,false),VLOOKUP($K101,$K102:$Q1119,7,false))))</f>
        <v/>
      </c>
      <c r="R101" s="34" t="str">
        <f t="shared" si="2"/>
        <v/>
      </c>
      <c r="S101" s="37" t="str">
        <f t="shared" si="3"/>
        <v/>
      </c>
      <c r="T101" s="38" t="str">
        <f t="shared" si="4"/>
        <v/>
      </c>
      <c r="U101" s="28" t="str">
        <f t="shared" si="5"/>
        <v/>
      </c>
      <c r="V101" s="39" t="str">
        <f>IFERROR(__xludf.DUMMYFUNCTION(" IF(Account!$F101&lt;&gt;"""", SPLIT(Account!$F101, "" ""), """")"),"")</f>
        <v/>
      </c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2">
      <c r="A102" s="7"/>
      <c r="B102" s="7"/>
      <c r="C102" s="7"/>
      <c r="D102" s="7"/>
      <c r="E102" s="7"/>
      <c r="F102" s="9"/>
      <c r="G102" s="7"/>
      <c r="H102" s="7"/>
      <c r="I102" s="7"/>
      <c r="J102" s="7"/>
      <c r="K102" s="7"/>
      <c r="L102" s="26" t="str">
        <f t="shared" si="1"/>
        <v/>
      </c>
      <c r="M102" s="28" t="str">
        <f>IFERROR(__xludf.DUMMYFUNCTION("IF(Account!$F102&lt;&gt;"""", VALUE(REGEXREPLACE($I102, ""\,"", ""."")), """")"),"")</f>
        <v/>
      </c>
      <c r="N102" s="31" t="str">
        <f>IF(Account!$F102&lt;&gt;"", DATEVALUE(MID($A102,4,3) &amp; LEFT($A102,3) &amp; RIGHT($A102,4)) + TIMEVALUE($B102), "")</f>
        <v/>
      </c>
      <c r="O102" s="33" t="str">
        <f>IF(Account!$F102&lt;&gt;"", DATEVALUE(MID($A102,4,3) &amp; LEFT($A102,3) &amp; RIGHT($A102,4)), "")</f>
        <v/>
      </c>
      <c r="P102" s="34" t="str">
        <f>IFERROR(VLOOKUP($Q102,Selection!$F:$G,2,false))</f>
        <v/>
      </c>
      <c r="Q102" s="36" t="str">
        <f>IF(AND($X102="change",$H102="EUR"),IF(AND($Z102="Crédit",$N102=$N103),$Q103,IF(AND($Z102="Débit",$N102=$N101),$Q101)),IF(OR(AND(OR($E102&lt;&gt;"",$L102=""),$M102&lt;&gt;0),$A102=""),IFERROR(VLOOKUP($E102,Selection!$E:$F,2,false)),IFERROR(VLOOKUP(SUBSTITUTE($I102,"-","",1),$K103:$Q1119,7,false),VLOOKUP($K102,$K103:$Q1119,7,false))))</f>
        <v/>
      </c>
      <c r="R102" s="34" t="str">
        <f t="shared" si="2"/>
        <v/>
      </c>
      <c r="S102" s="37" t="str">
        <f t="shared" si="3"/>
        <v/>
      </c>
      <c r="T102" s="38" t="str">
        <f t="shared" si="4"/>
        <v/>
      </c>
      <c r="U102" s="28" t="str">
        <f t="shared" si="5"/>
        <v/>
      </c>
      <c r="V102" s="39" t="str">
        <f>IFERROR(__xludf.DUMMYFUNCTION(" IF(Account!$F102&lt;&gt;"""", SPLIT(Account!$F102, "" ""), """")"),"")</f>
        <v/>
      </c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</row>
    <row r="103">
      <c r="A103" s="7"/>
      <c r="B103" s="7"/>
      <c r="C103" s="7"/>
      <c r="D103" s="7"/>
      <c r="E103" s="7"/>
      <c r="F103" s="9"/>
      <c r="G103" s="7"/>
      <c r="H103" s="7"/>
      <c r="I103" s="7"/>
      <c r="J103" s="7"/>
      <c r="K103" s="7"/>
      <c r="L103" s="26" t="str">
        <f t="shared" si="1"/>
        <v/>
      </c>
      <c r="M103" s="28" t="str">
        <f>IFERROR(__xludf.DUMMYFUNCTION("IF(Account!$F103&lt;&gt;"""", VALUE(REGEXREPLACE($I103, ""\,"", ""."")), """")"),"")</f>
        <v/>
      </c>
      <c r="N103" s="31" t="str">
        <f>IF(Account!$F103&lt;&gt;"", DATEVALUE(MID($A103,4,3) &amp; LEFT($A103,3) &amp; RIGHT($A103,4)) + TIMEVALUE($B103), "")</f>
        <v/>
      </c>
      <c r="O103" s="33" t="str">
        <f>IF(Account!$F103&lt;&gt;"", DATEVALUE(MID($A103,4,3) &amp; LEFT($A103,3) &amp; RIGHT($A103,4)), "")</f>
        <v/>
      </c>
      <c r="P103" s="34" t="str">
        <f>IFERROR(VLOOKUP($Q103,Selection!$F:$G,2,false))</f>
        <v/>
      </c>
      <c r="Q103" s="36" t="str">
        <f>IF(AND($X103="change",$H103="EUR"),IF(AND($Z103="Crédit",$N103=$N104),$Q104,IF(AND($Z103="Débit",$N103=$N102),$Q102)),IF(OR(AND(OR($E103&lt;&gt;"",$L103=""),$M103&lt;&gt;0),$A103=""),IFERROR(VLOOKUP($E103,Selection!$E:$F,2,false)),IFERROR(VLOOKUP(SUBSTITUTE($I103,"-","",1),$K104:$Q1119,7,false),VLOOKUP($K103,$K104:$Q1119,7,false))))</f>
        <v/>
      </c>
      <c r="R103" s="34" t="str">
        <f t="shared" si="2"/>
        <v/>
      </c>
      <c r="S103" s="37" t="str">
        <f t="shared" si="3"/>
        <v/>
      </c>
      <c r="T103" s="38" t="str">
        <f t="shared" si="4"/>
        <v/>
      </c>
      <c r="U103" s="28" t="str">
        <f t="shared" si="5"/>
        <v/>
      </c>
      <c r="V103" s="39" t="str">
        <f>IFERROR(__xludf.DUMMYFUNCTION(" IF(Account!$F103&lt;&gt;"""", SPLIT(Account!$F103, "" ""), """")"),"")</f>
        <v/>
      </c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</row>
    <row r="104">
      <c r="A104" s="7"/>
      <c r="B104" s="7"/>
      <c r="C104" s="7"/>
      <c r="D104" s="7"/>
      <c r="E104" s="7"/>
      <c r="F104" s="9"/>
      <c r="G104" s="7"/>
      <c r="H104" s="7"/>
      <c r="I104" s="7"/>
      <c r="J104" s="7"/>
      <c r="K104" s="7"/>
      <c r="L104" s="26" t="str">
        <f t="shared" si="1"/>
        <v/>
      </c>
      <c r="M104" s="28" t="str">
        <f>IFERROR(__xludf.DUMMYFUNCTION("IF(Account!$F104&lt;&gt;"""", VALUE(REGEXREPLACE($I104, ""\,"", ""."")), """")"),"")</f>
        <v/>
      </c>
      <c r="N104" s="31" t="str">
        <f>IF(Account!$F104&lt;&gt;"", DATEVALUE(MID($A104,4,3) &amp; LEFT($A104,3) &amp; RIGHT($A104,4)) + TIMEVALUE($B104), "")</f>
        <v/>
      </c>
      <c r="O104" s="33" t="str">
        <f>IF(Account!$F104&lt;&gt;"", DATEVALUE(MID($A104,4,3) &amp; LEFT($A104,3) &amp; RIGHT($A104,4)), "")</f>
        <v/>
      </c>
      <c r="P104" s="34" t="str">
        <f>IFERROR(VLOOKUP($Q104,Selection!$F:$G,2,false))</f>
        <v/>
      </c>
      <c r="Q104" s="36" t="str">
        <f>IF(AND($X104="change",$H104="EUR"),IF(AND($Z104="Crédit",$N104=$N105),$Q105,IF(AND($Z104="Débit",$N104=$N103),$Q103)),IF(OR(AND(OR($E104&lt;&gt;"",$L104=""),$M104&lt;&gt;0),$A104=""),IFERROR(VLOOKUP($E104,Selection!$E:$F,2,false)),IFERROR(VLOOKUP(SUBSTITUTE($I104,"-","",1),$K105:$Q1119,7,false),VLOOKUP($K104,$K105:$Q1119,7,false))))</f>
        <v/>
      </c>
      <c r="R104" s="34" t="str">
        <f t="shared" si="2"/>
        <v/>
      </c>
      <c r="S104" s="37" t="str">
        <f t="shared" si="3"/>
        <v/>
      </c>
      <c r="T104" s="38" t="str">
        <f t="shared" si="4"/>
        <v/>
      </c>
      <c r="U104" s="28" t="str">
        <f t="shared" si="5"/>
        <v/>
      </c>
      <c r="V104" s="39" t="str">
        <f>IFERROR(__xludf.DUMMYFUNCTION(" IF(Account!$F104&lt;&gt;"""", SPLIT(Account!$F104, "" ""), """")"),"")</f>
        <v/>
      </c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</row>
    <row r="105">
      <c r="A105" s="7"/>
      <c r="B105" s="7"/>
      <c r="C105" s="7"/>
      <c r="D105" s="7"/>
      <c r="E105" s="7"/>
      <c r="F105" s="9"/>
      <c r="G105" s="7"/>
      <c r="H105" s="7"/>
      <c r="I105" s="7"/>
      <c r="J105" s="7"/>
      <c r="K105" s="7"/>
      <c r="L105" s="26" t="str">
        <f t="shared" si="1"/>
        <v/>
      </c>
      <c r="M105" s="28" t="str">
        <f>IFERROR(__xludf.DUMMYFUNCTION("IF(Account!$F105&lt;&gt;"""", VALUE(REGEXREPLACE($I105, ""\,"", ""."")), """")"),"")</f>
        <v/>
      </c>
      <c r="N105" s="31" t="str">
        <f>IF(Account!$F105&lt;&gt;"", DATEVALUE(MID($A105,4,3) &amp; LEFT($A105,3) &amp; RIGHT($A105,4)) + TIMEVALUE($B105), "")</f>
        <v/>
      </c>
      <c r="O105" s="33" t="str">
        <f>IF(Account!$F105&lt;&gt;"", DATEVALUE(MID($A105,4,3) &amp; LEFT($A105,3) &amp; RIGHT($A105,4)), "")</f>
        <v/>
      </c>
      <c r="P105" s="34" t="str">
        <f>IFERROR(VLOOKUP($Q105,Selection!$F:$G,2,false))</f>
        <v/>
      </c>
      <c r="Q105" s="36" t="str">
        <f>IF(AND($X105="change",$H105="EUR"),IF(AND($Z105="Crédit",$N105=$N106),$Q106,IF(AND($Z105="Débit",$N105=$N104),$Q104)),IF(OR(AND(OR($E105&lt;&gt;"",$L105=""),$M105&lt;&gt;0),$A105=""),IFERROR(VLOOKUP($E105,Selection!$E:$F,2,false)),IFERROR(VLOOKUP(SUBSTITUTE($I105,"-","",1),$K106:$Q1119,7,false),VLOOKUP($K105,$K106:$Q1119,7,false))))</f>
        <v/>
      </c>
      <c r="R105" s="34" t="str">
        <f t="shared" si="2"/>
        <v/>
      </c>
      <c r="S105" s="37" t="str">
        <f t="shared" si="3"/>
        <v/>
      </c>
      <c r="T105" s="38" t="str">
        <f t="shared" si="4"/>
        <v/>
      </c>
      <c r="U105" s="28" t="str">
        <f t="shared" si="5"/>
        <v/>
      </c>
      <c r="V105" s="39" t="str">
        <f>IFERROR(__xludf.DUMMYFUNCTION(" IF(Account!$F105&lt;&gt;"""", SPLIT(Account!$F105, "" ""), """")"),"")</f>
        <v/>
      </c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</row>
    <row r="106">
      <c r="A106" s="7"/>
      <c r="B106" s="7"/>
      <c r="C106" s="7"/>
      <c r="D106" s="7"/>
      <c r="E106" s="7"/>
      <c r="F106" s="9"/>
      <c r="G106" s="7"/>
      <c r="H106" s="7"/>
      <c r="I106" s="7"/>
      <c r="J106" s="7"/>
      <c r="K106" s="7"/>
      <c r="L106" s="26" t="str">
        <f t="shared" si="1"/>
        <v/>
      </c>
      <c r="M106" s="28" t="str">
        <f>IFERROR(__xludf.DUMMYFUNCTION("IF(Account!$F106&lt;&gt;"""", VALUE(REGEXREPLACE($I106, ""\,"", ""."")), """")"),"")</f>
        <v/>
      </c>
      <c r="N106" s="31" t="str">
        <f>IF(Account!$F106&lt;&gt;"", DATEVALUE(MID($A106,4,3) &amp; LEFT($A106,3) &amp; RIGHT($A106,4)) + TIMEVALUE($B106), "")</f>
        <v/>
      </c>
      <c r="O106" s="33" t="str">
        <f>IF(Account!$F106&lt;&gt;"", DATEVALUE(MID($A106,4,3) &amp; LEFT($A106,3) &amp; RIGHT($A106,4)), "")</f>
        <v/>
      </c>
      <c r="P106" s="34" t="str">
        <f>IFERROR(VLOOKUP($Q106,Selection!$F:$G,2,false))</f>
        <v/>
      </c>
      <c r="Q106" s="36" t="str">
        <f>IF(AND($X106="change",$H106="EUR"),IF(AND($Z106="Crédit",$N106=$N107),$Q107,IF(AND($Z106="Débit",$N106=$N105),$Q105)),IF(OR(AND(OR($E106&lt;&gt;"",$L106=""),$M106&lt;&gt;0),$A106=""),IFERROR(VLOOKUP($E106,Selection!$E:$F,2,false)),IFERROR(VLOOKUP(SUBSTITUTE($I106,"-","",1),$K107:$Q1119,7,false),VLOOKUP($K106,$K107:$Q1119,7,false))))</f>
        <v/>
      </c>
      <c r="R106" s="34" t="str">
        <f t="shared" si="2"/>
        <v/>
      </c>
      <c r="S106" s="37" t="str">
        <f t="shared" si="3"/>
        <v/>
      </c>
      <c r="T106" s="38" t="str">
        <f t="shared" si="4"/>
        <v/>
      </c>
      <c r="U106" s="28" t="str">
        <f t="shared" si="5"/>
        <v/>
      </c>
      <c r="V106" s="39" t="str">
        <f>IFERROR(__xludf.DUMMYFUNCTION(" IF(Account!$F106&lt;&gt;"""", SPLIT(Account!$F106, "" ""), """")"),"")</f>
        <v/>
      </c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</row>
    <row r="107">
      <c r="A107" s="7"/>
      <c r="B107" s="7"/>
      <c r="C107" s="7"/>
      <c r="D107" s="7"/>
      <c r="E107" s="7"/>
      <c r="F107" s="9"/>
      <c r="G107" s="7"/>
      <c r="H107" s="7"/>
      <c r="I107" s="7"/>
      <c r="J107" s="7"/>
      <c r="K107" s="7"/>
      <c r="L107" s="26" t="str">
        <f t="shared" si="1"/>
        <v/>
      </c>
      <c r="M107" s="28" t="str">
        <f>IFERROR(__xludf.DUMMYFUNCTION("IF(Account!$F107&lt;&gt;"""", VALUE(REGEXREPLACE($I107, ""\,"", ""."")), """")"),"")</f>
        <v/>
      </c>
      <c r="N107" s="31" t="str">
        <f>IF(Account!$F107&lt;&gt;"", DATEVALUE(MID($A107,4,3) &amp; LEFT($A107,3) &amp; RIGHT($A107,4)) + TIMEVALUE($B107), "")</f>
        <v/>
      </c>
      <c r="O107" s="33" t="str">
        <f>IF(Account!$F107&lt;&gt;"", DATEVALUE(MID($A107,4,3) &amp; LEFT($A107,3) &amp; RIGHT($A107,4)), "")</f>
        <v/>
      </c>
      <c r="P107" s="34" t="str">
        <f>IFERROR(VLOOKUP($Q107,Selection!$F:$G,2,false))</f>
        <v/>
      </c>
      <c r="Q107" s="36" t="str">
        <f>IF(AND($X107="change",$H107="EUR"),IF(AND($Z107="Crédit",$N107=$N108),$Q108,IF(AND($Z107="Débit",$N107=$N106),$Q106)),IF(OR(AND(OR($E107&lt;&gt;"",$L107=""),$M107&lt;&gt;0),$A107=""),IFERROR(VLOOKUP($E107,Selection!$E:$F,2,false)),IFERROR(VLOOKUP(SUBSTITUTE($I107,"-","",1),$K108:$Q1119,7,false),VLOOKUP($K107,$K108:$Q1119,7,false))))</f>
        <v/>
      </c>
      <c r="R107" s="34" t="str">
        <f t="shared" si="2"/>
        <v/>
      </c>
      <c r="S107" s="37" t="str">
        <f t="shared" si="3"/>
        <v/>
      </c>
      <c r="T107" s="38" t="str">
        <f t="shared" si="4"/>
        <v/>
      </c>
      <c r="U107" s="28" t="str">
        <f t="shared" si="5"/>
        <v/>
      </c>
      <c r="V107" s="39" t="str">
        <f>IFERROR(__xludf.DUMMYFUNCTION(" IF(Account!$F107&lt;&gt;"""", SPLIT(Account!$F107, "" ""), """")"),"")</f>
        <v/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</row>
    <row r="108">
      <c r="A108" s="7"/>
      <c r="B108" s="7"/>
      <c r="C108" s="7"/>
      <c r="D108" s="7"/>
      <c r="E108" s="7"/>
      <c r="F108" s="9"/>
      <c r="G108" s="7"/>
      <c r="H108" s="7"/>
      <c r="I108" s="7"/>
      <c r="J108" s="7"/>
      <c r="K108" s="7"/>
      <c r="L108" s="26" t="str">
        <f t="shared" si="1"/>
        <v/>
      </c>
      <c r="M108" s="28" t="str">
        <f>IFERROR(__xludf.DUMMYFUNCTION("IF(Account!$F108&lt;&gt;"""", VALUE(REGEXREPLACE($I108, ""\,"", ""."")), """")"),"")</f>
        <v/>
      </c>
      <c r="N108" s="31" t="str">
        <f>IF(Account!$F108&lt;&gt;"", DATEVALUE(MID($A108,4,3) &amp; LEFT($A108,3) &amp; RIGHT($A108,4)) + TIMEVALUE($B108), "")</f>
        <v/>
      </c>
      <c r="O108" s="33" t="str">
        <f>IF(Account!$F108&lt;&gt;"", DATEVALUE(MID($A108,4,3) &amp; LEFT($A108,3) &amp; RIGHT($A108,4)), "")</f>
        <v/>
      </c>
      <c r="P108" s="34" t="str">
        <f>IFERROR(VLOOKUP($Q108,Selection!$F:$G,2,false))</f>
        <v/>
      </c>
      <c r="Q108" s="36" t="str">
        <f>IF(AND($X108="change",$H108="EUR"),IF(AND($Z108="Crédit",$N108=$N109),$Q109,IF(AND($Z108="Débit",$N108=$N107),$Q107)),IF(OR(AND(OR($E108&lt;&gt;"",$L108=""),$M108&lt;&gt;0),$A108=""),IFERROR(VLOOKUP($E108,Selection!$E:$F,2,false)),IFERROR(VLOOKUP(SUBSTITUTE($I108,"-","",1),$K109:$Q1119,7,false),VLOOKUP($K108,$K109:$Q1119,7,false))))</f>
        <v/>
      </c>
      <c r="R108" s="34" t="str">
        <f t="shared" si="2"/>
        <v/>
      </c>
      <c r="S108" s="37" t="str">
        <f t="shared" si="3"/>
        <v/>
      </c>
      <c r="T108" s="38" t="str">
        <f t="shared" si="4"/>
        <v/>
      </c>
      <c r="U108" s="28" t="str">
        <f t="shared" si="5"/>
        <v/>
      </c>
      <c r="V108" s="39" t="str">
        <f>IFERROR(__xludf.DUMMYFUNCTION(" IF(Account!$F108&lt;&gt;"""", SPLIT(Account!$F108, "" ""), """")"),"")</f>
        <v/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</row>
    <row r="109">
      <c r="A109" s="7"/>
      <c r="B109" s="7"/>
      <c r="C109" s="7"/>
      <c r="D109" s="7"/>
      <c r="E109" s="7"/>
      <c r="F109" s="9"/>
      <c r="G109" s="7"/>
      <c r="H109" s="7"/>
      <c r="I109" s="7"/>
      <c r="J109" s="7"/>
      <c r="K109" s="7"/>
      <c r="L109" s="26" t="str">
        <f t="shared" si="1"/>
        <v/>
      </c>
      <c r="M109" s="28" t="str">
        <f>IFERROR(__xludf.DUMMYFUNCTION("IF(Account!$F109&lt;&gt;"""", VALUE(REGEXREPLACE($I109, ""\,"", ""."")), """")"),"")</f>
        <v/>
      </c>
      <c r="N109" s="31" t="str">
        <f>IF(Account!$F109&lt;&gt;"", DATEVALUE(MID($A109,4,3) &amp; LEFT($A109,3) &amp; RIGHT($A109,4)) + TIMEVALUE($B109), "")</f>
        <v/>
      </c>
      <c r="O109" s="33" t="str">
        <f>IF(Account!$F109&lt;&gt;"", DATEVALUE(MID($A109,4,3) &amp; LEFT($A109,3) &amp; RIGHT($A109,4)), "")</f>
        <v/>
      </c>
      <c r="P109" s="34" t="str">
        <f>IFERROR(VLOOKUP($Q109,Selection!$F:$G,2,false))</f>
        <v/>
      </c>
      <c r="Q109" s="36" t="str">
        <f>IF(AND($X109="change",$H109="EUR"),IF(AND($Z109="Crédit",$N109=$N110),$Q110,IF(AND($Z109="Débit",$N109=$N108),$Q108)),IF(OR(AND(OR($E109&lt;&gt;"",$L109=""),$M109&lt;&gt;0),$A109=""),IFERROR(VLOOKUP($E109,Selection!$E:$F,2,false)),IFERROR(VLOOKUP(SUBSTITUTE($I109,"-","",1),$K110:$Q1119,7,false),VLOOKUP($K109,$K110:$Q1119,7,false))))</f>
        <v/>
      </c>
      <c r="R109" s="34" t="str">
        <f t="shared" si="2"/>
        <v/>
      </c>
      <c r="S109" s="37" t="str">
        <f t="shared" si="3"/>
        <v/>
      </c>
      <c r="T109" s="38" t="str">
        <f t="shared" si="4"/>
        <v/>
      </c>
      <c r="U109" s="28" t="str">
        <f t="shared" si="5"/>
        <v/>
      </c>
      <c r="V109" s="39" t="str">
        <f>IFERROR(__xludf.DUMMYFUNCTION(" IF(Account!$F109&lt;&gt;"""", SPLIT(Account!$F109, "" ""), """")"),"")</f>
        <v/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</row>
    <row r="110">
      <c r="A110" s="7"/>
      <c r="B110" s="7"/>
      <c r="C110" s="7"/>
      <c r="D110" s="7"/>
      <c r="E110" s="7"/>
      <c r="F110" s="9"/>
      <c r="G110" s="7"/>
      <c r="H110" s="7"/>
      <c r="I110" s="7"/>
      <c r="J110" s="7"/>
      <c r="K110" s="7"/>
      <c r="L110" s="26" t="str">
        <f t="shared" si="1"/>
        <v/>
      </c>
      <c r="M110" s="28" t="str">
        <f>IFERROR(__xludf.DUMMYFUNCTION("IF(Account!$F110&lt;&gt;"""", VALUE(REGEXREPLACE($I110, ""\,"", ""."")), """")"),"")</f>
        <v/>
      </c>
      <c r="N110" s="31" t="str">
        <f>IF(Account!$F110&lt;&gt;"", DATEVALUE(MID($A110,4,3) &amp; LEFT($A110,3) &amp; RIGHT($A110,4)) + TIMEVALUE($B110), "")</f>
        <v/>
      </c>
      <c r="O110" s="33" t="str">
        <f>IF(Account!$F110&lt;&gt;"", DATEVALUE(MID($A110,4,3) &amp; LEFT($A110,3) &amp; RIGHT($A110,4)), "")</f>
        <v/>
      </c>
      <c r="P110" s="34" t="str">
        <f>IFERROR(VLOOKUP($Q110,Selection!$F:$G,2,false))</f>
        <v/>
      </c>
      <c r="Q110" s="36" t="str">
        <f>IF(AND($X110="change",$H110="EUR"),IF(AND($Z110="Crédit",$N110=$N111),$Q111,IF(AND($Z110="Débit",$N110=$N109),$Q109)),IF(OR(AND(OR($E110&lt;&gt;"",$L110=""),$M110&lt;&gt;0),$A110=""),IFERROR(VLOOKUP($E110,Selection!$E:$F,2,false)),IFERROR(VLOOKUP(SUBSTITUTE($I110,"-","",1),$K111:$Q1119,7,false),VLOOKUP($K110,$K111:$Q1119,7,false))))</f>
        <v/>
      </c>
      <c r="R110" s="34" t="str">
        <f t="shared" si="2"/>
        <v/>
      </c>
      <c r="S110" s="37" t="str">
        <f t="shared" si="3"/>
        <v/>
      </c>
      <c r="T110" s="38" t="str">
        <f t="shared" si="4"/>
        <v/>
      </c>
      <c r="U110" s="28" t="str">
        <f t="shared" si="5"/>
        <v/>
      </c>
      <c r="V110" s="39" t="str">
        <f>IFERROR(__xludf.DUMMYFUNCTION(" IF(Account!$F110&lt;&gt;"""", SPLIT(Account!$F110, "" ""), """")"),"")</f>
        <v/>
      </c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>
      <c r="A111" s="7"/>
      <c r="B111" s="7"/>
      <c r="C111" s="7"/>
      <c r="D111" s="7"/>
      <c r="E111" s="7"/>
      <c r="F111" s="9"/>
      <c r="G111" s="7"/>
      <c r="H111" s="7"/>
      <c r="I111" s="7"/>
      <c r="J111" s="7"/>
      <c r="K111" s="7"/>
      <c r="L111" s="26" t="str">
        <f t="shared" si="1"/>
        <v/>
      </c>
      <c r="M111" s="28" t="str">
        <f>IFERROR(__xludf.DUMMYFUNCTION("IF(Account!$F111&lt;&gt;"""", VALUE(REGEXREPLACE($I111, ""\,"", ""."")), """")"),"")</f>
        <v/>
      </c>
      <c r="N111" s="31" t="str">
        <f>IF(Account!$F111&lt;&gt;"", DATEVALUE(MID($A111,4,3) &amp; LEFT($A111,3) &amp; RIGHT($A111,4)) + TIMEVALUE($B111), "")</f>
        <v/>
      </c>
      <c r="O111" s="33" t="str">
        <f>IF(Account!$F111&lt;&gt;"", DATEVALUE(MID($A111,4,3) &amp; LEFT($A111,3) &amp; RIGHT($A111,4)), "")</f>
        <v/>
      </c>
      <c r="P111" s="34" t="str">
        <f>IFERROR(VLOOKUP($Q111,Selection!$F:$G,2,false))</f>
        <v/>
      </c>
      <c r="Q111" s="36" t="str">
        <f>IF(AND($X111="change",$H111="EUR"),IF(AND($Z111="Crédit",$N111=$N112),$Q112,IF(AND($Z111="Débit",$N111=$N110),$Q110)),IF(OR(AND(OR($E111&lt;&gt;"",$L111=""),$M111&lt;&gt;0),$A111=""),IFERROR(VLOOKUP($E111,Selection!$E:$F,2,false)),IFERROR(VLOOKUP(SUBSTITUTE($I111,"-","",1),$K112:$Q1119,7,false),VLOOKUP($K111,$K112:$Q1119,7,false))))</f>
        <v/>
      </c>
      <c r="R111" s="34" t="str">
        <f t="shared" si="2"/>
        <v/>
      </c>
      <c r="S111" s="37" t="str">
        <f t="shared" si="3"/>
        <v/>
      </c>
      <c r="T111" s="38" t="str">
        <f t="shared" si="4"/>
        <v/>
      </c>
      <c r="U111" s="28" t="str">
        <f t="shared" si="5"/>
        <v/>
      </c>
      <c r="V111" s="39" t="str">
        <f>IFERROR(__xludf.DUMMYFUNCTION(" IF(Account!$F111&lt;&gt;"""", SPLIT(Account!$F111, "" ""), """")"),"")</f>
        <v/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</row>
    <row r="112">
      <c r="A112" s="7"/>
      <c r="B112" s="7"/>
      <c r="C112" s="7"/>
      <c r="D112" s="7"/>
      <c r="E112" s="7"/>
      <c r="F112" s="9"/>
      <c r="G112" s="7"/>
      <c r="H112" s="7"/>
      <c r="I112" s="7"/>
      <c r="J112" s="7"/>
      <c r="K112" s="7"/>
      <c r="L112" s="26" t="str">
        <f t="shared" si="1"/>
        <v/>
      </c>
      <c r="M112" s="28" t="str">
        <f>IFERROR(__xludf.DUMMYFUNCTION("IF(Account!$F112&lt;&gt;"""", VALUE(REGEXREPLACE($I112, ""\,"", ""."")), """")"),"")</f>
        <v/>
      </c>
      <c r="N112" s="31" t="str">
        <f>IF(Account!$F112&lt;&gt;"", DATEVALUE(MID($A112,4,3) &amp; LEFT($A112,3) &amp; RIGHT($A112,4)) + TIMEVALUE($B112), "")</f>
        <v/>
      </c>
      <c r="O112" s="33" t="str">
        <f>IF(Account!$F112&lt;&gt;"", DATEVALUE(MID($A112,4,3) &amp; LEFT($A112,3) &amp; RIGHT($A112,4)), "")</f>
        <v/>
      </c>
      <c r="P112" s="34" t="str">
        <f>IFERROR(VLOOKUP($Q112,Selection!$F:$G,2,false))</f>
        <v/>
      </c>
      <c r="Q112" s="36" t="str">
        <f>IF(AND($X112="change",$H112="EUR"),IF(AND($Z112="Crédit",$N112=$N113),$Q113,IF(AND($Z112="Débit",$N112=$N111),$Q111)),IF(OR(AND(OR($E112&lt;&gt;"",$L112=""),$M112&lt;&gt;0),$A112=""),IFERROR(VLOOKUP($E112,Selection!$E:$F,2,false)),IFERROR(VLOOKUP(SUBSTITUTE($I112,"-","",1),$K113:$Q1119,7,false),VLOOKUP($K112,$K113:$Q1119,7,false))))</f>
        <v/>
      </c>
      <c r="R112" s="34" t="str">
        <f t="shared" si="2"/>
        <v/>
      </c>
      <c r="S112" s="37" t="str">
        <f t="shared" si="3"/>
        <v/>
      </c>
      <c r="T112" s="38" t="str">
        <f t="shared" si="4"/>
        <v/>
      </c>
      <c r="U112" s="28" t="str">
        <f t="shared" si="5"/>
        <v/>
      </c>
      <c r="V112" s="39" t="str">
        <f>IFERROR(__xludf.DUMMYFUNCTION(" IF(Account!$F112&lt;&gt;"""", SPLIT(Account!$F112, "" ""), """")"),"")</f>
        <v/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</row>
    <row r="113">
      <c r="A113" s="7"/>
      <c r="B113" s="7"/>
      <c r="C113" s="7"/>
      <c r="D113" s="7"/>
      <c r="E113" s="7"/>
      <c r="F113" s="9"/>
      <c r="G113" s="7"/>
      <c r="H113" s="7"/>
      <c r="I113" s="7"/>
      <c r="J113" s="7"/>
      <c r="K113" s="7"/>
      <c r="L113" s="26" t="str">
        <f t="shared" si="1"/>
        <v/>
      </c>
      <c r="M113" s="28" t="str">
        <f>IFERROR(__xludf.DUMMYFUNCTION("IF(Account!$F113&lt;&gt;"""", VALUE(REGEXREPLACE($I113, ""\,"", ""."")), """")"),"")</f>
        <v/>
      </c>
      <c r="N113" s="31" t="str">
        <f>IF(Account!$F113&lt;&gt;"", DATEVALUE(MID($A113,4,3) &amp; LEFT($A113,3) &amp; RIGHT($A113,4)) + TIMEVALUE($B113), "")</f>
        <v/>
      </c>
      <c r="O113" s="33" t="str">
        <f>IF(Account!$F113&lt;&gt;"", DATEVALUE(MID($A113,4,3) &amp; LEFT($A113,3) &amp; RIGHT($A113,4)), "")</f>
        <v/>
      </c>
      <c r="P113" s="34" t="str">
        <f>IFERROR(VLOOKUP($Q113,Selection!$F:$G,2,false))</f>
        <v/>
      </c>
      <c r="Q113" s="36" t="str">
        <f>IF(AND($X113="change",$H113="EUR"),IF(AND($Z113="Crédit",$N113=$N114),$Q114,IF(AND($Z113="Débit",$N113=$N112),$Q112)),IF(OR(AND(OR($E113&lt;&gt;"",$L113=""),$M113&lt;&gt;0),$A113=""),IFERROR(VLOOKUP($E113,Selection!$E:$F,2,false)),IFERROR(VLOOKUP(SUBSTITUTE($I113,"-","",1),$K114:$Q1119,7,false),VLOOKUP($K113,$K114:$Q1119,7,false))))</f>
        <v/>
      </c>
      <c r="R113" s="34" t="str">
        <f t="shared" si="2"/>
        <v/>
      </c>
      <c r="S113" s="37" t="str">
        <f t="shared" si="3"/>
        <v/>
      </c>
      <c r="T113" s="38" t="str">
        <f t="shared" si="4"/>
        <v/>
      </c>
      <c r="U113" s="28" t="str">
        <f t="shared" si="5"/>
        <v/>
      </c>
      <c r="V113" s="39" t="str">
        <f>IFERROR(__xludf.DUMMYFUNCTION(" IF(Account!$F113&lt;&gt;"""", SPLIT(Account!$F113, "" ""), """")"),"")</f>
        <v/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</row>
    <row r="114">
      <c r="A114" s="7"/>
      <c r="B114" s="7"/>
      <c r="C114" s="7"/>
      <c r="D114" s="7"/>
      <c r="E114" s="7"/>
      <c r="F114" s="9"/>
      <c r="G114" s="7"/>
      <c r="H114" s="7"/>
      <c r="I114" s="7"/>
      <c r="J114" s="7"/>
      <c r="K114" s="7"/>
      <c r="L114" s="26" t="str">
        <f t="shared" si="1"/>
        <v/>
      </c>
      <c r="M114" s="28" t="str">
        <f>IFERROR(__xludf.DUMMYFUNCTION("IF(Account!$F114&lt;&gt;"""", VALUE(REGEXREPLACE($I114, ""\,"", ""."")), """")"),"")</f>
        <v/>
      </c>
      <c r="N114" s="31" t="str">
        <f>IF(Account!$F114&lt;&gt;"", DATEVALUE(MID($A114,4,3) &amp; LEFT($A114,3) &amp; RIGHT($A114,4)) + TIMEVALUE($B114), "")</f>
        <v/>
      </c>
      <c r="O114" s="33" t="str">
        <f>IF(Account!$F114&lt;&gt;"", DATEVALUE(MID($A114,4,3) &amp; LEFT($A114,3) &amp; RIGHT($A114,4)), "")</f>
        <v/>
      </c>
      <c r="P114" s="34" t="str">
        <f>IFERROR(VLOOKUP($Q114,Selection!$F:$G,2,false))</f>
        <v/>
      </c>
      <c r="Q114" s="36" t="str">
        <f>IF(AND($X114="change",$H114="EUR"),IF(AND($Z114="Crédit",$N114=$N115),$Q115,IF(AND($Z114="Débit",$N114=$N113),$Q113)),IF(OR(AND(OR($E114&lt;&gt;"",$L114=""),$M114&lt;&gt;0),$A114=""),IFERROR(VLOOKUP($E114,Selection!$E:$F,2,false)),IFERROR(VLOOKUP(SUBSTITUTE($I114,"-","",1),$K115:$Q1119,7,false),VLOOKUP($K114,$K115:$Q1119,7,false))))</f>
        <v/>
      </c>
      <c r="R114" s="34" t="str">
        <f t="shared" si="2"/>
        <v/>
      </c>
      <c r="S114" s="37" t="str">
        <f t="shared" si="3"/>
        <v/>
      </c>
      <c r="T114" s="38" t="str">
        <f t="shared" si="4"/>
        <v/>
      </c>
      <c r="U114" s="28" t="str">
        <f t="shared" si="5"/>
        <v/>
      </c>
      <c r="V114" s="39" t="str">
        <f>IFERROR(__xludf.DUMMYFUNCTION(" IF(Account!$F114&lt;&gt;"""", SPLIT(Account!$F114, "" ""), """")"),"")</f>
        <v/>
      </c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</row>
    <row r="115">
      <c r="A115" s="7"/>
      <c r="B115" s="7"/>
      <c r="C115" s="7"/>
      <c r="D115" s="7"/>
      <c r="E115" s="7"/>
      <c r="F115" s="9"/>
      <c r="G115" s="7"/>
      <c r="H115" s="7"/>
      <c r="I115" s="7"/>
      <c r="J115" s="7"/>
      <c r="K115" s="7"/>
      <c r="L115" s="26" t="str">
        <f t="shared" si="1"/>
        <v/>
      </c>
      <c r="M115" s="28" t="str">
        <f>IFERROR(__xludf.DUMMYFUNCTION("IF(Account!$F115&lt;&gt;"""", VALUE(REGEXREPLACE($I115, ""\,"", ""."")), """")"),"")</f>
        <v/>
      </c>
      <c r="N115" s="31" t="str">
        <f>IF(Account!$F115&lt;&gt;"", DATEVALUE(MID($A115,4,3) &amp; LEFT($A115,3) &amp; RIGHT($A115,4)) + TIMEVALUE($B115), "")</f>
        <v/>
      </c>
      <c r="O115" s="33" t="str">
        <f>IF(Account!$F115&lt;&gt;"", DATEVALUE(MID($A115,4,3) &amp; LEFT($A115,3) &amp; RIGHT($A115,4)), "")</f>
        <v/>
      </c>
      <c r="P115" s="34" t="str">
        <f>IFERROR(VLOOKUP($Q115,Selection!$F:$G,2,false))</f>
        <v/>
      </c>
      <c r="Q115" s="36" t="str">
        <f>IF(AND($X115="change",$H115="EUR"),IF(AND($Z115="Crédit",$N115=$N116),$Q116,IF(AND($Z115="Débit",$N115=$N114),$Q114)),IF(OR(AND(OR($E115&lt;&gt;"",$L115=""),$M115&lt;&gt;0),$A115=""),IFERROR(VLOOKUP($E115,Selection!$E:$F,2,false)),IFERROR(VLOOKUP(SUBSTITUTE($I115,"-","",1),$K116:$Q1119,7,false),VLOOKUP($K115,$K116:$Q1119,7,false))))</f>
        <v/>
      </c>
      <c r="R115" s="34" t="str">
        <f t="shared" si="2"/>
        <v/>
      </c>
      <c r="S115" s="37" t="str">
        <f t="shared" si="3"/>
        <v/>
      </c>
      <c r="T115" s="38" t="str">
        <f t="shared" si="4"/>
        <v/>
      </c>
      <c r="U115" s="28" t="str">
        <f t="shared" si="5"/>
        <v/>
      </c>
      <c r="V115" s="39" t="str">
        <f>IFERROR(__xludf.DUMMYFUNCTION(" IF(Account!$F115&lt;&gt;"""", SPLIT(Account!$F115, "" ""), """")"),"")</f>
        <v/>
      </c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</row>
    <row r="116">
      <c r="A116" s="7"/>
      <c r="B116" s="7"/>
      <c r="C116" s="7"/>
      <c r="D116" s="7"/>
      <c r="E116" s="7"/>
      <c r="F116" s="9"/>
      <c r="G116" s="7"/>
      <c r="H116" s="7"/>
      <c r="I116" s="7"/>
      <c r="J116" s="7"/>
      <c r="K116" s="7"/>
      <c r="L116" s="26" t="str">
        <f t="shared" si="1"/>
        <v/>
      </c>
      <c r="M116" s="28" t="str">
        <f>IFERROR(__xludf.DUMMYFUNCTION("IF(Account!$F116&lt;&gt;"""", VALUE(REGEXREPLACE($I116, ""\,"", ""."")), """")"),"")</f>
        <v/>
      </c>
      <c r="N116" s="31" t="str">
        <f>IF(Account!$F116&lt;&gt;"", DATEVALUE(MID($A116,4,3) &amp; LEFT($A116,3) &amp; RIGHT($A116,4)) + TIMEVALUE($B116), "")</f>
        <v/>
      </c>
      <c r="O116" s="33" t="str">
        <f>IF(Account!$F116&lt;&gt;"", DATEVALUE(MID($A116,4,3) &amp; LEFT($A116,3) &amp; RIGHT($A116,4)), "")</f>
        <v/>
      </c>
      <c r="P116" s="34" t="str">
        <f>IFERROR(VLOOKUP($Q116,Selection!$F:$G,2,false))</f>
        <v/>
      </c>
      <c r="Q116" s="36" t="str">
        <f>IF(AND($X116="change",$H116="EUR"),IF(AND($Z116="Crédit",$N116=$N117),$Q117,IF(AND($Z116="Débit",$N116=$N115),$Q115)),IF(OR(AND(OR($E116&lt;&gt;"",$L116=""),$M116&lt;&gt;0),$A116=""),IFERROR(VLOOKUP($E116,Selection!$E:$F,2,false)),IFERROR(VLOOKUP(SUBSTITUTE($I116,"-","",1),$K117:$Q1119,7,false),VLOOKUP($K116,$K117:$Q1119,7,false))))</f>
        <v/>
      </c>
      <c r="R116" s="34" t="str">
        <f t="shared" si="2"/>
        <v/>
      </c>
      <c r="S116" s="37" t="str">
        <f t="shared" si="3"/>
        <v/>
      </c>
      <c r="T116" s="38" t="str">
        <f t="shared" si="4"/>
        <v/>
      </c>
      <c r="U116" s="28" t="str">
        <f t="shared" si="5"/>
        <v/>
      </c>
      <c r="V116" s="39" t="str">
        <f>IFERROR(__xludf.DUMMYFUNCTION(" IF(Account!$F116&lt;&gt;"""", SPLIT(Account!$F116, "" ""), """")"),"")</f>
        <v/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</row>
    <row r="117">
      <c r="A117" s="7"/>
      <c r="B117" s="7"/>
      <c r="C117" s="7"/>
      <c r="D117" s="7"/>
      <c r="E117" s="7"/>
      <c r="F117" s="9"/>
      <c r="G117" s="7"/>
      <c r="H117" s="7"/>
      <c r="I117" s="7"/>
      <c r="J117" s="7"/>
      <c r="K117" s="7"/>
      <c r="L117" s="26" t="str">
        <f t="shared" si="1"/>
        <v/>
      </c>
      <c r="M117" s="28" t="str">
        <f>IFERROR(__xludf.DUMMYFUNCTION("IF(Account!$F117&lt;&gt;"""", VALUE(REGEXREPLACE($I117, ""\,"", ""."")), """")"),"")</f>
        <v/>
      </c>
      <c r="N117" s="31" t="str">
        <f>IF(Account!$F117&lt;&gt;"", DATEVALUE(MID($A117,4,3) &amp; LEFT($A117,3) &amp; RIGHT($A117,4)) + TIMEVALUE($B117), "")</f>
        <v/>
      </c>
      <c r="O117" s="33" t="str">
        <f>IF(Account!$F117&lt;&gt;"", DATEVALUE(MID($A117,4,3) &amp; LEFT($A117,3) &amp; RIGHT($A117,4)), "")</f>
        <v/>
      </c>
      <c r="P117" s="34" t="str">
        <f>IFERROR(VLOOKUP($Q117,Selection!$F:$G,2,false))</f>
        <v/>
      </c>
      <c r="Q117" s="36" t="str">
        <f>IF(AND($X117="change",$H117="EUR"),IF(AND($Z117="Crédit",$N117=$N118),$Q118,IF(AND($Z117="Débit",$N117=$N116),$Q116)),IF(OR(AND(OR($E117&lt;&gt;"",$L117=""),$M117&lt;&gt;0),$A117=""),IFERROR(VLOOKUP($E117,Selection!$E:$F,2,false)),IFERROR(VLOOKUP(SUBSTITUTE($I117,"-","",1),$K118:$Q1119,7,false),VLOOKUP($K117,$K118:$Q1119,7,false))))</f>
        <v/>
      </c>
      <c r="R117" s="34" t="str">
        <f t="shared" si="2"/>
        <v/>
      </c>
      <c r="S117" s="37" t="str">
        <f t="shared" si="3"/>
        <v/>
      </c>
      <c r="T117" s="38" t="str">
        <f t="shared" si="4"/>
        <v/>
      </c>
      <c r="U117" s="28" t="str">
        <f t="shared" si="5"/>
        <v/>
      </c>
      <c r="V117" s="39" t="str">
        <f>IFERROR(__xludf.DUMMYFUNCTION(" IF(Account!$F117&lt;&gt;"""", SPLIT(Account!$F117, "" ""), """")"),"")</f>
        <v/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</row>
    <row r="118">
      <c r="A118" s="7"/>
      <c r="B118" s="7"/>
      <c r="C118" s="7"/>
      <c r="D118" s="7"/>
      <c r="E118" s="7"/>
      <c r="F118" s="9"/>
      <c r="G118" s="7"/>
      <c r="H118" s="7"/>
      <c r="I118" s="7"/>
      <c r="J118" s="7"/>
      <c r="K118" s="7"/>
      <c r="L118" s="26" t="str">
        <f t="shared" si="1"/>
        <v/>
      </c>
      <c r="M118" s="28" t="str">
        <f>IFERROR(__xludf.DUMMYFUNCTION("IF(Account!$F118&lt;&gt;"""", VALUE(REGEXREPLACE($I118, ""\,"", ""."")), """")"),"")</f>
        <v/>
      </c>
      <c r="N118" s="31" t="str">
        <f>IF(Account!$F118&lt;&gt;"", DATEVALUE(MID($A118,4,3) &amp; LEFT($A118,3) &amp; RIGHT($A118,4)) + TIMEVALUE($B118), "")</f>
        <v/>
      </c>
      <c r="O118" s="33" t="str">
        <f>IF(Account!$F118&lt;&gt;"", DATEVALUE(MID($A118,4,3) &amp; LEFT($A118,3) &amp; RIGHT($A118,4)), "")</f>
        <v/>
      </c>
      <c r="P118" s="34" t="str">
        <f>IFERROR(VLOOKUP($Q118,Selection!$F:$G,2,false))</f>
        <v/>
      </c>
      <c r="Q118" s="36" t="str">
        <f>IF(AND($X118="change",$H118="EUR"),IF(AND($Z118="Crédit",$N118=$N119),$Q119,IF(AND($Z118="Débit",$N118=$N117),$Q117)),IF(OR(AND(OR($E118&lt;&gt;"",$L118=""),$M118&lt;&gt;0),$A118=""),IFERROR(VLOOKUP($E118,Selection!$E:$F,2,false)),IFERROR(VLOOKUP(SUBSTITUTE($I118,"-","",1),$K119:$Q1119,7,false),VLOOKUP($K118,$K119:$Q1119,7,false))))</f>
        <v/>
      </c>
      <c r="R118" s="34" t="str">
        <f t="shared" si="2"/>
        <v/>
      </c>
      <c r="S118" s="37" t="str">
        <f t="shared" si="3"/>
        <v/>
      </c>
      <c r="T118" s="38" t="str">
        <f t="shared" si="4"/>
        <v/>
      </c>
      <c r="U118" s="28" t="str">
        <f t="shared" si="5"/>
        <v/>
      </c>
      <c r="V118" s="39" t="str">
        <f>IFERROR(__xludf.DUMMYFUNCTION(" IF(Account!$F118&lt;&gt;"""", SPLIT(Account!$F118, "" ""), """")"),"")</f>
        <v/>
      </c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</row>
    <row r="119">
      <c r="A119" s="7"/>
      <c r="B119" s="7"/>
      <c r="C119" s="7"/>
      <c r="D119" s="7"/>
      <c r="E119" s="7"/>
      <c r="F119" s="9"/>
      <c r="G119" s="7"/>
      <c r="H119" s="7"/>
      <c r="I119" s="7"/>
      <c r="J119" s="7"/>
      <c r="K119" s="7"/>
      <c r="L119" s="26" t="str">
        <f t="shared" si="1"/>
        <v/>
      </c>
      <c r="M119" s="28" t="str">
        <f>IFERROR(__xludf.DUMMYFUNCTION("IF(Account!$F119&lt;&gt;"""", VALUE(REGEXREPLACE($I119, ""\,"", ""."")), """")"),"")</f>
        <v/>
      </c>
      <c r="N119" s="31" t="str">
        <f>IF(Account!$F119&lt;&gt;"", DATEVALUE(MID($A119,4,3) &amp; LEFT($A119,3) &amp; RIGHT($A119,4)) + TIMEVALUE($B119), "")</f>
        <v/>
      </c>
      <c r="O119" s="33" t="str">
        <f>IF(Account!$F119&lt;&gt;"", DATEVALUE(MID($A119,4,3) &amp; LEFT($A119,3) &amp; RIGHT($A119,4)), "")</f>
        <v/>
      </c>
      <c r="P119" s="34" t="str">
        <f>IFERROR(VLOOKUP($Q119,Selection!$F:$G,2,false))</f>
        <v/>
      </c>
      <c r="Q119" s="36" t="str">
        <f>IF(AND($X119="change",$H119="EUR"),IF(AND($Z119="Crédit",$N119=$N120),$Q120,IF(AND($Z119="Débit",$N119=$N118),$Q118)),IF(OR(AND(OR($E119&lt;&gt;"",$L119=""),$M119&lt;&gt;0),$A119=""),IFERROR(VLOOKUP($E119,Selection!$E:$F,2,false)),IFERROR(VLOOKUP(SUBSTITUTE($I119,"-","",1),$K120:$Q1119,7,false),VLOOKUP($K119,$K120:$Q1119,7,false))))</f>
        <v/>
      </c>
      <c r="R119" s="34" t="str">
        <f t="shared" si="2"/>
        <v/>
      </c>
      <c r="S119" s="37" t="str">
        <f t="shared" si="3"/>
        <v/>
      </c>
      <c r="T119" s="38" t="str">
        <f t="shared" si="4"/>
        <v/>
      </c>
      <c r="U119" s="28" t="str">
        <f t="shared" si="5"/>
        <v/>
      </c>
      <c r="V119" s="39" t="str">
        <f>IFERROR(__xludf.DUMMYFUNCTION(" IF(Account!$F119&lt;&gt;"""", SPLIT(Account!$F119, "" ""), """")"),"")</f>
        <v/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</row>
    <row r="120">
      <c r="A120" s="7"/>
      <c r="B120" s="7"/>
      <c r="C120" s="7"/>
      <c r="D120" s="7"/>
      <c r="E120" s="7"/>
      <c r="F120" s="9"/>
      <c r="G120" s="7"/>
      <c r="H120" s="7"/>
      <c r="I120" s="7"/>
      <c r="J120" s="7"/>
      <c r="K120" s="7"/>
      <c r="L120" s="26" t="str">
        <f t="shared" si="1"/>
        <v/>
      </c>
      <c r="M120" s="28" t="str">
        <f>IFERROR(__xludf.DUMMYFUNCTION("IF(Account!$F120&lt;&gt;"""", VALUE(REGEXREPLACE($I120, ""\,"", ""."")), """")"),"")</f>
        <v/>
      </c>
      <c r="N120" s="31" t="str">
        <f>IF(Account!$F120&lt;&gt;"", DATEVALUE(MID($A120,4,3) &amp; LEFT($A120,3) &amp; RIGHT($A120,4)) + TIMEVALUE($B120), "")</f>
        <v/>
      </c>
      <c r="O120" s="33" t="str">
        <f>IF(Account!$F120&lt;&gt;"", DATEVALUE(MID($A120,4,3) &amp; LEFT($A120,3) &amp; RIGHT($A120,4)), "")</f>
        <v/>
      </c>
      <c r="P120" s="34" t="str">
        <f>IFERROR(VLOOKUP($Q120,Selection!$F:$G,2,false))</f>
        <v/>
      </c>
      <c r="Q120" s="36" t="str">
        <f>IF(AND($X120="change",$H120="EUR"),IF(AND($Z120="Crédit",$N120=$N121),$Q121,IF(AND($Z120="Débit",$N120=$N119),$Q119)),IF(OR(AND(OR($E120&lt;&gt;"",$L120=""),$M120&lt;&gt;0),$A120=""),IFERROR(VLOOKUP($E120,Selection!$E:$F,2,false)),IFERROR(VLOOKUP(SUBSTITUTE($I120,"-","",1),$K121:$Q1119,7,false),VLOOKUP($K120,$K121:$Q1119,7,false))))</f>
        <v/>
      </c>
      <c r="R120" s="34" t="str">
        <f t="shared" si="2"/>
        <v/>
      </c>
      <c r="S120" s="37" t="str">
        <f t="shared" si="3"/>
        <v/>
      </c>
      <c r="T120" s="38" t="str">
        <f t="shared" si="4"/>
        <v/>
      </c>
      <c r="U120" s="28" t="str">
        <f t="shared" si="5"/>
        <v/>
      </c>
      <c r="V120" s="39" t="str">
        <f>IFERROR(__xludf.DUMMYFUNCTION(" IF(Account!$F120&lt;&gt;"""", SPLIT(Account!$F120, "" ""), """")"),"")</f>
        <v/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</row>
    <row r="121">
      <c r="A121" s="7"/>
      <c r="B121" s="7"/>
      <c r="C121" s="7"/>
      <c r="D121" s="7"/>
      <c r="E121" s="7"/>
      <c r="F121" s="9"/>
      <c r="G121" s="7"/>
      <c r="H121" s="7"/>
      <c r="I121" s="7"/>
      <c r="J121" s="7"/>
      <c r="K121" s="7"/>
      <c r="L121" s="26" t="str">
        <f t="shared" si="1"/>
        <v/>
      </c>
      <c r="M121" s="28" t="str">
        <f>IFERROR(__xludf.DUMMYFUNCTION("IF(Account!$F121&lt;&gt;"""", VALUE(REGEXREPLACE($I121, ""\,"", ""."")), """")"),"")</f>
        <v/>
      </c>
      <c r="N121" s="31" t="str">
        <f>IF(Account!$F121&lt;&gt;"", DATEVALUE(MID($A121,4,3) &amp; LEFT($A121,3) &amp; RIGHT($A121,4)) + TIMEVALUE($B121), "")</f>
        <v/>
      </c>
      <c r="O121" s="33" t="str">
        <f>IF(Account!$F121&lt;&gt;"", DATEVALUE(MID($A121,4,3) &amp; LEFT($A121,3) &amp; RIGHT($A121,4)), "")</f>
        <v/>
      </c>
      <c r="P121" s="34" t="str">
        <f>IFERROR(VLOOKUP($Q121,Selection!$F:$G,2,false))</f>
        <v/>
      </c>
      <c r="Q121" s="36" t="str">
        <f>IF(AND($X121="change",$H121="EUR"),IF(AND($Z121="Crédit",$N121=$N122),$Q122,IF(AND($Z121="Débit",$N121=$N120),$Q120)),IF(OR(AND(OR($E121&lt;&gt;"",$L121=""),$M121&lt;&gt;0),$A121=""),IFERROR(VLOOKUP($E121,Selection!$E:$F,2,false)),IFERROR(VLOOKUP(SUBSTITUTE($I121,"-","",1),$K122:$Q1119,7,false),VLOOKUP($K121,$K122:$Q1119,7,false))))</f>
        <v/>
      </c>
      <c r="R121" s="34" t="str">
        <f t="shared" si="2"/>
        <v/>
      </c>
      <c r="S121" s="37" t="str">
        <f t="shared" si="3"/>
        <v/>
      </c>
      <c r="T121" s="38" t="str">
        <f t="shared" si="4"/>
        <v/>
      </c>
      <c r="U121" s="28" t="str">
        <f t="shared" si="5"/>
        <v/>
      </c>
      <c r="V121" s="39" t="str">
        <f>IFERROR(__xludf.DUMMYFUNCTION(" IF(Account!$F121&lt;&gt;"""", SPLIT(Account!$F121, "" ""), """")"),"")</f>
        <v/>
      </c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7"/>
      <c r="B122" s="7"/>
      <c r="C122" s="7"/>
      <c r="D122" s="7"/>
      <c r="E122" s="7"/>
      <c r="F122" s="9"/>
      <c r="G122" s="7"/>
      <c r="H122" s="7"/>
      <c r="I122" s="7"/>
      <c r="J122" s="7"/>
      <c r="K122" s="7"/>
      <c r="L122" s="26" t="str">
        <f t="shared" si="1"/>
        <v/>
      </c>
      <c r="M122" s="28" t="str">
        <f>IFERROR(__xludf.DUMMYFUNCTION("IF(Account!$F122&lt;&gt;"""", VALUE(REGEXREPLACE($I122, ""\,"", ""."")), """")"),"")</f>
        <v/>
      </c>
      <c r="N122" s="31" t="str">
        <f>IF(Account!$F122&lt;&gt;"", DATEVALUE(MID($A122,4,3) &amp; LEFT($A122,3) &amp; RIGHT($A122,4)) + TIMEVALUE($B122), "")</f>
        <v/>
      </c>
      <c r="O122" s="33" t="str">
        <f>IF(Account!$F122&lt;&gt;"", DATEVALUE(MID($A122,4,3) &amp; LEFT($A122,3) &amp; RIGHT($A122,4)), "")</f>
        <v/>
      </c>
      <c r="P122" s="34" t="str">
        <f>IFERROR(VLOOKUP($Q122,Selection!$F:$G,2,false))</f>
        <v/>
      </c>
      <c r="Q122" s="36" t="str">
        <f>IF(AND($X122="change",$H122="EUR"),IF(AND($Z122="Crédit",$N122=$N123),$Q123,IF(AND($Z122="Débit",$N122=$N121),$Q121)),IF(OR(AND(OR($E122&lt;&gt;"",$L122=""),$M122&lt;&gt;0),$A122=""),IFERROR(VLOOKUP($E122,Selection!$E:$F,2,false)),IFERROR(VLOOKUP(SUBSTITUTE($I122,"-","",1),$K123:$Q1119,7,false),VLOOKUP($K122,$K123:$Q1119,7,false))))</f>
        <v/>
      </c>
      <c r="R122" s="34" t="str">
        <f t="shared" si="2"/>
        <v/>
      </c>
      <c r="S122" s="37" t="str">
        <f t="shared" si="3"/>
        <v/>
      </c>
      <c r="T122" s="38" t="str">
        <f t="shared" si="4"/>
        <v/>
      </c>
      <c r="U122" s="28" t="str">
        <f t="shared" si="5"/>
        <v/>
      </c>
      <c r="V122" s="39" t="str">
        <f>IFERROR(__xludf.DUMMYFUNCTION(" IF(Account!$F122&lt;&gt;"""", SPLIT(Account!$F122, "" ""), """")"),"")</f>
        <v/>
      </c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7"/>
      <c r="B123" s="7"/>
      <c r="C123" s="7"/>
      <c r="D123" s="7"/>
      <c r="E123" s="7"/>
      <c r="F123" s="9"/>
      <c r="G123" s="7"/>
      <c r="H123" s="7"/>
      <c r="I123" s="7"/>
      <c r="J123" s="7"/>
      <c r="K123" s="7"/>
      <c r="L123" s="26" t="str">
        <f t="shared" si="1"/>
        <v/>
      </c>
      <c r="M123" s="28" t="str">
        <f>IFERROR(__xludf.DUMMYFUNCTION("IF(Account!$F123&lt;&gt;"""", VALUE(REGEXREPLACE($I123, ""\,"", ""."")), """")"),"")</f>
        <v/>
      </c>
      <c r="N123" s="31" t="str">
        <f>IF(Account!$F123&lt;&gt;"", DATEVALUE(MID($A123,4,3) &amp; LEFT($A123,3) &amp; RIGHT($A123,4)) + TIMEVALUE($B123), "")</f>
        <v/>
      </c>
      <c r="O123" s="33" t="str">
        <f>IF(Account!$F123&lt;&gt;"", DATEVALUE(MID($A123,4,3) &amp; LEFT($A123,3) &amp; RIGHT($A123,4)), "")</f>
        <v/>
      </c>
      <c r="P123" s="34" t="str">
        <f>IFERROR(VLOOKUP($Q123,Selection!$F:$G,2,false))</f>
        <v/>
      </c>
      <c r="Q123" s="36" t="str">
        <f>IF(AND($X123="change",$H123="EUR"),IF(AND($Z123="Crédit",$N123=$N124),$Q124,IF(AND($Z123="Débit",$N123=$N122),$Q122)),IF(OR(AND(OR($E123&lt;&gt;"",$L123=""),$M123&lt;&gt;0),$A123=""),IFERROR(VLOOKUP($E123,Selection!$E:$F,2,false)),IFERROR(VLOOKUP(SUBSTITUTE($I123,"-","",1),$K124:$Q1119,7,false),VLOOKUP($K123,$K124:$Q1119,7,false))))</f>
        <v/>
      </c>
      <c r="R123" s="34" t="str">
        <f t="shared" si="2"/>
        <v/>
      </c>
      <c r="S123" s="37" t="str">
        <f t="shared" si="3"/>
        <v/>
      </c>
      <c r="T123" s="38" t="str">
        <f t="shared" si="4"/>
        <v/>
      </c>
      <c r="U123" s="28" t="str">
        <f t="shared" si="5"/>
        <v/>
      </c>
      <c r="V123" s="39" t="str">
        <f>IFERROR(__xludf.DUMMYFUNCTION(" IF(Account!$F123&lt;&gt;"""", SPLIT(Account!$F123, "" ""), """")"),"")</f>
        <v/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7"/>
      <c r="B124" s="7"/>
      <c r="C124" s="7"/>
      <c r="D124" s="7"/>
      <c r="E124" s="7"/>
      <c r="F124" s="9"/>
      <c r="G124" s="7"/>
      <c r="H124" s="7"/>
      <c r="I124" s="7"/>
      <c r="J124" s="7"/>
      <c r="K124" s="7"/>
      <c r="L124" s="26" t="str">
        <f t="shared" si="1"/>
        <v/>
      </c>
      <c r="M124" s="28" t="str">
        <f>IFERROR(__xludf.DUMMYFUNCTION("IF(Account!$F124&lt;&gt;"""", VALUE(REGEXREPLACE($I124, ""\,"", ""."")), """")"),"")</f>
        <v/>
      </c>
      <c r="N124" s="31" t="str">
        <f>IF(Account!$F124&lt;&gt;"", DATEVALUE(MID($A124,4,3) &amp; LEFT($A124,3) &amp; RIGHT($A124,4)) + TIMEVALUE($B124), "")</f>
        <v/>
      </c>
      <c r="O124" s="33" t="str">
        <f>IF(Account!$F124&lt;&gt;"", DATEVALUE(MID($A124,4,3) &amp; LEFT($A124,3) &amp; RIGHT($A124,4)), "")</f>
        <v/>
      </c>
      <c r="P124" s="34" t="str">
        <f>IFERROR(VLOOKUP($Q124,Selection!$F:$G,2,false))</f>
        <v/>
      </c>
      <c r="Q124" s="36" t="str">
        <f>IF(AND($X124="change",$H124="EUR"),IF(AND($Z124="Crédit",$N124=$N125),$Q125,IF(AND($Z124="Débit",$N124=$N123),$Q123)),IF(OR(AND(OR($E124&lt;&gt;"",$L124=""),$M124&lt;&gt;0),$A124=""),IFERROR(VLOOKUP($E124,Selection!$E:$F,2,false)),IFERROR(VLOOKUP(SUBSTITUTE($I124,"-","",1),$K125:$Q1119,7,false),VLOOKUP($K124,$K125:$Q1119,7,false))))</f>
        <v/>
      </c>
      <c r="R124" s="34" t="str">
        <f t="shared" si="2"/>
        <v/>
      </c>
      <c r="S124" s="37" t="str">
        <f t="shared" si="3"/>
        <v/>
      </c>
      <c r="T124" s="38" t="str">
        <f t="shared" si="4"/>
        <v/>
      </c>
      <c r="U124" s="28" t="str">
        <f t="shared" si="5"/>
        <v/>
      </c>
      <c r="V124" s="39" t="str">
        <f>IFERROR(__xludf.DUMMYFUNCTION(" IF(Account!$F124&lt;&gt;"""", SPLIT(Account!$F124, "" ""), """")"),"")</f>
        <v/>
      </c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7"/>
      <c r="B125" s="7"/>
      <c r="C125" s="7"/>
      <c r="D125" s="7"/>
      <c r="E125" s="7"/>
      <c r="F125" s="9"/>
      <c r="G125" s="7"/>
      <c r="H125" s="7"/>
      <c r="I125" s="7"/>
      <c r="J125" s="7"/>
      <c r="K125" s="7"/>
      <c r="L125" s="26" t="str">
        <f t="shared" si="1"/>
        <v/>
      </c>
      <c r="M125" s="28" t="str">
        <f>IFERROR(__xludf.DUMMYFUNCTION("IF(Account!$F125&lt;&gt;"""", VALUE(REGEXREPLACE($I125, ""\,"", ""."")), """")"),"")</f>
        <v/>
      </c>
      <c r="N125" s="31" t="str">
        <f>IF(Account!$F125&lt;&gt;"", DATEVALUE(MID($A125,4,3) &amp; LEFT($A125,3) &amp; RIGHT($A125,4)) + TIMEVALUE($B125), "")</f>
        <v/>
      </c>
      <c r="O125" s="33" t="str">
        <f>IF(Account!$F125&lt;&gt;"", DATEVALUE(MID($A125,4,3) &amp; LEFT($A125,3) &amp; RIGHT($A125,4)), "")</f>
        <v/>
      </c>
      <c r="P125" s="34" t="str">
        <f>IFERROR(VLOOKUP($Q125,Selection!$F:$G,2,false))</f>
        <v/>
      </c>
      <c r="Q125" s="36" t="str">
        <f>IF(AND($X125="change",$H125="EUR"),IF(AND($Z125="Crédit",$N125=$N126),$Q126,IF(AND($Z125="Débit",$N125=$N124),$Q124)),IF(OR(AND(OR($E125&lt;&gt;"",$L125=""),$M125&lt;&gt;0),$A125=""),IFERROR(VLOOKUP($E125,Selection!$E:$F,2,false)),IFERROR(VLOOKUP(SUBSTITUTE($I125,"-","",1),$K126:$Q1119,7,false),VLOOKUP($K125,$K126:$Q1119,7,false))))</f>
        <v/>
      </c>
      <c r="R125" s="34" t="str">
        <f t="shared" si="2"/>
        <v/>
      </c>
      <c r="S125" s="37" t="str">
        <f t="shared" si="3"/>
        <v/>
      </c>
      <c r="T125" s="38" t="str">
        <f t="shared" si="4"/>
        <v/>
      </c>
      <c r="U125" s="28" t="str">
        <f t="shared" si="5"/>
        <v/>
      </c>
      <c r="V125" s="39" t="str">
        <f>IFERROR(__xludf.DUMMYFUNCTION(" IF(Account!$F125&lt;&gt;"""", SPLIT(Account!$F125, "" ""), """")"),"")</f>
        <v/>
      </c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>
      <c r="A126" s="7"/>
      <c r="B126" s="7"/>
      <c r="C126" s="7"/>
      <c r="D126" s="7"/>
      <c r="E126" s="7"/>
      <c r="F126" s="9"/>
      <c r="G126" s="7"/>
      <c r="H126" s="7"/>
      <c r="I126" s="7"/>
      <c r="J126" s="7"/>
      <c r="K126" s="7"/>
      <c r="L126" s="26" t="str">
        <f t="shared" si="1"/>
        <v/>
      </c>
      <c r="M126" s="28" t="str">
        <f>IFERROR(__xludf.DUMMYFUNCTION("IF(Account!$F126&lt;&gt;"""", VALUE(REGEXREPLACE($I126, ""\,"", ""."")), """")"),"")</f>
        <v/>
      </c>
      <c r="N126" s="31" t="str">
        <f>IF(Account!$F126&lt;&gt;"", DATEVALUE(MID($A126,4,3) &amp; LEFT($A126,3) &amp; RIGHT($A126,4)) + TIMEVALUE($B126), "")</f>
        <v/>
      </c>
      <c r="O126" s="33" t="str">
        <f>IF(Account!$F126&lt;&gt;"", DATEVALUE(MID($A126,4,3) &amp; LEFT($A126,3) &amp; RIGHT($A126,4)), "")</f>
        <v/>
      </c>
      <c r="P126" s="34" t="str">
        <f>IFERROR(VLOOKUP($Q126,Selection!$F:$G,2,false))</f>
        <v/>
      </c>
      <c r="Q126" s="36" t="str">
        <f>IF(AND($X126="change",$H126="EUR"),IF(AND($Z126="Crédit",$N126=$N127),$Q127,IF(AND($Z126="Débit",$N126=$N125),$Q125)),IF(OR(AND(OR($E126&lt;&gt;"",$L126=""),$M126&lt;&gt;0),$A126=""),IFERROR(VLOOKUP($E126,Selection!$E:$F,2,false)),IFERROR(VLOOKUP(SUBSTITUTE($I126,"-","",1),$K127:$Q1119,7,false),VLOOKUP($K126,$K127:$Q1119,7,false))))</f>
        <v/>
      </c>
      <c r="R126" s="34" t="str">
        <f t="shared" si="2"/>
        <v/>
      </c>
      <c r="S126" s="37" t="str">
        <f t="shared" si="3"/>
        <v/>
      </c>
      <c r="T126" s="38" t="str">
        <f t="shared" si="4"/>
        <v/>
      </c>
      <c r="U126" s="28" t="str">
        <f t="shared" si="5"/>
        <v/>
      </c>
      <c r="V126" s="39" t="str">
        <f>IFERROR(__xludf.DUMMYFUNCTION(" IF(Account!$F126&lt;&gt;"""", SPLIT(Account!$F126, "" ""), """")"),"")</f>
        <v/>
      </c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>
      <c r="A127" s="7"/>
      <c r="B127" s="7"/>
      <c r="C127" s="7"/>
      <c r="D127" s="7"/>
      <c r="E127" s="7"/>
      <c r="F127" s="9"/>
      <c r="G127" s="7"/>
      <c r="H127" s="7"/>
      <c r="I127" s="7"/>
      <c r="J127" s="7"/>
      <c r="K127" s="7"/>
      <c r="L127" s="26" t="str">
        <f t="shared" si="1"/>
        <v/>
      </c>
      <c r="M127" s="28" t="str">
        <f>IFERROR(__xludf.DUMMYFUNCTION("IF(Account!$F127&lt;&gt;"""", VALUE(REGEXREPLACE($I127, ""\,"", ""."")), """")"),"")</f>
        <v/>
      </c>
      <c r="N127" s="31" t="str">
        <f>IF(Account!$F127&lt;&gt;"", DATEVALUE(MID($A127,4,3) &amp; LEFT($A127,3) &amp; RIGHT($A127,4)) + TIMEVALUE($B127), "")</f>
        <v/>
      </c>
      <c r="O127" s="33" t="str">
        <f>IF(Account!$F127&lt;&gt;"", DATEVALUE(MID($A127,4,3) &amp; LEFT($A127,3) &amp; RIGHT($A127,4)), "")</f>
        <v/>
      </c>
      <c r="P127" s="34" t="str">
        <f>IFERROR(VLOOKUP($Q127,Selection!$F:$G,2,false))</f>
        <v/>
      </c>
      <c r="Q127" s="36" t="str">
        <f>IF(AND($X127="change",$H127="EUR"),IF(AND($Z127="Crédit",$N127=$N128),$Q128,IF(AND($Z127="Débit",$N127=$N126),$Q126)),IF(OR(AND(OR($E127&lt;&gt;"",$L127=""),$M127&lt;&gt;0),$A127=""),IFERROR(VLOOKUP($E127,Selection!$E:$F,2,false)),IFERROR(VLOOKUP(SUBSTITUTE($I127,"-","",1),$K128:$Q1119,7,false),VLOOKUP($K127,$K128:$Q1119,7,false))))</f>
        <v/>
      </c>
      <c r="R127" s="34" t="str">
        <f t="shared" si="2"/>
        <v/>
      </c>
      <c r="S127" s="37" t="str">
        <f t="shared" si="3"/>
        <v/>
      </c>
      <c r="T127" s="38" t="str">
        <f t="shared" si="4"/>
        <v/>
      </c>
      <c r="U127" s="28" t="str">
        <f t="shared" si="5"/>
        <v/>
      </c>
      <c r="V127" s="39" t="str">
        <f>IFERROR(__xludf.DUMMYFUNCTION(" IF(Account!$F127&lt;&gt;"""", SPLIT(Account!$F127, "" ""), """")"),"")</f>
        <v/>
      </c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>
      <c r="A128" s="7"/>
      <c r="B128" s="7"/>
      <c r="C128" s="7"/>
      <c r="D128" s="7"/>
      <c r="E128" s="7"/>
      <c r="F128" s="9"/>
      <c r="G128" s="7"/>
      <c r="H128" s="7"/>
      <c r="I128" s="7"/>
      <c r="J128" s="7"/>
      <c r="K128" s="7"/>
      <c r="L128" s="26" t="str">
        <f t="shared" si="1"/>
        <v/>
      </c>
      <c r="M128" s="28" t="str">
        <f>IFERROR(__xludf.DUMMYFUNCTION("IF(Account!$F128&lt;&gt;"""", VALUE(REGEXREPLACE($I128, ""\,"", ""."")), """")"),"")</f>
        <v/>
      </c>
      <c r="N128" s="31" t="str">
        <f>IF(Account!$F128&lt;&gt;"", DATEVALUE(MID($A128,4,3) &amp; LEFT($A128,3) &amp; RIGHT($A128,4)) + TIMEVALUE($B128), "")</f>
        <v/>
      </c>
      <c r="O128" s="33" t="str">
        <f>IF(Account!$F128&lt;&gt;"", DATEVALUE(MID($A128,4,3) &amp; LEFT($A128,3) &amp; RIGHT($A128,4)), "")</f>
        <v/>
      </c>
      <c r="P128" s="34" t="str">
        <f>IFERROR(VLOOKUP($Q128,Selection!$F:$G,2,false))</f>
        <v/>
      </c>
      <c r="Q128" s="36" t="str">
        <f>IF(AND($X128="change",$H128="EUR"),IF(AND($Z128="Crédit",$N128=$N129),$Q129,IF(AND($Z128="Débit",$N128=$N127),$Q127)),IF(OR(AND(OR($E128&lt;&gt;"",$L128=""),$M128&lt;&gt;0),$A128=""),IFERROR(VLOOKUP($E128,Selection!$E:$F,2,false)),IFERROR(VLOOKUP(SUBSTITUTE($I128,"-","",1),$K129:$Q1119,7,false),VLOOKUP($K128,$K129:$Q1119,7,false))))</f>
        <v/>
      </c>
      <c r="R128" s="34" t="str">
        <f t="shared" si="2"/>
        <v/>
      </c>
      <c r="S128" s="37" t="str">
        <f t="shared" si="3"/>
        <v/>
      </c>
      <c r="T128" s="38" t="str">
        <f t="shared" si="4"/>
        <v/>
      </c>
      <c r="U128" s="28" t="str">
        <f t="shared" si="5"/>
        <v/>
      </c>
      <c r="V128" s="39" t="str">
        <f>IFERROR(__xludf.DUMMYFUNCTION(" IF(Account!$F128&lt;&gt;"""", SPLIT(Account!$F128, "" ""), """")"),"")</f>
        <v/>
      </c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</row>
    <row r="129">
      <c r="A129" s="7"/>
      <c r="B129" s="7"/>
      <c r="C129" s="7"/>
      <c r="D129" s="7"/>
      <c r="E129" s="7"/>
      <c r="F129" s="9"/>
      <c r="G129" s="7"/>
      <c r="H129" s="7"/>
      <c r="I129" s="7"/>
      <c r="J129" s="7"/>
      <c r="K129" s="7"/>
      <c r="L129" s="26" t="str">
        <f t="shared" si="1"/>
        <v/>
      </c>
      <c r="M129" s="28" t="str">
        <f>IFERROR(__xludf.DUMMYFUNCTION("IF(Account!$F129&lt;&gt;"""", VALUE(REGEXREPLACE($I129, ""\,"", ""."")), """")"),"")</f>
        <v/>
      </c>
      <c r="N129" s="31" t="str">
        <f>IF(Account!$F129&lt;&gt;"", DATEVALUE(MID($A129,4,3) &amp; LEFT($A129,3) &amp; RIGHT($A129,4)) + TIMEVALUE($B129), "")</f>
        <v/>
      </c>
      <c r="O129" s="33" t="str">
        <f>IF(Account!$F129&lt;&gt;"", DATEVALUE(MID($A129,4,3) &amp; LEFT($A129,3) &amp; RIGHT($A129,4)), "")</f>
        <v/>
      </c>
      <c r="P129" s="34" t="str">
        <f>IFERROR(VLOOKUP($Q129,Selection!$F:$G,2,false))</f>
        <v/>
      </c>
      <c r="Q129" s="36" t="str">
        <f>IF(AND($X129="change",$H129="EUR"),IF(AND($Z129="Crédit",$N129=$N130),$Q130,IF(AND($Z129="Débit",$N129=$N128),$Q128)),IF(OR(AND(OR($E129&lt;&gt;"",$L129=""),$M129&lt;&gt;0),$A129=""),IFERROR(VLOOKUP($E129,Selection!$E:$F,2,false)),IFERROR(VLOOKUP(SUBSTITUTE($I129,"-","",1),$K130:$Q1119,7,false),VLOOKUP($K129,$K130:$Q1119,7,false))))</f>
        <v/>
      </c>
      <c r="R129" s="34" t="str">
        <f t="shared" si="2"/>
        <v/>
      </c>
      <c r="S129" s="37" t="str">
        <f t="shared" si="3"/>
        <v/>
      </c>
      <c r="T129" s="38" t="str">
        <f t="shared" si="4"/>
        <v/>
      </c>
      <c r="U129" s="28" t="str">
        <f t="shared" si="5"/>
        <v/>
      </c>
      <c r="V129" s="39" t="str">
        <f>IFERROR(__xludf.DUMMYFUNCTION(" IF(Account!$F129&lt;&gt;"""", SPLIT(Account!$F129, "" ""), """")"),"")</f>
        <v/>
      </c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</row>
    <row r="130">
      <c r="A130" s="7"/>
      <c r="B130" s="7"/>
      <c r="C130" s="7"/>
      <c r="D130" s="7"/>
      <c r="E130" s="7"/>
      <c r="F130" s="9"/>
      <c r="G130" s="7"/>
      <c r="H130" s="7"/>
      <c r="I130" s="7"/>
      <c r="J130" s="7"/>
      <c r="K130" s="7"/>
      <c r="L130" s="26" t="str">
        <f t="shared" si="1"/>
        <v/>
      </c>
      <c r="M130" s="28" t="str">
        <f>IFERROR(__xludf.DUMMYFUNCTION("IF(Account!$F130&lt;&gt;"""", VALUE(REGEXREPLACE($I130, ""\,"", ""."")), """")"),"")</f>
        <v/>
      </c>
      <c r="N130" s="31" t="str">
        <f>IF(Account!$F130&lt;&gt;"", DATEVALUE(MID($A130,4,3) &amp; LEFT($A130,3) &amp; RIGHT($A130,4)) + TIMEVALUE($B130), "")</f>
        <v/>
      </c>
      <c r="O130" s="33" t="str">
        <f>IF(Account!$F130&lt;&gt;"", DATEVALUE(MID($A130,4,3) &amp; LEFT($A130,3) &amp; RIGHT($A130,4)), "")</f>
        <v/>
      </c>
      <c r="P130" s="34" t="str">
        <f>IFERROR(VLOOKUP($Q130,Selection!$F:$G,2,false))</f>
        <v/>
      </c>
      <c r="Q130" s="36" t="str">
        <f>IF(AND($X130="change",$H130="EUR"),IF(AND($Z130="Crédit",$N130=$N131),$Q131,IF(AND($Z130="Débit",$N130=$N129),$Q129)),IF(OR(AND(OR($E130&lt;&gt;"",$L130=""),$M130&lt;&gt;0),$A130=""),IFERROR(VLOOKUP($E130,Selection!$E:$F,2,false)),IFERROR(VLOOKUP(SUBSTITUTE($I130,"-","",1),$K131:$Q1119,7,false),VLOOKUP($K130,$K131:$Q1119,7,false))))</f>
        <v/>
      </c>
      <c r="R130" s="34" t="str">
        <f t="shared" si="2"/>
        <v/>
      </c>
      <c r="S130" s="37" t="str">
        <f t="shared" si="3"/>
        <v/>
      </c>
      <c r="T130" s="38" t="str">
        <f t="shared" si="4"/>
        <v/>
      </c>
      <c r="U130" s="28" t="str">
        <f t="shared" si="5"/>
        <v/>
      </c>
      <c r="V130" s="39" t="str">
        <f>IFERROR(__xludf.DUMMYFUNCTION(" IF(Account!$F130&lt;&gt;"""", SPLIT(Account!$F130, "" ""), """")"),"")</f>
        <v/>
      </c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</row>
    <row r="131">
      <c r="A131" s="7"/>
      <c r="B131" s="7"/>
      <c r="C131" s="7"/>
      <c r="D131" s="7"/>
      <c r="E131" s="7"/>
      <c r="F131" s="9"/>
      <c r="G131" s="7"/>
      <c r="H131" s="7"/>
      <c r="I131" s="7"/>
      <c r="J131" s="7"/>
      <c r="K131" s="7"/>
      <c r="L131" s="26" t="str">
        <f t="shared" si="1"/>
        <v/>
      </c>
      <c r="M131" s="28" t="str">
        <f>IFERROR(__xludf.DUMMYFUNCTION("IF(Account!$F131&lt;&gt;"""", VALUE(REGEXREPLACE($I131, ""\,"", ""."")), """")"),"")</f>
        <v/>
      </c>
      <c r="N131" s="31" t="str">
        <f>IF(Account!$F131&lt;&gt;"", DATEVALUE(MID($A131,4,3) &amp; LEFT($A131,3) &amp; RIGHT($A131,4)) + TIMEVALUE($B131), "")</f>
        <v/>
      </c>
      <c r="O131" s="33" t="str">
        <f>IF(Account!$F131&lt;&gt;"", DATEVALUE(MID($A131,4,3) &amp; LEFT($A131,3) &amp; RIGHT($A131,4)), "")</f>
        <v/>
      </c>
      <c r="P131" s="34" t="str">
        <f>IFERROR(VLOOKUP($Q131,Selection!$F:$G,2,false))</f>
        <v/>
      </c>
      <c r="Q131" s="36" t="str">
        <f>IF(AND($X131="change",$H131="EUR"),IF(AND($Z131="Crédit",$N131=$N132),$Q132,IF(AND($Z131="Débit",$N131=$N130),$Q130)),IF(OR(AND(OR($E131&lt;&gt;"",$L131=""),$M131&lt;&gt;0),$A131=""),IFERROR(VLOOKUP($E131,Selection!$E:$F,2,false)),IFERROR(VLOOKUP(SUBSTITUTE($I131,"-","",1),$K132:$Q1119,7,false),VLOOKUP($K131,$K132:$Q1119,7,false))))</f>
        <v/>
      </c>
      <c r="R131" s="34" t="str">
        <f t="shared" si="2"/>
        <v/>
      </c>
      <c r="S131" s="37" t="str">
        <f t="shared" si="3"/>
        <v/>
      </c>
      <c r="T131" s="38" t="str">
        <f t="shared" si="4"/>
        <v/>
      </c>
      <c r="U131" s="28" t="str">
        <f t="shared" si="5"/>
        <v/>
      </c>
      <c r="V131" s="39" t="str">
        <f>IFERROR(__xludf.DUMMYFUNCTION(" IF(Account!$F131&lt;&gt;"""", SPLIT(Account!$F131, "" ""), """")"),"")</f>
        <v/>
      </c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>
      <c r="A132" s="7"/>
      <c r="B132" s="7"/>
      <c r="C132" s="7"/>
      <c r="D132" s="7"/>
      <c r="E132" s="7"/>
      <c r="F132" s="9"/>
      <c r="G132" s="7"/>
      <c r="H132" s="7"/>
      <c r="I132" s="7"/>
      <c r="J132" s="7"/>
      <c r="K132" s="7"/>
      <c r="L132" s="26" t="str">
        <f t="shared" si="1"/>
        <v/>
      </c>
      <c r="M132" s="28" t="str">
        <f>IFERROR(__xludf.DUMMYFUNCTION("IF(Account!$F132&lt;&gt;"""", VALUE(REGEXREPLACE($I132, ""\,"", ""."")), """")"),"")</f>
        <v/>
      </c>
      <c r="N132" s="31" t="str">
        <f>IF(Account!$F132&lt;&gt;"", DATEVALUE(MID($A132,4,3) &amp; LEFT($A132,3) &amp; RIGHT($A132,4)) + TIMEVALUE($B132), "")</f>
        <v/>
      </c>
      <c r="O132" s="33" t="str">
        <f>IF(Account!$F132&lt;&gt;"", DATEVALUE(MID($A132,4,3) &amp; LEFT($A132,3) &amp; RIGHT($A132,4)), "")</f>
        <v/>
      </c>
      <c r="P132" s="34" t="str">
        <f>IFERROR(VLOOKUP($Q132,Selection!$F:$G,2,false))</f>
        <v/>
      </c>
      <c r="Q132" s="36" t="str">
        <f>IF(AND($X132="change",$H132="EUR"),IF(AND($Z132="Crédit",$N132=$N133),$Q133,IF(AND($Z132="Débit",$N132=$N131),$Q131)),IF(OR(AND(OR($E132&lt;&gt;"",$L132=""),$M132&lt;&gt;0),$A132=""),IFERROR(VLOOKUP($E132,Selection!$E:$F,2,false)),IFERROR(VLOOKUP(SUBSTITUTE($I132,"-","",1),$K133:$Q1119,7,false),VLOOKUP($K132,$K133:$Q1119,7,false))))</f>
        <v/>
      </c>
      <c r="R132" s="34" t="str">
        <f t="shared" si="2"/>
        <v/>
      </c>
      <c r="S132" s="37" t="str">
        <f t="shared" si="3"/>
        <v/>
      </c>
      <c r="T132" s="38" t="str">
        <f t="shared" si="4"/>
        <v/>
      </c>
      <c r="U132" s="28" t="str">
        <f t="shared" si="5"/>
        <v/>
      </c>
      <c r="V132" s="39" t="str">
        <f>IFERROR(__xludf.DUMMYFUNCTION(" IF(Account!$F132&lt;&gt;"""", SPLIT(Account!$F132, "" ""), """")"),"")</f>
        <v/>
      </c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>
      <c r="A133" s="7"/>
      <c r="B133" s="7"/>
      <c r="C133" s="7"/>
      <c r="D133" s="7"/>
      <c r="E133" s="7"/>
      <c r="F133" s="9"/>
      <c r="G133" s="7"/>
      <c r="H133" s="7"/>
      <c r="I133" s="7"/>
      <c r="J133" s="7"/>
      <c r="K133" s="7"/>
      <c r="L133" s="26" t="str">
        <f t="shared" si="1"/>
        <v/>
      </c>
      <c r="M133" s="28" t="str">
        <f>IFERROR(__xludf.DUMMYFUNCTION("IF(Account!$F133&lt;&gt;"""", VALUE(REGEXREPLACE($I133, ""\,"", ""."")), """")"),"")</f>
        <v/>
      </c>
      <c r="N133" s="31" t="str">
        <f>IF(Account!$F133&lt;&gt;"", DATEVALUE(MID($A133,4,3) &amp; LEFT($A133,3) &amp; RIGHT($A133,4)) + TIMEVALUE($B133), "")</f>
        <v/>
      </c>
      <c r="O133" s="33" t="str">
        <f>IF(Account!$F133&lt;&gt;"", DATEVALUE(MID($A133,4,3) &amp; LEFT($A133,3) &amp; RIGHT($A133,4)), "")</f>
        <v/>
      </c>
      <c r="P133" s="34" t="str">
        <f>IFERROR(VLOOKUP($Q133,Selection!$F:$G,2,false))</f>
        <v/>
      </c>
      <c r="Q133" s="36" t="str">
        <f>IF(AND($X133="change",$H133="EUR"),IF(AND($Z133="Crédit",$N133=$N134),$Q134,IF(AND($Z133="Débit",$N133=$N132),$Q132)),IF(OR(AND(OR($E133&lt;&gt;"",$L133=""),$M133&lt;&gt;0),$A133=""),IFERROR(VLOOKUP($E133,Selection!$E:$F,2,false)),IFERROR(VLOOKUP(SUBSTITUTE($I133,"-","",1),$K134:$Q1119,7,false),VLOOKUP($K133,$K134:$Q1119,7,false))))</f>
        <v/>
      </c>
      <c r="R133" s="34" t="str">
        <f t="shared" si="2"/>
        <v/>
      </c>
      <c r="S133" s="37" t="str">
        <f t="shared" si="3"/>
        <v/>
      </c>
      <c r="T133" s="38" t="str">
        <f t="shared" si="4"/>
        <v/>
      </c>
      <c r="U133" s="28" t="str">
        <f t="shared" si="5"/>
        <v/>
      </c>
      <c r="V133" s="39" t="str">
        <f>IFERROR(__xludf.DUMMYFUNCTION(" IF(Account!$F133&lt;&gt;"""", SPLIT(Account!$F133, "" ""), """")"),"")</f>
        <v/>
      </c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>
      <c r="A134" s="7"/>
      <c r="B134" s="7"/>
      <c r="C134" s="7"/>
      <c r="D134" s="7"/>
      <c r="E134" s="7"/>
      <c r="F134" s="9"/>
      <c r="G134" s="7"/>
      <c r="H134" s="7"/>
      <c r="I134" s="7"/>
      <c r="J134" s="7"/>
      <c r="K134" s="7"/>
      <c r="L134" s="26" t="str">
        <f t="shared" si="1"/>
        <v/>
      </c>
      <c r="M134" s="28" t="str">
        <f>IFERROR(__xludf.DUMMYFUNCTION("IF(Account!$F134&lt;&gt;"""", VALUE(REGEXREPLACE($I134, ""\,"", ""."")), """")"),"")</f>
        <v/>
      </c>
      <c r="N134" s="31" t="str">
        <f>IF(Account!$F134&lt;&gt;"", DATEVALUE(MID($A134,4,3) &amp; LEFT($A134,3) &amp; RIGHT($A134,4)) + TIMEVALUE($B134), "")</f>
        <v/>
      </c>
      <c r="O134" s="33" t="str">
        <f>IF(Account!$F134&lt;&gt;"", DATEVALUE(MID($A134,4,3) &amp; LEFT($A134,3) &amp; RIGHT($A134,4)), "")</f>
        <v/>
      </c>
      <c r="P134" s="34" t="str">
        <f>IFERROR(VLOOKUP($Q134,Selection!$F:$G,2,false))</f>
        <v/>
      </c>
      <c r="Q134" s="36" t="str">
        <f>IF(AND($X134="change",$H134="EUR"),IF(AND($Z134="Crédit",$N134=$N135),$Q135,IF(AND($Z134="Débit",$N134=$N133),$Q133)),IF(OR(AND(OR($E134&lt;&gt;"",$L134=""),$M134&lt;&gt;0),$A134=""),IFERROR(VLOOKUP($E134,Selection!$E:$F,2,false)),IFERROR(VLOOKUP(SUBSTITUTE($I134,"-","",1),$K135:$Q1119,7,false),VLOOKUP($K134,$K135:$Q1119,7,false))))</f>
        <v/>
      </c>
      <c r="R134" s="34" t="str">
        <f t="shared" si="2"/>
        <v/>
      </c>
      <c r="S134" s="37" t="str">
        <f t="shared" si="3"/>
        <v/>
      </c>
      <c r="T134" s="38" t="str">
        <f t="shared" si="4"/>
        <v/>
      </c>
      <c r="U134" s="28" t="str">
        <f t="shared" si="5"/>
        <v/>
      </c>
      <c r="V134" s="39" t="str">
        <f>IFERROR(__xludf.DUMMYFUNCTION(" IF(Account!$F134&lt;&gt;"""", SPLIT(Account!$F134, "" ""), """")"),"")</f>
        <v/>
      </c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>
      <c r="A135" s="7"/>
      <c r="B135" s="7"/>
      <c r="C135" s="7"/>
      <c r="D135" s="7"/>
      <c r="E135" s="7"/>
      <c r="F135" s="9"/>
      <c r="G135" s="7"/>
      <c r="H135" s="7"/>
      <c r="I135" s="7"/>
      <c r="J135" s="7"/>
      <c r="K135" s="7"/>
      <c r="L135" s="26" t="str">
        <f t="shared" si="1"/>
        <v/>
      </c>
      <c r="M135" s="28" t="str">
        <f>IFERROR(__xludf.DUMMYFUNCTION("IF(Account!$F135&lt;&gt;"""", VALUE(REGEXREPLACE($I135, ""\,"", ""."")), """")"),"")</f>
        <v/>
      </c>
      <c r="N135" s="31" t="str">
        <f>IF(Account!$F135&lt;&gt;"", DATEVALUE(MID($A135,4,3) &amp; LEFT($A135,3) &amp; RIGHT($A135,4)) + TIMEVALUE($B135), "")</f>
        <v/>
      </c>
      <c r="O135" s="33" t="str">
        <f>IF(Account!$F135&lt;&gt;"", DATEVALUE(MID($A135,4,3) &amp; LEFT($A135,3) &amp; RIGHT($A135,4)), "")</f>
        <v/>
      </c>
      <c r="P135" s="34" t="str">
        <f>IFERROR(VLOOKUP($Q135,Selection!$F:$G,2,false))</f>
        <v/>
      </c>
      <c r="Q135" s="36" t="str">
        <f>IF(AND($X135="change",$H135="EUR"),IF(AND($Z135="Crédit",$N135=$N136),$Q136,IF(AND($Z135="Débit",$N135=$N134),$Q134)),IF(OR(AND(OR($E135&lt;&gt;"",$L135=""),$M135&lt;&gt;0),$A135=""),IFERROR(VLOOKUP($E135,Selection!$E:$F,2,false)),IFERROR(VLOOKUP(SUBSTITUTE($I135,"-","",1),$K136:$Q1119,7,false),VLOOKUP($K135,$K136:$Q1119,7,false))))</f>
        <v/>
      </c>
      <c r="R135" s="34" t="str">
        <f t="shared" si="2"/>
        <v/>
      </c>
      <c r="S135" s="37" t="str">
        <f t="shared" si="3"/>
        <v/>
      </c>
      <c r="T135" s="38" t="str">
        <f t="shared" si="4"/>
        <v/>
      </c>
      <c r="U135" s="28" t="str">
        <f t="shared" si="5"/>
        <v/>
      </c>
      <c r="V135" s="39" t="str">
        <f>IFERROR(__xludf.DUMMYFUNCTION(" IF(Account!$F135&lt;&gt;"""", SPLIT(Account!$F135, "" ""), """")"),"")</f>
        <v/>
      </c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>
      <c r="A136" s="7"/>
      <c r="B136" s="7"/>
      <c r="C136" s="7"/>
      <c r="D136" s="7"/>
      <c r="E136" s="7"/>
      <c r="F136" s="9"/>
      <c r="G136" s="7"/>
      <c r="H136" s="7"/>
      <c r="I136" s="7"/>
      <c r="J136" s="7"/>
      <c r="K136" s="7"/>
      <c r="L136" s="26" t="str">
        <f t="shared" si="1"/>
        <v/>
      </c>
      <c r="M136" s="28" t="str">
        <f>IFERROR(__xludf.DUMMYFUNCTION("IF(Account!$F136&lt;&gt;"""", VALUE(REGEXREPLACE($I136, ""\,"", ""."")), """")"),"")</f>
        <v/>
      </c>
      <c r="N136" s="31" t="str">
        <f>IF(Account!$F136&lt;&gt;"", DATEVALUE(MID($A136,4,3) &amp; LEFT($A136,3) &amp; RIGHT($A136,4)) + TIMEVALUE($B136), "")</f>
        <v/>
      </c>
      <c r="O136" s="33" t="str">
        <f>IF(Account!$F136&lt;&gt;"", DATEVALUE(MID($A136,4,3) &amp; LEFT($A136,3) &amp; RIGHT($A136,4)), "")</f>
        <v/>
      </c>
      <c r="P136" s="34" t="str">
        <f>IFERROR(VLOOKUP($Q136,Selection!$F:$G,2,false))</f>
        <v/>
      </c>
      <c r="Q136" s="36" t="str">
        <f>IF(AND($X136="change",$H136="EUR"),IF(AND($Z136="Crédit",$N136=$N137),$Q137,IF(AND($Z136="Débit",$N136=$N135),$Q135)),IF(OR(AND(OR($E136&lt;&gt;"",$L136=""),$M136&lt;&gt;0),$A136=""),IFERROR(VLOOKUP($E136,Selection!$E:$F,2,false)),IFERROR(VLOOKUP(SUBSTITUTE($I136,"-","",1),$K137:$Q1119,7,false),VLOOKUP($K136,$K137:$Q1119,7,false))))</f>
        <v/>
      </c>
      <c r="R136" s="34" t="str">
        <f t="shared" si="2"/>
        <v/>
      </c>
      <c r="S136" s="37" t="str">
        <f t="shared" si="3"/>
        <v/>
      </c>
      <c r="T136" s="38" t="str">
        <f t="shared" si="4"/>
        <v/>
      </c>
      <c r="U136" s="28" t="str">
        <f t="shared" si="5"/>
        <v/>
      </c>
      <c r="V136" s="39" t="str">
        <f>IFERROR(__xludf.DUMMYFUNCTION(" IF(Account!$F136&lt;&gt;"""", SPLIT(Account!$F136, "" ""), """")"),"")</f>
        <v/>
      </c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>
      <c r="A137" s="7"/>
      <c r="B137" s="7"/>
      <c r="C137" s="7"/>
      <c r="D137" s="7"/>
      <c r="E137" s="7"/>
      <c r="F137" s="9"/>
      <c r="G137" s="7"/>
      <c r="H137" s="7"/>
      <c r="I137" s="7"/>
      <c r="J137" s="7"/>
      <c r="K137" s="7"/>
      <c r="L137" s="26" t="str">
        <f t="shared" si="1"/>
        <v/>
      </c>
      <c r="M137" s="28" t="str">
        <f>IFERROR(__xludf.DUMMYFUNCTION("IF(Account!$F137&lt;&gt;"""", VALUE(REGEXREPLACE($I137, ""\,"", ""."")), """")"),"")</f>
        <v/>
      </c>
      <c r="N137" s="31" t="str">
        <f>IF(Account!$F137&lt;&gt;"", DATEVALUE(MID($A137,4,3) &amp; LEFT($A137,3) &amp; RIGHT($A137,4)) + TIMEVALUE($B137), "")</f>
        <v/>
      </c>
      <c r="O137" s="33" t="str">
        <f>IF(Account!$F137&lt;&gt;"", DATEVALUE(MID($A137,4,3) &amp; LEFT($A137,3) &amp; RIGHT($A137,4)), "")</f>
        <v/>
      </c>
      <c r="P137" s="34" t="str">
        <f>IFERROR(VLOOKUP($Q137,Selection!$F:$G,2,false))</f>
        <v/>
      </c>
      <c r="Q137" s="36" t="str">
        <f>IF(AND($X137="change",$H137="EUR"),IF(AND($Z137="Crédit",$N137=$N138),$Q138,IF(AND($Z137="Débit",$N137=$N136),$Q136)),IF(OR(AND(OR($E137&lt;&gt;"",$L137=""),$M137&lt;&gt;0),$A137=""),IFERROR(VLOOKUP($E137,Selection!$E:$F,2,false)),IFERROR(VLOOKUP(SUBSTITUTE($I137,"-","",1),$K138:$Q1119,7,false),VLOOKUP($K137,$K138:$Q1119,7,false))))</f>
        <v/>
      </c>
      <c r="R137" s="34" t="str">
        <f t="shared" si="2"/>
        <v/>
      </c>
      <c r="S137" s="37" t="str">
        <f t="shared" si="3"/>
        <v/>
      </c>
      <c r="T137" s="38" t="str">
        <f t="shared" si="4"/>
        <v/>
      </c>
      <c r="U137" s="28" t="str">
        <f t="shared" si="5"/>
        <v/>
      </c>
      <c r="V137" s="39" t="str">
        <f>IFERROR(__xludf.DUMMYFUNCTION(" IF(Account!$F137&lt;&gt;"""", SPLIT(Account!$F137, "" ""), """")"),"")</f>
        <v/>
      </c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</row>
    <row r="138">
      <c r="A138" s="7"/>
      <c r="B138" s="7"/>
      <c r="C138" s="7"/>
      <c r="D138" s="7"/>
      <c r="E138" s="7"/>
      <c r="F138" s="9"/>
      <c r="G138" s="7"/>
      <c r="H138" s="7"/>
      <c r="I138" s="7"/>
      <c r="J138" s="7"/>
      <c r="K138" s="7"/>
      <c r="L138" s="26" t="str">
        <f t="shared" si="1"/>
        <v/>
      </c>
      <c r="M138" s="28" t="str">
        <f>IFERROR(__xludf.DUMMYFUNCTION("IF(Account!$F138&lt;&gt;"""", VALUE(REGEXREPLACE($I138, ""\,"", ""."")), """")"),"")</f>
        <v/>
      </c>
      <c r="N138" s="31" t="str">
        <f>IF(Account!$F138&lt;&gt;"", DATEVALUE(MID($A138,4,3) &amp; LEFT($A138,3) &amp; RIGHT($A138,4)) + TIMEVALUE($B138), "")</f>
        <v/>
      </c>
      <c r="O138" s="33" t="str">
        <f>IF(Account!$F138&lt;&gt;"", DATEVALUE(MID($A138,4,3) &amp; LEFT($A138,3) &amp; RIGHT($A138,4)), "")</f>
        <v/>
      </c>
      <c r="P138" s="34" t="str">
        <f>IFERROR(VLOOKUP($Q138,Selection!$F:$G,2,false))</f>
        <v/>
      </c>
      <c r="Q138" s="36" t="str">
        <f>IF(AND($X138="change",$H138="EUR"),IF(AND($Z138="Crédit",$N138=$N139),$Q139,IF(AND($Z138="Débit",$N138=$N137),$Q137)),IF(OR(AND(OR($E138&lt;&gt;"",$L138=""),$M138&lt;&gt;0),$A138=""),IFERROR(VLOOKUP($E138,Selection!$E:$F,2,false)),IFERROR(VLOOKUP(SUBSTITUTE($I138,"-","",1),$K139:$Q1119,7,false),VLOOKUP($K138,$K139:$Q1119,7,false))))</f>
        <v/>
      </c>
      <c r="R138" s="34" t="str">
        <f t="shared" si="2"/>
        <v/>
      </c>
      <c r="S138" s="37" t="str">
        <f t="shared" si="3"/>
        <v/>
      </c>
      <c r="T138" s="38" t="str">
        <f t="shared" si="4"/>
        <v/>
      </c>
      <c r="U138" s="28" t="str">
        <f t="shared" si="5"/>
        <v/>
      </c>
      <c r="V138" s="39" t="str">
        <f>IFERROR(__xludf.DUMMYFUNCTION(" IF(Account!$F138&lt;&gt;"""", SPLIT(Account!$F138, "" ""), """")"),"")</f>
        <v/>
      </c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</row>
    <row r="139">
      <c r="A139" s="7"/>
      <c r="B139" s="7"/>
      <c r="C139" s="7"/>
      <c r="D139" s="7"/>
      <c r="E139" s="7"/>
      <c r="F139" s="9"/>
      <c r="G139" s="7"/>
      <c r="H139" s="7"/>
      <c r="I139" s="7"/>
      <c r="J139" s="7"/>
      <c r="K139" s="7"/>
      <c r="L139" s="26" t="str">
        <f t="shared" si="1"/>
        <v/>
      </c>
      <c r="M139" s="28" t="str">
        <f>IFERROR(__xludf.DUMMYFUNCTION("IF(Account!$F139&lt;&gt;"""", VALUE(REGEXREPLACE($I139, ""\,"", ""."")), """")"),"")</f>
        <v/>
      </c>
      <c r="N139" s="31" t="str">
        <f>IF(Account!$F139&lt;&gt;"", DATEVALUE(MID($A139,4,3) &amp; LEFT($A139,3) &amp; RIGHT($A139,4)) + TIMEVALUE($B139), "")</f>
        <v/>
      </c>
      <c r="O139" s="33" t="str">
        <f>IF(Account!$F139&lt;&gt;"", DATEVALUE(MID($A139,4,3) &amp; LEFT($A139,3) &amp; RIGHT($A139,4)), "")</f>
        <v/>
      </c>
      <c r="P139" s="34" t="str">
        <f>IFERROR(VLOOKUP($Q139,Selection!$F:$G,2,false))</f>
        <v/>
      </c>
      <c r="Q139" s="36" t="str">
        <f>IF(AND($X139="change",$H139="EUR"),IF(AND($Z139="Crédit",$N139=$N140),$Q140,IF(AND($Z139="Débit",$N139=$N138),$Q138)),IF(OR(AND(OR($E139&lt;&gt;"",$L139=""),$M139&lt;&gt;0),$A139=""),IFERROR(VLOOKUP($E139,Selection!$E:$F,2,false)),IFERROR(VLOOKUP(SUBSTITUTE($I139,"-","",1),$K140:$Q1119,7,false),VLOOKUP($K139,$K140:$Q1119,7,false))))</f>
        <v/>
      </c>
      <c r="R139" s="34" t="str">
        <f t="shared" si="2"/>
        <v/>
      </c>
      <c r="S139" s="37" t="str">
        <f t="shared" si="3"/>
        <v/>
      </c>
      <c r="T139" s="38" t="str">
        <f t="shared" si="4"/>
        <v/>
      </c>
      <c r="U139" s="28" t="str">
        <f t="shared" si="5"/>
        <v/>
      </c>
      <c r="V139" s="39" t="str">
        <f>IFERROR(__xludf.DUMMYFUNCTION(" IF(Account!$F139&lt;&gt;"""", SPLIT(Account!$F139, "" ""), """")"),"")</f>
        <v/>
      </c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</row>
    <row r="140">
      <c r="A140" s="7"/>
      <c r="B140" s="7"/>
      <c r="C140" s="7"/>
      <c r="D140" s="7"/>
      <c r="E140" s="7"/>
      <c r="F140" s="9"/>
      <c r="G140" s="7"/>
      <c r="H140" s="7"/>
      <c r="I140" s="7"/>
      <c r="J140" s="7"/>
      <c r="K140" s="7"/>
      <c r="L140" s="26" t="str">
        <f t="shared" si="1"/>
        <v/>
      </c>
      <c r="M140" s="28" t="str">
        <f>IFERROR(__xludf.DUMMYFUNCTION("IF(Account!$F140&lt;&gt;"""", VALUE(REGEXREPLACE($I140, ""\,"", ""."")), """")"),"")</f>
        <v/>
      </c>
      <c r="N140" s="31" t="str">
        <f>IF(Account!$F140&lt;&gt;"", DATEVALUE(MID($A140,4,3) &amp; LEFT($A140,3) &amp; RIGHT($A140,4)) + TIMEVALUE($B140), "")</f>
        <v/>
      </c>
      <c r="O140" s="33" t="str">
        <f>IF(Account!$F140&lt;&gt;"", DATEVALUE(MID($A140,4,3) &amp; LEFT($A140,3) &amp; RIGHT($A140,4)), "")</f>
        <v/>
      </c>
      <c r="P140" s="34" t="str">
        <f>IFERROR(VLOOKUP($Q140,Selection!$F:$G,2,false))</f>
        <v/>
      </c>
      <c r="Q140" s="36" t="str">
        <f>IF(AND($X140="change",$H140="EUR"),IF(AND($Z140="Crédit",$N140=$N141),$Q141,IF(AND($Z140="Débit",$N140=$N139),$Q139)),IF(OR(AND(OR($E140&lt;&gt;"",$L140=""),$M140&lt;&gt;0),$A140=""),IFERROR(VLOOKUP($E140,Selection!$E:$F,2,false)),IFERROR(VLOOKUP(SUBSTITUTE($I140,"-","",1),$K141:$Q1119,7,false),VLOOKUP($K140,$K141:$Q1119,7,false))))</f>
        <v/>
      </c>
      <c r="R140" s="34" t="str">
        <f t="shared" si="2"/>
        <v/>
      </c>
      <c r="S140" s="37" t="str">
        <f t="shared" si="3"/>
        <v/>
      </c>
      <c r="T140" s="38" t="str">
        <f t="shared" si="4"/>
        <v/>
      </c>
      <c r="U140" s="28" t="str">
        <f t="shared" si="5"/>
        <v/>
      </c>
      <c r="V140" s="39" t="str">
        <f>IFERROR(__xludf.DUMMYFUNCTION(" IF(Account!$F140&lt;&gt;"""", SPLIT(Account!$F140, "" ""), """")"),"")</f>
        <v/>
      </c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>
      <c r="A141" s="7"/>
      <c r="B141" s="7"/>
      <c r="C141" s="7"/>
      <c r="D141" s="7"/>
      <c r="E141" s="7"/>
      <c r="F141" s="9"/>
      <c r="G141" s="7"/>
      <c r="H141" s="7"/>
      <c r="I141" s="7"/>
      <c r="J141" s="7"/>
      <c r="K141" s="7"/>
      <c r="L141" s="26" t="str">
        <f t="shared" si="1"/>
        <v/>
      </c>
      <c r="M141" s="28" t="str">
        <f>IFERROR(__xludf.DUMMYFUNCTION("IF(Account!$F141&lt;&gt;"""", VALUE(REGEXREPLACE($I141, ""\,"", ""."")), """")"),"")</f>
        <v/>
      </c>
      <c r="N141" s="31" t="str">
        <f>IF(Account!$F141&lt;&gt;"", DATEVALUE(MID($A141,4,3) &amp; LEFT($A141,3) &amp; RIGHT($A141,4)) + TIMEVALUE($B141), "")</f>
        <v/>
      </c>
      <c r="O141" s="33" t="str">
        <f>IF(Account!$F141&lt;&gt;"", DATEVALUE(MID($A141,4,3) &amp; LEFT($A141,3) &amp; RIGHT($A141,4)), "")</f>
        <v/>
      </c>
      <c r="P141" s="34" t="str">
        <f>IFERROR(VLOOKUP($Q141,Selection!$F:$G,2,false))</f>
        <v/>
      </c>
      <c r="Q141" s="36" t="str">
        <f>IF(AND($X141="change",$H141="EUR"),IF(AND($Z141="Crédit",$N141=$N142),$Q142,IF(AND($Z141="Débit",$N141=$N140),$Q140)),IF(OR(AND(OR($E141&lt;&gt;"",$L141=""),$M141&lt;&gt;0),$A141=""),IFERROR(VLOOKUP($E141,Selection!$E:$F,2,false)),IFERROR(VLOOKUP(SUBSTITUTE($I141,"-","",1),$K142:$Q1119,7,false),VLOOKUP($K141,$K142:$Q1119,7,false))))</f>
        <v/>
      </c>
      <c r="R141" s="34" t="str">
        <f t="shared" si="2"/>
        <v/>
      </c>
      <c r="S141" s="37" t="str">
        <f t="shared" si="3"/>
        <v/>
      </c>
      <c r="T141" s="38" t="str">
        <f t="shared" si="4"/>
        <v/>
      </c>
      <c r="U141" s="28" t="str">
        <f t="shared" si="5"/>
        <v/>
      </c>
      <c r="V141" s="39" t="str">
        <f>IFERROR(__xludf.DUMMYFUNCTION(" IF(Account!$F141&lt;&gt;"""", SPLIT(Account!$F141, "" ""), """")"),"")</f>
        <v/>
      </c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>
      <c r="A142" s="7"/>
      <c r="B142" s="7"/>
      <c r="C142" s="7"/>
      <c r="D142" s="7"/>
      <c r="E142" s="7"/>
      <c r="F142" s="9"/>
      <c r="G142" s="7"/>
      <c r="H142" s="7"/>
      <c r="I142" s="7"/>
      <c r="J142" s="7"/>
      <c r="K142" s="7"/>
      <c r="L142" s="26" t="str">
        <f t="shared" si="1"/>
        <v/>
      </c>
      <c r="M142" s="28" t="str">
        <f>IFERROR(__xludf.DUMMYFUNCTION("IF(Account!$F142&lt;&gt;"""", VALUE(REGEXREPLACE($I142, ""\,"", ""."")), """")"),"")</f>
        <v/>
      </c>
      <c r="N142" s="31" t="str">
        <f>IF(Account!$F142&lt;&gt;"", DATEVALUE(MID($A142,4,3) &amp; LEFT($A142,3) &amp; RIGHT($A142,4)) + TIMEVALUE($B142), "")</f>
        <v/>
      </c>
      <c r="O142" s="33" t="str">
        <f>IF(Account!$F142&lt;&gt;"", DATEVALUE(MID($A142,4,3) &amp; LEFT($A142,3) &amp; RIGHT($A142,4)), "")</f>
        <v/>
      </c>
      <c r="P142" s="34" t="str">
        <f>IFERROR(VLOOKUP($Q142,Selection!$F:$G,2,false))</f>
        <v/>
      </c>
      <c r="Q142" s="36" t="str">
        <f>IF(AND($X142="change",$H142="EUR"),IF(AND($Z142="Crédit",$N142=$N143),$Q143,IF(AND($Z142="Débit",$N142=$N141),$Q141)),IF(OR(AND(OR($E142&lt;&gt;"",$L142=""),$M142&lt;&gt;0),$A142=""),IFERROR(VLOOKUP($E142,Selection!$E:$F,2,false)),IFERROR(VLOOKUP(SUBSTITUTE($I142,"-","",1),$K143:$Q1119,7,false),VLOOKUP($K142,$K143:$Q1119,7,false))))</f>
        <v/>
      </c>
      <c r="R142" s="34" t="str">
        <f t="shared" si="2"/>
        <v/>
      </c>
      <c r="S142" s="37" t="str">
        <f t="shared" si="3"/>
        <v/>
      </c>
      <c r="T142" s="38" t="str">
        <f t="shared" si="4"/>
        <v/>
      </c>
      <c r="U142" s="28" t="str">
        <f t="shared" si="5"/>
        <v/>
      </c>
      <c r="V142" s="39" t="str">
        <f>IFERROR(__xludf.DUMMYFUNCTION(" IF(Account!$F142&lt;&gt;"""", SPLIT(Account!$F142, "" ""), """")"),"")</f>
        <v/>
      </c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>
      <c r="A143" s="7"/>
      <c r="B143" s="7"/>
      <c r="C143" s="7"/>
      <c r="D143" s="7"/>
      <c r="E143" s="7"/>
      <c r="F143" s="9"/>
      <c r="G143" s="7"/>
      <c r="H143" s="7"/>
      <c r="I143" s="7"/>
      <c r="J143" s="7"/>
      <c r="K143" s="7"/>
      <c r="L143" s="26" t="str">
        <f t="shared" si="1"/>
        <v/>
      </c>
      <c r="M143" s="28" t="str">
        <f>IFERROR(__xludf.DUMMYFUNCTION("IF(Account!$F143&lt;&gt;"""", VALUE(REGEXREPLACE($I143, ""\,"", ""."")), """")"),"")</f>
        <v/>
      </c>
      <c r="N143" s="31" t="str">
        <f>IF(Account!$F143&lt;&gt;"", DATEVALUE(MID($A143,4,3) &amp; LEFT($A143,3) &amp; RIGHT($A143,4)) + TIMEVALUE($B143), "")</f>
        <v/>
      </c>
      <c r="O143" s="33" t="str">
        <f>IF(Account!$F143&lt;&gt;"", DATEVALUE(MID($A143,4,3) &amp; LEFT($A143,3) &amp; RIGHT($A143,4)), "")</f>
        <v/>
      </c>
      <c r="P143" s="34" t="str">
        <f>IFERROR(VLOOKUP($Q143,Selection!$F:$G,2,false))</f>
        <v/>
      </c>
      <c r="Q143" s="36" t="str">
        <f>IF(AND($X143="change",$H143="EUR"),IF(AND($Z143="Crédit",$N143=$N144),$Q144,IF(AND($Z143="Débit",$N143=$N142),$Q142)),IF(OR(AND(OR($E143&lt;&gt;"",$L143=""),$M143&lt;&gt;0),$A143=""),IFERROR(VLOOKUP($E143,Selection!$E:$F,2,false)),IFERROR(VLOOKUP(SUBSTITUTE($I143,"-","",1),$K144:$Q1119,7,false),VLOOKUP($K143,$K144:$Q1119,7,false))))</f>
        <v/>
      </c>
      <c r="R143" s="34" t="str">
        <f t="shared" si="2"/>
        <v/>
      </c>
      <c r="S143" s="37" t="str">
        <f t="shared" si="3"/>
        <v/>
      </c>
      <c r="T143" s="38" t="str">
        <f t="shared" si="4"/>
        <v/>
      </c>
      <c r="U143" s="28" t="str">
        <f t="shared" si="5"/>
        <v/>
      </c>
      <c r="V143" s="39" t="str">
        <f>IFERROR(__xludf.DUMMYFUNCTION(" IF(Account!$F143&lt;&gt;"""", SPLIT(Account!$F143, "" ""), """")"),"")</f>
        <v/>
      </c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>
      <c r="A144" s="7"/>
      <c r="B144" s="7"/>
      <c r="C144" s="7"/>
      <c r="D144" s="7"/>
      <c r="E144" s="7"/>
      <c r="F144" s="9"/>
      <c r="G144" s="7"/>
      <c r="H144" s="7"/>
      <c r="I144" s="7"/>
      <c r="J144" s="7"/>
      <c r="K144" s="7"/>
      <c r="L144" s="26" t="str">
        <f t="shared" si="1"/>
        <v/>
      </c>
      <c r="M144" s="28" t="str">
        <f>IFERROR(__xludf.DUMMYFUNCTION("IF(Account!$F144&lt;&gt;"""", VALUE(REGEXREPLACE($I144, ""\,"", ""."")), """")"),"")</f>
        <v/>
      </c>
      <c r="N144" s="31" t="str">
        <f>IF(Account!$F144&lt;&gt;"", DATEVALUE(MID($A144,4,3) &amp; LEFT($A144,3) &amp; RIGHT($A144,4)) + TIMEVALUE($B144), "")</f>
        <v/>
      </c>
      <c r="O144" s="33" t="str">
        <f>IF(Account!$F144&lt;&gt;"", DATEVALUE(MID($A144,4,3) &amp; LEFT($A144,3) &amp; RIGHT($A144,4)), "")</f>
        <v/>
      </c>
      <c r="P144" s="34" t="str">
        <f>IFERROR(VLOOKUP($Q144,Selection!$F:$G,2,false))</f>
        <v/>
      </c>
      <c r="Q144" s="36" t="str">
        <f>IF(AND($X144="change",$H144="EUR"),IF(AND($Z144="Crédit",$N144=$N145),$Q145,IF(AND($Z144="Débit",$N144=$N143),$Q143)),IF(OR(AND(OR($E144&lt;&gt;"",$L144=""),$M144&lt;&gt;0),$A144=""),IFERROR(VLOOKUP($E144,Selection!$E:$F,2,false)),IFERROR(VLOOKUP(SUBSTITUTE($I144,"-","",1),$K145:$Q1119,7,false),VLOOKUP($K144,$K145:$Q1119,7,false))))</f>
        <v/>
      </c>
      <c r="R144" s="34" t="str">
        <f t="shared" si="2"/>
        <v/>
      </c>
      <c r="S144" s="37" t="str">
        <f t="shared" si="3"/>
        <v/>
      </c>
      <c r="T144" s="38" t="str">
        <f t="shared" si="4"/>
        <v/>
      </c>
      <c r="U144" s="28" t="str">
        <f t="shared" si="5"/>
        <v/>
      </c>
      <c r="V144" s="39" t="str">
        <f>IFERROR(__xludf.DUMMYFUNCTION(" IF(Account!$F144&lt;&gt;"""", SPLIT(Account!$F144, "" ""), """")"),"")</f>
        <v/>
      </c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>
      <c r="A145" s="7"/>
      <c r="B145" s="7"/>
      <c r="C145" s="7"/>
      <c r="D145" s="7"/>
      <c r="E145" s="7"/>
      <c r="F145" s="9"/>
      <c r="G145" s="7"/>
      <c r="H145" s="7"/>
      <c r="I145" s="7"/>
      <c r="J145" s="7"/>
      <c r="K145" s="7"/>
      <c r="L145" s="26" t="str">
        <f t="shared" si="1"/>
        <v/>
      </c>
      <c r="M145" s="28" t="str">
        <f>IFERROR(__xludf.DUMMYFUNCTION("IF(Account!$F145&lt;&gt;"""", VALUE(REGEXREPLACE($I145, ""\,"", ""."")), """")"),"")</f>
        <v/>
      </c>
      <c r="N145" s="31" t="str">
        <f>IF(Account!$F145&lt;&gt;"", DATEVALUE(MID($A145,4,3) &amp; LEFT($A145,3) &amp; RIGHT($A145,4)) + TIMEVALUE($B145), "")</f>
        <v/>
      </c>
      <c r="O145" s="33" t="str">
        <f>IF(Account!$F145&lt;&gt;"", DATEVALUE(MID($A145,4,3) &amp; LEFT($A145,3) &amp; RIGHT($A145,4)), "")</f>
        <v/>
      </c>
      <c r="P145" s="34" t="str">
        <f>IFERROR(VLOOKUP($Q145,Selection!$F:$G,2,false))</f>
        <v/>
      </c>
      <c r="Q145" s="36" t="str">
        <f>IF(AND($X145="change",$H145="EUR"),IF(AND($Z145="Crédit",$N145=$N146),$Q146,IF(AND($Z145="Débit",$N145=$N144),$Q144)),IF(OR(AND(OR($E145&lt;&gt;"",$L145=""),$M145&lt;&gt;0),$A145=""),IFERROR(VLOOKUP($E145,Selection!$E:$F,2,false)),IFERROR(VLOOKUP(SUBSTITUTE($I145,"-","",1),$K146:$Q1119,7,false),VLOOKUP($K145,$K146:$Q1119,7,false))))</f>
        <v/>
      </c>
      <c r="R145" s="34" t="str">
        <f t="shared" si="2"/>
        <v/>
      </c>
      <c r="S145" s="37" t="str">
        <f t="shared" si="3"/>
        <v/>
      </c>
      <c r="T145" s="38" t="str">
        <f t="shared" si="4"/>
        <v/>
      </c>
      <c r="U145" s="28" t="str">
        <f t="shared" si="5"/>
        <v/>
      </c>
      <c r="V145" s="39" t="str">
        <f>IFERROR(__xludf.DUMMYFUNCTION(" IF(Account!$F145&lt;&gt;"""", SPLIT(Account!$F145, "" ""), """")"),"")</f>
        <v/>
      </c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>
      <c r="A146" s="7"/>
      <c r="B146" s="7"/>
      <c r="C146" s="7"/>
      <c r="D146" s="7"/>
      <c r="E146" s="7"/>
      <c r="F146" s="9"/>
      <c r="G146" s="7"/>
      <c r="H146" s="7"/>
      <c r="I146" s="7"/>
      <c r="J146" s="7"/>
      <c r="K146" s="7"/>
      <c r="L146" s="26" t="str">
        <f t="shared" si="1"/>
        <v/>
      </c>
      <c r="M146" s="28" t="str">
        <f>IFERROR(__xludf.DUMMYFUNCTION("IF(Account!$F146&lt;&gt;"""", VALUE(REGEXREPLACE($I146, ""\,"", ""."")), """")"),"")</f>
        <v/>
      </c>
      <c r="N146" s="31" t="str">
        <f>IF(Account!$F146&lt;&gt;"", DATEVALUE(MID($A146,4,3) &amp; LEFT($A146,3) &amp; RIGHT($A146,4)) + TIMEVALUE($B146), "")</f>
        <v/>
      </c>
      <c r="O146" s="33" t="str">
        <f>IF(Account!$F146&lt;&gt;"", DATEVALUE(MID($A146,4,3) &amp; LEFT($A146,3) &amp; RIGHT($A146,4)), "")</f>
        <v/>
      </c>
      <c r="P146" s="34" t="str">
        <f>IFERROR(VLOOKUP($Q146,Selection!$F:$G,2,false))</f>
        <v/>
      </c>
      <c r="Q146" s="36" t="str">
        <f>IF(AND($X146="change",$H146="EUR"),IF(AND($Z146="Crédit",$N146=$N147),$Q147,IF(AND($Z146="Débit",$N146=$N145),$Q145)),IF(OR(AND(OR($E146&lt;&gt;"",$L146=""),$M146&lt;&gt;0),$A146=""),IFERROR(VLOOKUP($E146,Selection!$E:$F,2,false)),IFERROR(VLOOKUP(SUBSTITUTE($I146,"-","",1),$K147:$Q1119,7,false),VLOOKUP($K146,$K147:$Q1119,7,false))))</f>
        <v/>
      </c>
      <c r="R146" s="34" t="str">
        <f t="shared" si="2"/>
        <v/>
      </c>
      <c r="S146" s="37" t="str">
        <f t="shared" si="3"/>
        <v/>
      </c>
      <c r="T146" s="38" t="str">
        <f t="shared" si="4"/>
        <v/>
      </c>
      <c r="U146" s="28" t="str">
        <f t="shared" si="5"/>
        <v/>
      </c>
      <c r="V146" s="39" t="str">
        <f>IFERROR(__xludf.DUMMYFUNCTION(" IF(Account!$F146&lt;&gt;"""", SPLIT(Account!$F146, "" ""), """")"),"")</f>
        <v/>
      </c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</row>
    <row r="147">
      <c r="A147" s="7"/>
      <c r="B147" s="7"/>
      <c r="C147" s="7"/>
      <c r="D147" s="7"/>
      <c r="E147" s="7"/>
      <c r="F147" s="9"/>
      <c r="G147" s="7"/>
      <c r="H147" s="7"/>
      <c r="I147" s="7"/>
      <c r="J147" s="7"/>
      <c r="K147" s="7"/>
      <c r="L147" s="26" t="str">
        <f t="shared" si="1"/>
        <v/>
      </c>
      <c r="M147" s="28" t="str">
        <f>IFERROR(__xludf.DUMMYFUNCTION("IF(Account!$F147&lt;&gt;"""", VALUE(REGEXREPLACE($I147, ""\,"", ""."")), """")"),"")</f>
        <v/>
      </c>
      <c r="N147" s="31" t="str">
        <f>IF(Account!$F147&lt;&gt;"", DATEVALUE(MID($A147,4,3) &amp; LEFT($A147,3) &amp; RIGHT($A147,4)) + TIMEVALUE($B147), "")</f>
        <v/>
      </c>
      <c r="O147" s="33" t="str">
        <f>IF(Account!$F147&lt;&gt;"", DATEVALUE(MID($A147,4,3) &amp; LEFT($A147,3) &amp; RIGHT($A147,4)), "")</f>
        <v/>
      </c>
      <c r="P147" s="34" t="str">
        <f>IFERROR(VLOOKUP($Q147,Selection!$F:$G,2,false))</f>
        <v/>
      </c>
      <c r="Q147" s="36" t="str">
        <f>IF(AND($X147="change",$H147="EUR"),IF(AND($Z147="Crédit",$N147=$N148),$Q148,IF(AND($Z147="Débit",$N147=$N146),$Q146)),IF(OR(AND(OR($E147&lt;&gt;"",$L147=""),$M147&lt;&gt;0),$A147=""),IFERROR(VLOOKUP($E147,Selection!$E:$F,2,false)),IFERROR(VLOOKUP(SUBSTITUTE($I147,"-","",1),$K148:$Q1119,7,false),VLOOKUP($K147,$K148:$Q1119,7,false))))</f>
        <v/>
      </c>
      <c r="R147" s="34" t="str">
        <f t="shared" si="2"/>
        <v/>
      </c>
      <c r="S147" s="37" t="str">
        <f t="shared" si="3"/>
        <v/>
      </c>
      <c r="T147" s="38" t="str">
        <f t="shared" si="4"/>
        <v/>
      </c>
      <c r="U147" s="28" t="str">
        <f t="shared" si="5"/>
        <v/>
      </c>
      <c r="V147" s="39" t="str">
        <f>IFERROR(__xludf.DUMMYFUNCTION(" IF(Account!$F147&lt;&gt;"""", SPLIT(Account!$F147, "" ""), """")"),"")</f>
        <v/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</row>
    <row r="148">
      <c r="A148" s="7"/>
      <c r="B148" s="7"/>
      <c r="C148" s="7"/>
      <c r="D148" s="7"/>
      <c r="E148" s="7"/>
      <c r="F148" s="9"/>
      <c r="G148" s="7"/>
      <c r="H148" s="7"/>
      <c r="I148" s="7"/>
      <c r="J148" s="7"/>
      <c r="K148" s="7"/>
      <c r="L148" s="26" t="str">
        <f t="shared" si="1"/>
        <v/>
      </c>
      <c r="M148" s="28" t="str">
        <f>IFERROR(__xludf.DUMMYFUNCTION("IF(Account!$F148&lt;&gt;"""", VALUE(REGEXREPLACE($I148, ""\,"", ""."")), """")"),"")</f>
        <v/>
      </c>
      <c r="N148" s="31" t="str">
        <f>IF(Account!$F148&lt;&gt;"", DATEVALUE(MID($A148,4,3) &amp; LEFT($A148,3) &amp; RIGHT($A148,4)) + TIMEVALUE($B148), "")</f>
        <v/>
      </c>
      <c r="O148" s="33" t="str">
        <f>IF(Account!$F148&lt;&gt;"", DATEVALUE(MID($A148,4,3) &amp; LEFT($A148,3) &amp; RIGHT($A148,4)), "")</f>
        <v/>
      </c>
      <c r="P148" s="34" t="str">
        <f>IFERROR(VLOOKUP($Q148,Selection!$F:$G,2,false))</f>
        <v/>
      </c>
      <c r="Q148" s="36" t="str">
        <f>IF(AND($X148="change",$H148="EUR"),IF(AND($Z148="Crédit",$N148=$N149),$Q149,IF(AND($Z148="Débit",$N148=$N147),$Q147)),IF(OR(AND(OR($E148&lt;&gt;"",$L148=""),$M148&lt;&gt;0),$A148=""),IFERROR(VLOOKUP($E148,Selection!$E:$F,2,false)),IFERROR(VLOOKUP(SUBSTITUTE($I148,"-","",1),$K149:$Q1119,7,false),VLOOKUP($K148,$K149:$Q1119,7,false))))</f>
        <v/>
      </c>
      <c r="R148" s="34" t="str">
        <f t="shared" si="2"/>
        <v/>
      </c>
      <c r="S148" s="37" t="str">
        <f t="shared" si="3"/>
        <v/>
      </c>
      <c r="T148" s="38" t="str">
        <f t="shared" si="4"/>
        <v/>
      </c>
      <c r="U148" s="28" t="str">
        <f t="shared" si="5"/>
        <v/>
      </c>
      <c r="V148" s="39" t="str">
        <f>IFERROR(__xludf.DUMMYFUNCTION(" IF(Account!$F148&lt;&gt;"""", SPLIT(Account!$F148, "" ""), """")"),"")</f>
        <v/>
      </c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</row>
    <row r="149">
      <c r="A149" s="7"/>
      <c r="B149" s="7"/>
      <c r="C149" s="7"/>
      <c r="D149" s="7"/>
      <c r="E149" s="7"/>
      <c r="F149" s="9"/>
      <c r="G149" s="7"/>
      <c r="H149" s="7"/>
      <c r="I149" s="7"/>
      <c r="J149" s="7"/>
      <c r="K149" s="7"/>
      <c r="L149" s="26" t="str">
        <f t="shared" si="1"/>
        <v/>
      </c>
      <c r="M149" s="28" t="str">
        <f>IFERROR(__xludf.DUMMYFUNCTION("IF(Account!$F149&lt;&gt;"""", VALUE(REGEXREPLACE($I149, ""\,"", ""."")), """")"),"")</f>
        <v/>
      </c>
      <c r="N149" s="31" t="str">
        <f>IF(Account!$F149&lt;&gt;"", DATEVALUE(MID($A149,4,3) &amp; LEFT($A149,3) &amp; RIGHT($A149,4)) + TIMEVALUE($B149), "")</f>
        <v/>
      </c>
      <c r="O149" s="33" t="str">
        <f>IF(Account!$F149&lt;&gt;"", DATEVALUE(MID($A149,4,3) &amp; LEFT($A149,3) &amp; RIGHT($A149,4)), "")</f>
        <v/>
      </c>
      <c r="P149" s="34" t="str">
        <f>IFERROR(VLOOKUP($Q149,Selection!$F:$G,2,false))</f>
        <v/>
      </c>
      <c r="Q149" s="36" t="str">
        <f>IF(AND($X149="change",$H149="EUR"),IF(AND($Z149="Crédit",$N149=$N150),$Q150,IF(AND($Z149="Débit",$N149=$N148),$Q148)),IF(OR(AND(OR($E149&lt;&gt;"",$L149=""),$M149&lt;&gt;0),$A149=""),IFERROR(VLOOKUP($E149,Selection!$E:$F,2,false)),IFERROR(VLOOKUP(SUBSTITUTE($I149,"-","",1),$K150:$Q1119,7,false),VLOOKUP($K149,$K150:$Q1119,7,false))))</f>
        <v/>
      </c>
      <c r="R149" s="34" t="str">
        <f t="shared" si="2"/>
        <v/>
      </c>
      <c r="S149" s="37" t="str">
        <f t="shared" si="3"/>
        <v/>
      </c>
      <c r="T149" s="38" t="str">
        <f t="shared" si="4"/>
        <v/>
      </c>
      <c r="U149" s="28" t="str">
        <f t="shared" si="5"/>
        <v/>
      </c>
      <c r="V149" s="39" t="str">
        <f>IFERROR(__xludf.DUMMYFUNCTION(" IF(Account!$F149&lt;&gt;"""", SPLIT(Account!$F149, "" ""), """")"),"")</f>
        <v/>
      </c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>
      <c r="A150" s="7"/>
      <c r="B150" s="7"/>
      <c r="C150" s="7"/>
      <c r="D150" s="7"/>
      <c r="E150" s="7"/>
      <c r="F150" s="9"/>
      <c r="G150" s="7"/>
      <c r="H150" s="7"/>
      <c r="I150" s="7"/>
      <c r="J150" s="7"/>
      <c r="K150" s="7"/>
      <c r="L150" s="26" t="str">
        <f t="shared" si="1"/>
        <v/>
      </c>
      <c r="M150" s="28" t="str">
        <f>IFERROR(__xludf.DUMMYFUNCTION("IF(Account!$F150&lt;&gt;"""", VALUE(REGEXREPLACE($I150, ""\,"", ""."")), """")"),"")</f>
        <v/>
      </c>
      <c r="N150" s="31" t="str">
        <f>IF(Account!$F150&lt;&gt;"", DATEVALUE(MID($A150,4,3) &amp; LEFT($A150,3) &amp; RIGHT($A150,4)) + TIMEVALUE($B150), "")</f>
        <v/>
      </c>
      <c r="O150" s="33" t="str">
        <f>IF(Account!$F150&lt;&gt;"", DATEVALUE(MID($A150,4,3) &amp; LEFT($A150,3) &amp; RIGHT($A150,4)), "")</f>
        <v/>
      </c>
      <c r="P150" s="34" t="str">
        <f>IFERROR(VLOOKUP($Q150,Selection!$F:$G,2,false))</f>
        <v/>
      </c>
      <c r="Q150" s="36" t="str">
        <f>IF(AND($X150="change",$H150="EUR"),IF(AND($Z150="Crédit",$N150=$N151),$Q151,IF(AND($Z150="Débit",$N150=$N149),$Q149)),IF(OR(AND(OR($E150&lt;&gt;"",$L150=""),$M150&lt;&gt;0),$A150=""),IFERROR(VLOOKUP($E150,Selection!$E:$F,2,false)),IFERROR(VLOOKUP(SUBSTITUTE($I150,"-","",1),$K151:$Q1119,7,false),VLOOKUP($K150,$K151:$Q1119,7,false))))</f>
        <v/>
      </c>
      <c r="R150" s="34" t="str">
        <f t="shared" si="2"/>
        <v/>
      </c>
      <c r="S150" s="37" t="str">
        <f t="shared" si="3"/>
        <v/>
      </c>
      <c r="T150" s="38" t="str">
        <f t="shared" si="4"/>
        <v/>
      </c>
      <c r="U150" s="28" t="str">
        <f t="shared" si="5"/>
        <v/>
      </c>
      <c r="V150" s="39" t="str">
        <f>IFERROR(__xludf.DUMMYFUNCTION(" IF(Account!$F150&lt;&gt;"""", SPLIT(Account!$F150, "" ""), """")"),"")</f>
        <v/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>
      <c r="A151" s="7"/>
      <c r="B151" s="7"/>
      <c r="C151" s="7"/>
      <c r="D151" s="7"/>
      <c r="E151" s="7"/>
      <c r="F151" s="9"/>
      <c r="G151" s="7"/>
      <c r="H151" s="7"/>
      <c r="I151" s="7"/>
      <c r="J151" s="7"/>
      <c r="K151" s="7"/>
      <c r="L151" s="26" t="str">
        <f t="shared" si="1"/>
        <v/>
      </c>
      <c r="M151" s="28" t="str">
        <f>IFERROR(__xludf.DUMMYFUNCTION("IF(Account!$F151&lt;&gt;"""", VALUE(REGEXREPLACE($I151, ""\,"", ""."")), """")"),"")</f>
        <v/>
      </c>
      <c r="N151" s="31" t="str">
        <f>IF(Account!$F151&lt;&gt;"", DATEVALUE(MID($A151,4,3) &amp; LEFT($A151,3) &amp; RIGHT($A151,4)) + TIMEVALUE($B151), "")</f>
        <v/>
      </c>
      <c r="O151" s="33" t="str">
        <f>IF(Account!$F151&lt;&gt;"", DATEVALUE(MID($A151,4,3) &amp; LEFT($A151,3) &amp; RIGHT($A151,4)), "")</f>
        <v/>
      </c>
      <c r="P151" s="34" t="str">
        <f>IFERROR(VLOOKUP($Q151,Selection!$F:$G,2,false))</f>
        <v/>
      </c>
      <c r="Q151" s="36" t="str">
        <f>IF(AND($X151="change",$H151="EUR"),IF(AND($Z151="Crédit",$N151=$N152),$Q152,IF(AND($Z151="Débit",$N151=$N150),$Q150)),IF(OR(AND(OR($E151&lt;&gt;"",$L151=""),$M151&lt;&gt;0),$A151=""),IFERROR(VLOOKUP($E151,Selection!$E:$F,2,false)),IFERROR(VLOOKUP(SUBSTITUTE($I151,"-","",1),$K152:$Q1119,7,false),VLOOKUP($K151,$K152:$Q1119,7,false))))</f>
        <v/>
      </c>
      <c r="R151" s="34" t="str">
        <f t="shared" si="2"/>
        <v/>
      </c>
      <c r="S151" s="37" t="str">
        <f t="shared" si="3"/>
        <v/>
      </c>
      <c r="T151" s="38" t="str">
        <f t="shared" si="4"/>
        <v/>
      </c>
      <c r="U151" s="28" t="str">
        <f t="shared" si="5"/>
        <v/>
      </c>
      <c r="V151" s="39" t="str">
        <f>IFERROR(__xludf.DUMMYFUNCTION(" IF(Account!$F151&lt;&gt;"""", SPLIT(Account!$F151, "" ""), """")"),"")</f>
        <v/>
      </c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>
      <c r="A152" s="7"/>
      <c r="B152" s="7"/>
      <c r="C152" s="7"/>
      <c r="D152" s="7"/>
      <c r="E152" s="7"/>
      <c r="F152" s="9"/>
      <c r="G152" s="7"/>
      <c r="H152" s="7"/>
      <c r="I152" s="7"/>
      <c r="J152" s="7"/>
      <c r="K152" s="7"/>
      <c r="L152" s="26" t="str">
        <f t="shared" si="1"/>
        <v/>
      </c>
      <c r="M152" s="28" t="str">
        <f>IFERROR(__xludf.DUMMYFUNCTION("IF(Account!$F152&lt;&gt;"""", VALUE(REGEXREPLACE($I152, ""\,"", ""."")), """")"),"")</f>
        <v/>
      </c>
      <c r="N152" s="31" t="str">
        <f>IF(Account!$F152&lt;&gt;"", DATEVALUE(MID($A152,4,3) &amp; LEFT($A152,3) &amp; RIGHT($A152,4)) + TIMEVALUE($B152), "")</f>
        <v/>
      </c>
      <c r="O152" s="33" t="str">
        <f>IF(Account!$F152&lt;&gt;"", DATEVALUE(MID($A152,4,3) &amp; LEFT($A152,3) &amp; RIGHT($A152,4)), "")</f>
        <v/>
      </c>
      <c r="P152" s="34" t="str">
        <f>IFERROR(VLOOKUP($Q152,Selection!$F:$G,2,false))</f>
        <v/>
      </c>
      <c r="Q152" s="36" t="str">
        <f>IF(AND($X152="change",$H152="EUR"),IF(AND($Z152="Crédit",$N152=$N153),$Q153,IF(AND($Z152="Débit",$N152=$N151),$Q151)),IF(OR(AND(OR($E152&lt;&gt;"",$L152=""),$M152&lt;&gt;0),$A152=""),IFERROR(VLOOKUP($E152,Selection!$E:$F,2,false)),IFERROR(VLOOKUP(SUBSTITUTE($I152,"-","",1),$K153:$Q1119,7,false),VLOOKUP($K152,$K153:$Q1119,7,false))))</f>
        <v/>
      </c>
      <c r="R152" s="34" t="str">
        <f t="shared" si="2"/>
        <v/>
      </c>
      <c r="S152" s="37" t="str">
        <f t="shared" si="3"/>
        <v/>
      </c>
      <c r="T152" s="38" t="str">
        <f t="shared" si="4"/>
        <v/>
      </c>
      <c r="U152" s="28" t="str">
        <f t="shared" si="5"/>
        <v/>
      </c>
      <c r="V152" s="39" t="str">
        <f>IFERROR(__xludf.DUMMYFUNCTION(" IF(Account!$F152&lt;&gt;"""", SPLIT(Account!$F152, "" ""), """")"),"")</f>
        <v/>
      </c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>
      <c r="A153" s="7"/>
      <c r="B153" s="7"/>
      <c r="C153" s="7"/>
      <c r="D153" s="7"/>
      <c r="E153" s="7"/>
      <c r="F153" s="9"/>
      <c r="G153" s="7"/>
      <c r="H153" s="7"/>
      <c r="I153" s="7"/>
      <c r="J153" s="7"/>
      <c r="K153" s="7"/>
      <c r="L153" s="26" t="str">
        <f t="shared" si="1"/>
        <v/>
      </c>
      <c r="M153" s="28" t="str">
        <f>IFERROR(__xludf.DUMMYFUNCTION("IF(Account!$F153&lt;&gt;"""", VALUE(REGEXREPLACE($I153, ""\,"", ""."")), """")"),"")</f>
        <v/>
      </c>
      <c r="N153" s="31" t="str">
        <f>IF(Account!$F153&lt;&gt;"", DATEVALUE(MID($A153,4,3) &amp; LEFT($A153,3) &amp; RIGHT($A153,4)) + TIMEVALUE($B153), "")</f>
        <v/>
      </c>
      <c r="O153" s="33" t="str">
        <f>IF(Account!$F153&lt;&gt;"", DATEVALUE(MID($A153,4,3) &amp; LEFT($A153,3) &amp; RIGHT($A153,4)), "")</f>
        <v/>
      </c>
      <c r="P153" s="34" t="str">
        <f>IFERROR(VLOOKUP($Q153,Selection!$F:$G,2,false))</f>
        <v/>
      </c>
      <c r="Q153" s="36" t="str">
        <f>IF(AND($X153="change",$H153="EUR"),IF(AND($Z153="Crédit",$N153=$N154),$Q154,IF(AND($Z153="Débit",$N153=$N152),$Q152)),IF(OR(AND(OR($E153&lt;&gt;"",$L153=""),$M153&lt;&gt;0),$A153=""),IFERROR(VLOOKUP($E153,Selection!$E:$F,2,false)),IFERROR(VLOOKUP(SUBSTITUTE($I153,"-","",1),$K154:$Q1119,7,false),VLOOKUP($K153,$K154:$Q1119,7,false))))</f>
        <v/>
      </c>
      <c r="R153" s="34" t="str">
        <f t="shared" si="2"/>
        <v/>
      </c>
      <c r="S153" s="37" t="str">
        <f t="shared" si="3"/>
        <v/>
      </c>
      <c r="T153" s="38" t="str">
        <f t="shared" si="4"/>
        <v/>
      </c>
      <c r="U153" s="28" t="str">
        <f t="shared" si="5"/>
        <v/>
      </c>
      <c r="V153" s="39" t="str">
        <f>IFERROR(__xludf.DUMMYFUNCTION(" IF(Account!$F153&lt;&gt;"""", SPLIT(Account!$F153, "" ""), """")"),"")</f>
        <v/>
      </c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>
      <c r="A154" s="7"/>
      <c r="B154" s="7"/>
      <c r="C154" s="7"/>
      <c r="D154" s="7"/>
      <c r="E154" s="7"/>
      <c r="F154" s="9"/>
      <c r="G154" s="7"/>
      <c r="H154" s="7"/>
      <c r="I154" s="7"/>
      <c r="J154" s="7"/>
      <c r="K154" s="7"/>
      <c r="L154" s="26" t="str">
        <f t="shared" si="1"/>
        <v/>
      </c>
      <c r="M154" s="28" t="str">
        <f>IFERROR(__xludf.DUMMYFUNCTION("IF(Account!$F154&lt;&gt;"""", VALUE(REGEXREPLACE($I154, ""\,"", ""."")), """")"),"")</f>
        <v/>
      </c>
      <c r="N154" s="31" t="str">
        <f>IF(Account!$F154&lt;&gt;"", DATEVALUE(MID($A154,4,3) &amp; LEFT($A154,3) &amp; RIGHT($A154,4)) + TIMEVALUE($B154), "")</f>
        <v/>
      </c>
      <c r="O154" s="33" t="str">
        <f>IF(Account!$F154&lt;&gt;"", DATEVALUE(MID($A154,4,3) &amp; LEFT($A154,3) &amp; RIGHT($A154,4)), "")</f>
        <v/>
      </c>
      <c r="P154" s="34" t="str">
        <f>IFERROR(VLOOKUP($Q154,Selection!$F:$G,2,false))</f>
        <v/>
      </c>
      <c r="Q154" s="36" t="str">
        <f>IF(AND($X154="change",$H154="EUR"),IF(AND($Z154="Crédit",$N154=$N155),$Q155,IF(AND($Z154="Débit",$N154=$N153),$Q153)),IF(OR(AND(OR($E154&lt;&gt;"",$L154=""),$M154&lt;&gt;0),$A154=""),IFERROR(VLOOKUP($E154,Selection!$E:$F,2,false)),IFERROR(VLOOKUP(SUBSTITUTE($I154,"-","",1),$K155:$Q1119,7,false),VLOOKUP($K154,$K155:$Q1119,7,false))))</f>
        <v/>
      </c>
      <c r="R154" s="34" t="str">
        <f t="shared" si="2"/>
        <v/>
      </c>
      <c r="S154" s="37" t="str">
        <f t="shared" si="3"/>
        <v/>
      </c>
      <c r="T154" s="38" t="str">
        <f t="shared" si="4"/>
        <v/>
      </c>
      <c r="U154" s="28" t="str">
        <f t="shared" si="5"/>
        <v/>
      </c>
      <c r="V154" s="39" t="str">
        <f>IFERROR(__xludf.DUMMYFUNCTION(" IF(Account!$F154&lt;&gt;"""", SPLIT(Account!$F154, "" ""), """")"),"")</f>
        <v/>
      </c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>
      <c r="A155" s="7"/>
      <c r="B155" s="7"/>
      <c r="C155" s="7"/>
      <c r="D155" s="7"/>
      <c r="E155" s="7"/>
      <c r="F155" s="9"/>
      <c r="G155" s="7"/>
      <c r="H155" s="7"/>
      <c r="I155" s="7"/>
      <c r="J155" s="7"/>
      <c r="K155" s="7"/>
      <c r="L155" s="26" t="str">
        <f t="shared" si="1"/>
        <v/>
      </c>
      <c r="M155" s="28" t="str">
        <f>IFERROR(__xludf.DUMMYFUNCTION("IF(Account!$F155&lt;&gt;"""", VALUE(REGEXREPLACE($I155, ""\,"", ""."")), """")"),"")</f>
        <v/>
      </c>
      <c r="N155" s="31" t="str">
        <f>IF(Account!$F155&lt;&gt;"", DATEVALUE(MID($A155,4,3) &amp; LEFT($A155,3) &amp; RIGHT($A155,4)) + TIMEVALUE($B155), "")</f>
        <v/>
      </c>
      <c r="O155" s="33" t="str">
        <f>IF(Account!$F155&lt;&gt;"", DATEVALUE(MID($A155,4,3) &amp; LEFT($A155,3) &amp; RIGHT($A155,4)), "")</f>
        <v/>
      </c>
      <c r="P155" s="34" t="str">
        <f>IFERROR(VLOOKUP($Q155,Selection!$F:$G,2,false))</f>
        <v/>
      </c>
      <c r="Q155" s="36" t="str">
        <f>IF(AND($X155="change",$H155="EUR"),IF(AND($Z155="Crédit",$N155=$N156),$Q156,IF(AND($Z155="Débit",$N155=$N154),$Q154)),IF(OR(AND(OR($E155&lt;&gt;"",$L155=""),$M155&lt;&gt;0),$A155=""),IFERROR(VLOOKUP($E155,Selection!$E:$F,2,false)),IFERROR(VLOOKUP(SUBSTITUTE($I155,"-","",1),$K156:$Q1119,7,false),VLOOKUP($K155,$K156:$Q1119,7,false))))</f>
        <v/>
      </c>
      <c r="R155" s="34" t="str">
        <f t="shared" si="2"/>
        <v/>
      </c>
      <c r="S155" s="37" t="str">
        <f t="shared" si="3"/>
        <v/>
      </c>
      <c r="T155" s="38" t="str">
        <f t="shared" si="4"/>
        <v/>
      </c>
      <c r="U155" s="28" t="str">
        <f t="shared" si="5"/>
        <v/>
      </c>
      <c r="V155" s="39" t="str">
        <f>IFERROR(__xludf.DUMMYFUNCTION(" IF(Account!$F155&lt;&gt;"""", SPLIT(Account!$F155, "" ""), """")"),"")</f>
        <v/>
      </c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</row>
    <row r="156">
      <c r="A156" s="7"/>
      <c r="B156" s="7"/>
      <c r="C156" s="7"/>
      <c r="D156" s="7"/>
      <c r="E156" s="7"/>
      <c r="F156" s="9"/>
      <c r="G156" s="7"/>
      <c r="H156" s="7"/>
      <c r="I156" s="7"/>
      <c r="J156" s="7"/>
      <c r="K156" s="7"/>
      <c r="L156" s="26" t="str">
        <f t="shared" si="1"/>
        <v/>
      </c>
      <c r="M156" s="28" t="str">
        <f>IFERROR(__xludf.DUMMYFUNCTION("IF(Account!$F156&lt;&gt;"""", VALUE(REGEXREPLACE($I156, ""\,"", ""."")), """")"),"")</f>
        <v/>
      </c>
      <c r="N156" s="31" t="str">
        <f>IF(Account!$F156&lt;&gt;"", DATEVALUE(MID($A156,4,3) &amp; LEFT($A156,3) &amp; RIGHT($A156,4)) + TIMEVALUE($B156), "")</f>
        <v/>
      </c>
      <c r="O156" s="33" t="str">
        <f>IF(Account!$F156&lt;&gt;"", DATEVALUE(MID($A156,4,3) &amp; LEFT($A156,3) &amp; RIGHT($A156,4)), "")</f>
        <v/>
      </c>
      <c r="P156" s="34" t="str">
        <f>IFERROR(VLOOKUP($Q156,Selection!$F:$G,2,false))</f>
        <v/>
      </c>
      <c r="Q156" s="36" t="str">
        <f>IF(AND($X156="change",$H156="EUR"),IF(AND($Z156="Crédit",$N156=$N157),$Q157,IF(AND($Z156="Débit",$N156=$N155),$Q155)),IF(OR(AND(OR($E156&lt;&gt;"",$L156=""),$M156&lt;&gt;0),$A156=""),IFERROR(VLOOKUP($E156,Selection!$E:$F,2,false)),IFERROR(VLOOKUP(SUBSTITUTE($I156,"-","",1),$K157:$Q1119,7,false),VLOOKUP($K156,$K157:$Q1119,7,false))))</f>
        <v/>
      </c>
      <c r="R156" s="34" t="str">
        <f t="shared" si="2"/>
        <v/>
      </c>
      <c r="S156" s="37" t="str">
        <f t="shared" si="3"/>
        <v/>
      </c>
      <c r="T156" s="38" t="str">
        <f t="shared" si="4"/>
        <v/>
      </c>
      <c r="U156" s="28" t="str">
        <f t="shared" si="5"/>
        <v/>
      </c>
      <c r="V156" s="39" t="str">
        <f>IFERROR(__xludf.DUMMYFUNCTION(" IF(Account!$F156&lt;&gt;"""", SPLIT(Account!$F156, "" ""), """")"),"")</f>
        <v/>
      </c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</row>
    <row r="157">
      <c r="A157" s="7"/>
      <c r="B157" s="7"/>
      <c r="C157" s="7"/>
      <c r="D157" s="7"/>
      <c r="E157" s="7"/>
      <c r="F157" s="9"/>
      <c r="G157" s="7"/>
      <c r="H157" s="7"/>
      <c r="I157" s="7"/>
      <c r="J157" s="7"/>
      <c r="K157" s="7"/>
      <c r="L157" s="26" t="str">
        <f t="shared" si="1"/>
        <v/>
      </c>
      <c r="M157" s="28" t="str">
        <f>IFERROR(__xludf.DUMMYFUNCTION("IF(Account!$F157&lt;&gt;"""", VALUE(REGEXREPLACE($I157, ""\,"", ""."")), """")"),"")</f>
        <v/>
      </c>
      <c r="N157" s="31" t="str">
        <f>IF(Account!$F157&lt;&gt;"", DATEVALUE(MID($A157,4,3) &amp; LEFT($A157,3) &amp; RIGHT($A157,4)) + TIMEVALUE($B157), "")</f>
        <v/>
      </c>
      <c r="O157" s="33" t="str">
        <f>IF(Account!$F157&lt;&gt;"", DATEVALUE(MID($A157,4,3) &amp; LEFT($A157,3) &amp; RIGHT($A157,4)), "")</f>
        <v/>
      </c>
      <c r="P157" s="34" t="str">
        <f>IFERROR(VLOOKUP($Q157,Selection!$F:$G,2,false))</f>
        <v/>
      </c>
      <c r="Q157" s="36" t="str">
        <f>IF(AND($X157="change",$H157="EUR"),IF(AND($Z157="Crédit",$N157=$N158),$Q158,IF(AND($Z157="Débit",$N157=$N156),$Q156)),IF(OR(AND(OR($E157&lt;&gt;"",$L157=""),$M157&lt;&gt;0),$A157=""),IFERROR(VLOOKUP($E157,Selection!$E:$F,2,false)),IFERROR(VLOOKUP(SUBSTITUTE($I157,"-","",1),$K158:$Q1119,7,false),VLOOKUP($K157,$K158:$Q1119,7,false))))</f>
        <v/>
      </c>
      <c r="R157" s="34" t="str">
        <f t="shared" si="2"/>
        <v/>
      </c>
      <c r="S157" s="37" t="str">
        <f t="shared" si="3"/>
        <v/>
      </c>
      <c r="T157" s="38" t="str">
        <f t="shared" si="4"/>
        <v/>
      </c>
      <c r="U157" s="28" t="str">
        <f t="shared" si="5"/>
        <v/>
      </c>
      <c r="V157" s="39" t="str">
        <f>IFERROR(__xludf.DUMMYFUNCTION(" IF(Account!$F157&lt;&gt;"""", SPLIT(Account!$F157, "" ""), """")"),"")</f>
        <v/>
      </c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</row>
    <row r="158">
      <c r="A158" s="7"/>
      <c r="B158" s="7"/>
      <c r="C158" s="7"/>
      <c r="D158" s="7"/>
      <c r="E158" s="7"/>
      <c r="F158" s="9"/>
      <c r="G158" s="7"/>
      <c r="H158" s="7"/>
      <c r="I158" s="7"/>
      <c r="J158" s="7"/>
      <c r="K158" s="7"/>
      <c r="L158" s="26" t="str">
        <f t="shared" si="1"/>
        <v/>
      </c>
      <c r="M158" s="28" t="str">
        <f>IFERROR(__xludf.DUMMYFUNCTION("IF(Account!$F158&lt;&gt;"""", VALUE(REGEXREPLACE($I158, ""\,"", ""."")), """")"),"")</f>
        <v/>
      </c>
      <c r="N158" s="31" t="str">
        <f>IF(Account!$F158&lt;&gt;"", DATEVALUE(MID($A158,4,3) &amp; LEFT($A158,3) &amp; RIGHT($A158,4)) + TIMEVALUE($B158), "")</f>
        <v/>
      </c>
      <c r="O158" s="33" t="str">
        <f>IF(Account!$F158&lt;&gt;"", DATEVALUE(MID($A158,4,3) &amp; LEFT($A158,3) &amp; RIGHT($A158,4)), "")</f>
        <v/>
      </c>
      <c r="P158" s="34" t="str">
        <f>IFERROR(VLOOKUP($Q158,Selection!$F:$G,2,false))</f>
        <v/>
      </c>
      <c r="Q158" s="36" t="str">
        <f>IF(AND($X158="change",$H158="EUR"),IF(AND($Z158="Crédit",$N158=$N159),$Q159,IF(AND($Z158="Débit",$N158=$N157),$Q157)),IF(OR(AND(OR($E158&lt;&gt;"",$L158=""),$M158&lt;&gt;0),$A158=""),IFERROR(VLOOKUP($E158,Selection!$E:$F,2,false)),IFERROR(VLOOKUP(SUBSTITUTE($I158,"-","",1),$K159:$Q1119,7,false),VLOOKUP($K158,$K159:$Q1119,7,false))))</f>
        <v/>
      </c>
      <c r="R158" s="34" t="str">
        <f t="shared" si="2"/>
        <v/>
      </c>
      <c r="S158" s="37" t="str">
        <f t="shared" si="3"/>
        <v/>
      </c>
      <c r="T158" s="38" t="str">
        <f t="shared" si="4"/>
        <v/>
      </c>
      <c r="U158" s="28" t="str">
        <f t="shared" si="5"/>
        <v/>
      </c>
      <c r="V158" s="39" t="str">
        <f>IFERROR(__xludf.DUMMYFUNCTION(" IF(Account!$F158&lt;&gt;"""", SPLIT(Account!$F158, "" ""), """")"),"")</f>
        <v/>
      </c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>
      <c r="A159" s="7"/>
      <c r="B159" s="7"/>
      <c r="C159" s="7"/>
      <c r="D159" s="7"/>
      <c r="E159" s="7"/>
      <c r="F159" s="9"/>
      <c r="G159" s="7"/>
      <c r="H159" s="7"/>
      <c r="I159" s="7"/>
      <c r="J159" s="7"/>
      <c r="K159" s="7"/>
      <c r="L159" s="26" t="str">
        <f t="shared" si="1"/>
        <v/>
      </c>
      <c r="M159" s="28" t="str">
        <f>IFERROR(__xludf.DUMMYFUNCTION("IF(Account!$F159&lt;&gt;"""", VALUE(REGEXREPLACE($I159, ""\,"", ""."")), """")"),"")</f>
        <v/>
      </c>
      <c r="N159" s="31" t="str">
        <f>IF(Account!$F159&lt;&gt;"", DATEVALUE(MID($A159,4,3) &amp; LEFT($A159,3) &amp; RIGHT($A159,4)) + TIMEVALUE($B159), "")</f>
        <v/>
      </c>
      <c r="O159" s="33" t="str">
        <f>IF(Account!$F159&lt;&gt;"", DATEVALUE(MID($A159,4,3) &amp; LEFT($A159,3) &amp; RIGHT($A159,4)), "")</f>
        <v/>
      </c>
      <c r="P159" s="34" t="str">
        <f>IFERROR(VLOOKUP($Q159,Selection!$F:$G,2,false))</f>
        <v/>
      </c>
      <c r="Q159" s="36" t="str">
        <f>IF(AND($X159="change",$H159="EUR"),IF(AND($Z159="Crédit",$N159=$N160),$Q160,IF(AND($Z159="Débit",$N159=$N158),$Q158)),IF(OR(AND(OR($E159&lt;&gt;"",$L159=""),$M159&lt;&gt;0),$A159=""),IFERROR(VLOOKUP($E159,Selection!$E:$F,2,false)),IFERROR(VLOOKUP(SUBSTITUTE($I159,"-","",1),$K160:$Q1119,7,false),VLOOKUP($K159,$K160:$Q1119,7,false))))</f>
        <v/>
      </c>
      <c r="R159" s="34" t="str">
        <f t="shared" si="2"/>
        <v/>
      </c>
      <c r="S159" s="37" t="str">
        <f t="shared" si="3"/>
        <v/>
      </c>
      <c r="T159" s="38" t="str">
        <f t="shared" si="4"/>
        <v/>
      </c>
      <c r="U159" s="28" t="str">
        <f t="shared" si="5"/>
        <v/>
      </c>
      <c r="V159" s="39" t="str">
        <f>IFERROR(__xludf.DUMMYFUNCTION(" IF(Account!$F159&lt;&gt;"""", SPLIT(Account!$F159, "" ""), """")"),"")</f>
        <v/>
      </c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>
      <c r="A160" s="7"/>
      <c r="B160" s="7"/>
      <c r="C160" s="7"/>
      <c r="D160" s="7"/>
      <c r="E160" s="7"/>
      <c r="F160" s="9"/>
      <c r="G160" s="7"/>
      <c r="H160" s="7"/>
      <c r="I160" s="7"/>
      <c r="J160" s="7"/>
      <c r="K160" s="7"/>
      <c r="L160" s="26" t="str">
        <f t="shared" si="1"/>
        <v/>
      </c>
      <c r="M160" s="28" t="str">
        <f>IFERROR(__xludf.DUMMYFUNCTION("IF(Account!$F160&lt;&gt;"""", VALUE(REGEXREPLACE($I160, ""\,"", ""."")), """")"),"")</f>
        <v/>
      </c>
      <c r="N160" s="31" t="str">
        <f>IF(Account!$F160&lt;&gt;"", DATEVALUE(MID($A160,4,3) &amp; LEFT($A160,3) &amp; RIGHT($A160,4)) + TIMEVALUE($B160), "")</f>
        <v/>
      </c>
      <c r="O160" s="33" t="str">
        <f>IF(Account!$F160&lt;&gt;"", DATEVALUE(MID($A160,4,3) &amp; LEFT($A160,3) &amp; RIGHT($A160,4)), "")</f>
        <v/>
      </c>
      <c r="P160" s="34" t="str">
        <f>IFERROR(VLOOKUP($Q160,Selection!$F:$G,2,false))</f>
        <v/>
      </c>
      <c r="Q160" s="36" t="str">
        <f>IF(AND($X160="change",$H160="EUR"),IF(AND($Z160="Crédit",$N160=$N161),$Q161,IF(AND($Z160="Débit",$N160=$N159),$Q159)),IF(OR(AND(OR($E160&lt;&gt;"",$L160=""),$M160&lt;&gt;0),$A160=""),IFERROR(VLOOKUP($E160,Selection!$E:$F,2,false)),IFERROR(VLOOKUP(SUBSTITUTE($I160,"-","",1),$K161:$Q1119,7,false),VLOOKUP($K160,$K161:$Q1119,7,false))))</f>
        <v/>
      </c>
      <c r="R160" s="34" t="str">
        <f t="shared" si="2"/>
        <v/>
      </c>
      <c r="S160" s="37" t="str">
        <f t="shared" si="3"/>
        <v/>
      </c>
      <c r="T160" s="38" t="str">
        <f t="shared" si="4"/>
        <v/>
      </c>
      <c r="U160" s="28" t="str">
        <f t="shared" si="5"/>
        <v/>
      </c>
      <c r="V160" s="39" t="str">
        <f>IFERROR(__xludf.DUMMYFUNCTION(" IF(Account!$F160&lt;&gt;"""", SPLIT(Account!$F160, "" ""), """")"),"")</f>
        <v/>
      </c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>
      <c r="A161" s="7"/>
      <c r="B161" s="7"/>
      <c r="C161" s="7"/>
      <c r="D161" s="7"/>
      <c r="E161" s="7"/>
      <c r="F161" s="9"/>
      <c r="G161" s="7"/>
      <c r="H161" s="7"/>
      <c r="I161" s="7"/>
      <c r="J161" s="7"/>
      <c r="K161" s="7"/>
      <c r="L161" s="26" t="str">
        <f t="shared" si="1"/>
        <v/>
      </c>
      <c r="M161" s="28" t="str">
        <f>IFERROR(__xludf.DUMMYFUNCTION("IF(Account!$F161&lt;&gt;"""", VALUE(REGEXREPLACE($I161, ""\,"", ""."")), """")"),"")</f>
        <v/>
      </c>
      <c r="N161" s="31" t="str">
        <f>IF(Account!$F161&lt;&gt;"", DATEVALUE(MID($A161,4,3) &amp; LEFT($A161,3) &amp; RIGHT($A161,4)) + TIMEVALUE($B161), "")</f>
        <v/>
      </c>
      <c r="O161" s="33" t="str">
        <f>IF(Account!$F161&lt;&gt;"", DATEVALUE(MID($A161,4,3) &amp; LEFT($A161,3) &amp; RIGHT($A161,4)), "")</f>
        <v/>
      </c>
      <c r="P161" s="34" t="str">
        <f>IFERROR(VLOOKUP($Q161,Selection!$F:$G,2,false))</f>
        <v/>
      </c>
      <c r="Q161" s="36" t="str">
        <f>IF(AND($X161="change",$H161="EUR"),IF(AND($Z161="Crédit",$N161=$N162),$Q162,IF(AND($Z161="Débit",$N161=$N160),$Q160)),IF(OR(AND(OR($E161&lt;&gt;"",$L161=""),$M161&lt;&gt;0),$A161=""),IFERROR(VLOOKUP($E161,Selection!$E:$F,2,false)),IFERROR(VLOOKUP(SUBSTITUTE($I161,"-","",1),$K162:$Q1119,7,false),VLOOKUP($K161,$K162:$Q1119,7,false))))</f>
        <v/>
      </c>
      <c r="R161" s="34" t="str">
        <f t="shared" si="2"/>
        <v/>
      </c>
      <c r="S161" s="37" t="str">
        <f t="shared" si="3"/>
        <v/>
      </c>
      <c r="T161" s="38" t="str">
        <f t="shared" si="4"/>
        <v/>
      </c>
      <c r="U161" s="28" t="str">
        <f t="shared" si="5"/>
        <v/>
      </c>
      <c r="V161" s="39" t="str">
        <f>IFERROR(__xludf.DUMMYFUNCTION(" IF(Account!$F161&lt;&gt;"""", SPLIT(Account!$F161, "" ""), """")"),"")</f>
        <v/>
      </c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>
      <c r="A162" s="7"/>
      <c r="B162" s="7"/>
      <c r="C162" s="7"/>
      <c r="D162" s="7"/>
      <c r="E162" s="7"/>
      <c r="F162" s="9"/>
      <c r="G162" s="7"/>
      <c r="H162" s="7"/>
      <c r="I162" s="7"/>
      <c r="J162" s="7"/>
      <c r="K162" s="7"/>
      <c r="L162" s="26" t="str">
        <f t="shared" si="1"/>
        <v/>
      </c>
      <c r="M162" s="28" t="str">
        <f>IFERROR(__xludf.DUMMYFUNCTION("IF(Account!$F162&lt;&gt;"""", VALUE(REGEXREPLACE($I162, ""\,"", ""."")), """")"),"")</f>
        <v/>
      </c>
      <c r="N162" s="31" t="str">
        <f>IF(Account!$F162&lt;&gt;"", DATEVALUE(MID($A162,4,3) &amp; LEFT($A162,3) &amp; RIGHT($A162,4)) + TIMEVALUE($B162), "")</f>
        <v/>
      </c>
      <c r="O162" s="33" t="str">
        <f>IF(Account!$F162&lt;&gt;"", DATEVALUE(MID($A162,4,3) &amp; LEFT($A162,3) &amp; RIGHT($A162,4)), "")</f>
        <v/>
      </c>
      <c r="P162" s="34" t="str">
        <f>IFERROR(VLOOKUP($Q162,Selection!$F:$G,2,false))</f>
        <v/>
      </c>
      <c r="Q162" s="36" t="str">
        <f>IF(AND($X162="change",$H162="EUR"),IF(AND($Z162="Crédit",$N162=$N163),$Q163,IF(AND($Z162="Débit",$N162=$N161),$Q161)),IF(OR(AND(OR($E162&lt;&gt;"",$L162=""),$M162&lt;&gt;0),$A162=""),IFERROR(VLOOKUP($E162,Selection!$E:$F,2,false)),IFERROR(VLOOKUP(SUBSTITUTE($I162,"-","",1),$K163:$Q1119,7,false),VLOOKUP($K162,$K163:$Q1119,7,false))))</f>
        <v/>
      </c>
      <c r="R162" s="34" t="str">
        <f t="shared" si="2"/>
        <v/>
      </c>
      <c r="S162" s="37" t="str">
        <f t="shared" si="3"/>
        <v/>
      </c>
      <c r="T162" s="38" t="str">
        <f t="shared" si="4"/>
        <v/>
      </c>
      <c r="U162" s="28" t="str">
        <f t="shared" si="5"/>
        <v/>
      </c>
      <c r="V162" s="39" t="str">
        <f>IFERROR(__xludf.DUMMYFUNCTION(" IF(Account!$F162&lt;&gt;"""", SPLIT(Account!$F162, "" ""), """")"),"")</f>
        <v/>
      </c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>
      <c r="A163" s="7"/>
      <c r="B163" s="7"/>
      <c r="C163" s="7"/>
      <c r="D163" s="7"/>
      <c r="E163" s="7"/>
      <c r="F163" s="9"/>
      <c r="G163" s="7"/>
      <c r="H163" s="7"/>
      <c r="I163" s="7"/>
      <c r="J163" s="7"/>
      <c r="K163" s="7"/>
      <c r="L163" s="26" t="str">
        <f t="shared" si="1"/>
        <v/>
      </c>
      <c r="M163" s="28" t="str">
        <f>IFERROR(__xludf.DUMMYFUNCTION("IF(Account!$F163&lt;&gt;"""", VALUE(REGEXREPLACE($I163, ""\,"", ""."")), """")"),"")</f>
        <v/>
      </c>
      <c r="N163" s="31" t="str">
        <f>IF(Account!$F163&lt;&gt;"", DATEVALUE(MID($A163,4,3) &amp; LEFT($A163,3) &amp; RIGHT($A163,4)) + TIMEVALUE($B163), "")</f>
        <v/>
      </c>
      <c r="O163" s="33" t="str">
        <f>IF(Account!$F163&lt;&gt;"", DATEVALUE(MID($A163,4,3) &amp; LEFT($A163,3) &amp; RIGHT($A163,4)), "")</f>
        <v/>
      </c>
      <c r="P163" s="34" t="str">
        <f>IFERROR(VLOOKUP($Q163,Selection!$F:$G,2,false))</f>
        <v/>
      </c>
      <c r="Q163" s="36" t="str">
        <f>IF(AND($X163="change",$H163="EUR"),IF(AND($Z163="Crédit",$N163=$N164),$Q164,IF(AND($Z163="Débit",$N163=$N162),$Q162)),IF(OR(AND(OR($E163&lt;&gt;"",$L163=""),$M163&lt;&gt;0),$A163=""),IFERROR(VLOOKUP($E163,Selection!$E:$F,2,false)),IFERROR(VLOOKUP(SUBSTITUTE($I163,"-","",1),$K164:$Q1119,7,false),VLOOKUP($K163,$K164:$Q1119,7,false))))</f>
        <v/>
      </c>
      <c r="R163" s="34" t="str">
        <f t="shared" si="2"/>
        <v/>
      </c>
      <c r="S163" s="37" t="str">
        <f t="shared" si="3"/>
        <v/>
      </c>
      <c r="T163" s="38" t="str">
        <f t="shared" si="4"/>
        <v/>
      </c>
      <c r="U163" s="28" t="str">
        <f t="shared" si="5"/>
        <v/>
      </c>
      <c r="V163" s="39" t="str">
        <f>IFERROR(__xludf.DUMMYFUNCTION(" IF(Account!$F163&lt;&gt;"""", SPLIT(Account!$F163, "" ""), """")"),"")</f>
        <v/>
      </c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>
      <c r="A164" s="7"/>
      <c r="B164" s="7"/>
      <c r="C164" s="7"/>
      <c r="D164" s="7"/>
      <c r="E164" s="7"/>
      <c r="F164" s="9"/>
      <c r="G164" s="7"/>
      <c r="H164" s="7"/>
      <c r="I164" s="7"/>
      <c r="J164" s="7"/>
      <c r="K164" s="7"/>
      <c r="L164" s="26" t="str">
        <f t="shared" si="1"/>
        <v/>
      </c>
      <c r="M164" s="28" t="str">
        <f>IFERROR(__xludf.DUMMYFUNCTION("IF(Account!$F164&lt;&gt;"""", VALUE(REGEXREPLACE($I164, ""\,"", ""."")), """")"),"")</f>
        <v/>
      </c>
      <c r="N164" s="31" t="str">
        <f>IF(Account!$F164&lt;&gt;"", DATEVALUE(MID($A164,4,3) &amp; LEFT($A164,3) &amp; RIGHT($A164,4)) + TIMEVALUE($B164), "")</f>
        <v/>
      </c>
      <c r="O164" s="33" t="str">
        <f>IF(Account!$F164&lt;&gt;"", DATEVALUE(MID($A164,4,3) &amp; LEFT($A164,3) &amp; RIGHT($A164,4)), "")</f>
        <v/>
      </c>
      <c r="P164" s="34" t="str">
        <f>IFERROR(VLOOKUP($Q164,Selection!$F:$G,2,false))</f>
        <v/>
      </c>
      <c r="Q164" s="36" t="str">
        <f>IF(AND($X164="change",$H164="EUR"),IF(AND($Z164="Crédit",$N164=$N165),$Q165,IF(AND($Z164="Débit",$N164=$N163),$Q163)),IF(OR(AND(OR($E164&lt;&gt;"",$L164=""),$M164&lt;&gt;0),$A164=""),IFERROR(VLOOKUP($E164,Selection!$E:$F,2,false)),IFERROR(VLOOKUP(SUBSTITUTE($I164,"-","",1),$K165:$Q1119,7,false),VLOOKUP($K164,$K165:$Q1119,7,false))))</f>
        <v/>
      </c>
      <c r="R164" s="34" t="str">
        <f t="shared" si="2"/>
        <v/>
      </c>
      <c r="S164" s="37" t="str">
        <f t="shared" si="3"/>
        <v/>
      </c>
      <c r="T164" s="38" t="str">
        <f t="shared" si="4"/>
        <v/>
      </c>
      <c r="U164" s="28" t="str">
        <f t="shared" si="5"/>
        <v/>
      </c>
      <c r="V164" s="39" t="str">
        <f>IFERROR(__xludf.DUMMYFUNCTION(" IF(Account!$F164&lt;&gt;"""", SPLIT(Account!$F164, "" ""), """")"),"")</f>
        <v/>
      </c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</row>
    <row r="165">
      <c r="A165" s="7"/>
      <c r="B165" s="7"/>
      <c r="C165" s="7"/>
      <c r="D165" s="7"/>
      <c r="E165" s="7"/>
      <c r="F165" s="9"/>
      <c r="G165" s="341"/>
      <c r="H165" s="7"/>
      <c r="I165" s="7"/>
      <c r="J165" s="7"/>
      <c r="K165" s="7"/>
      <c r="L165" s="26" t="str">
        <f t="shared" si="1"/>
        <v/>
      </c>
      <c r="M165" s="28" t="str">
        <f>IFERROR(__xludf.DUMMYFUNCTION("IF(Account!$F165&lt;&gt;"""", VALUE(REGEXREPLACE($I165, ""\,"", ""."")), """")"),"")</f>
        <v/>
      </c>
      <c r="N165" s="31" t="str">
        <f>IF(Account!$F165&lt;&gt;"", DATEVALUE(MID($A165,4,3) &amp; LEFT($A165,3) &amp; RIGHT($A165,4)) + TIMEVALUE($B165), "")</f>
        <v/>
      </c>
      <c r="O165" s="33" t="str">
        <f>IF(Account!$F165&lt;&gt;"", DATEVALUE(MID($A165,4,3) &amp; LEFT($A165,3) &amp; RIGHT($A165,4)), "")</f>
        <v/>
      </c>
      <c r="P165" s="34" t="str">
        <f>IFERROR(VLOOKUP($Q165,Selection!$F:$G,2,false))</f>
        <v/>
      </c>
      <c r="Q165" s="36" t="str">
        <f>IF(AND($X165="change",$H165="EUR"),IF(AND($Z165="Crédit",$N165=$N166),$Q166,IF(AND($Z165="Débit",$N165=$N164),$Q164)),IF(OR(AND(OR($E165&lt;&gt;"",$L165=""),$M165&lt;&gt;0),$A165=""),IFERROR(VLOOKUP($E165,Selection!$E:$F,2,false)),IFERROR(VLOOKUP(SUBSTITUTE($I165,"-","",1),$K166:$Q1119,7,false),VLOOKUP($K165,$K166:$Q1119,7,false))))</f>
        <v/>
      </c>
      <c r="R165" s="34" t="str">
        <f t="shared" si="2"/>
        <v/>
      </c>
      <c r="S165" s="37" t="str">
        <f t="shared" si="3"/>
        <v/>
      </c>
      <c r="T165" s="38" t="str">
        <f t="shared" si="4"/>
        <v/>
      </c>
      <c r="U165" s="28" t="str">
        <f t="shared" si="5"/>
        <v/>
      </c>
      <c r="V165" s="39" t="str">
        <f>IFERROR(__xludf.DUMMYFUNCTION(" IF(Account!$F165&lt;&gt;"""", SPLIT(Account!$F165, "" ""), """")"),"")</f>
        <v/>
      </c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</row>
    <row r="166">
      <c r="A166" s="7"/>
      <c r="B166" s="7"/>
      <c r="C166" s="7"/>
      <c r="D166" s="7"/>
      <c r="E166" s="7"/>
      <c r="F166" s="9"/>
      <c r="G166" s="7"/>
      <c r="H166" s="7"/>
      <c r="I166" s="7"/>
      <c r="J166" s="7"/>
      <c r="K166" s="7"/>
      <c r="L166" s="26" t="str">
        <f t="shared" si="1"/>
        <v/>
      </c>
      <c r="M166" s="28" t="str">
        <f>IFERROR(__xludf.DUMMYFUNCTION("IF(Account!$F166&lt;&gt;"""", VALUE(REGEXREPLACE($I166, ""\,"", ""."")), """")"),"")</f>
        <v/>
      </c>
      <c r="N166" s="31" t="str">
        <f>IF(Account!$F166&lt;&gt;"", DATEVALUE(MID($A166,4,3) &amp; LEFT($A166,3) &amp; RIGHT($A166,4)) + TIMEVALUE($B166), "")</f>
        <v/>
      </c>
      <c r="O166" s="33" t="str">
        <f>IF(Account!$F166&lt;&gt;"", DATEVALUE(MID($A166,4,3) &amp; LEFT($A166,3) &amp; RIGHT($A166,4)), "")</f>
        <v/>
      </c>
      <c r="P166" s="34" t="str">
        <f>IFERROR(VLOOKUP($Q166,Selection!$F:$G,2,false))</f>
        <v/>
      </c>
      <c r="Q166" s="36" t="str">
        <f>IF(AND($X166="change",$H166="EUR"),IF(AND($Z166="Crédit",$N166=$N167),$Q167,IF(AND($Z166="Débit",$N166=$N165),$Q165)),IF(OR(AND(OR($E166&lt;&gt;"",$L166=""),$M166&lt;&gt;0),$A166=""),IFERROR(VLOOKUP($E166,Selection!$E:$F,2,false)),IFERROR(VLOOKUP(SUBSTITUTE($I166,"-","",1),$K167:$Q1119,7,false),VLOOKUP($K166,$K167:$Q1119,7,false))))</f>
        <v/>
      </c>
      <c r="R166" s="34" t="str">
        <f t="shared" si="2"/>
        <v/>
      </c>
      <c r="S166" s="37" t="str">
        <f t="shared" si="3"/>
        <v/>
      </c>
      <c r="T166" s="38" t="str">
        <f t="shared" si="4"/>
        <v/>
      </c>
      <c r="U166" s="28" t="str">
        <f t="shared" si="5"/>
        <v/>
      </c>
      <c r="V166" s="39" t="str">
        <f>IFERROR(__xludf.DUMMYFUNCTION(" IF(Account!$F166&lt;&gt;"""", SPLIT(Account!$F166, "" ""), """")"),"")</f>
        <v/>
      </c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</row>
    <row r="167">
      <c r="A167" s="7"/>
      <c r="B167" s="7"/>
      <c r="C167" s="7"/>
      <c r="D167" s="7"/>
      <c r="E167" s="7"/>
      <c r="F167" s="9"/>
      <c r="G167" s="341"/>
      <c r="H167" s="7"/>
      <c r="I167" s="7"/>
      <c r="J167" s="7"/>
      <c r="K167" s="7"/>
      <c r="L167" s="26" t="str">
        <f t="shared" si="1"/>
        <v/>
      </c>
      <c r="M167" s="28" t="str">
        <f>IFERROR(__xludf.DUMMYFUNCTION("IF(Account!$F167&lt;&gt;"""", VALUE(REGEXREPLACE($I167, ""\,"", ""."")), """")"),"")</f>
        <v/>
      </c>
      <c r="N167" s="31" t="str">
        <f>IF(Account!$F167&lt;&gt;"", DATEVALUE(MID($A167,4,3) &amp; LEFT($A167,3) &amp; RIGHT($A167,4)) + TIMEVALUE($B167), "")</f>
        <v/>
      </c>
      <c r="O167" s="33" t="str">
        <f>IF(Account!$F167&lt;&gt;"", DATEVALUE(MID($A167,4,3) &amp; LEFT($A167,3) &amp; RIGHT($A167,4)), "")</f>
        <v/>
      </c>
      <c r="P167" s="34" t="str">
        <f>IFERROR(VLOOKUP($Q167,Selection!$F:$G,2,false))</f>
        <v/>
      </c>
      <c r="Q167" s="36" t="str">
        <f>IF(AND($X167="change",$H167="EUR"),IF(AND($Z167="Crédit",$N167=$N168),$Q168,IF(AND($Z167="Débit",$N167=$N166),$Q166)),IF(OR(AND(OR($E167&lt;&gt;"",$L167=""),$M167&lt;&gt;0),$A167=""),IFERROR(VLOOKUP($E167,Selection!$E:$F,2,false)),IFERROR(VLOOKUP(SUBSTITUTE($I167,"-","",1),$K168:$Q1119,7,false),VLOOKUP($K167,$K168:$Q1119,7,false))))</f>
        <v/>
      </c>
      <c r="R167" s="34" t="str">
        <f t="shared" si="2"/>
        <v/>
      </c>
      <c r="S167" s="37" t="str">
        <f t="shared" si="3"/>
        <v/>
      </c>
      <c r="T167" s="38" t="str">
        <f t="shared" si="4"/>
        <v/>
      </c>
      <c r="U167" s="28" t="str">
        <f t="shared" si="5"/>
        <v/>
      </c>
      <c r="V167" s="39" t="str">
        <f>IFERROR(__xludf.DUMMYFUNCTION(" IF(Account!$F167&lt;&gt;"""", SPLIT(Account!$F167, "" ""), """")"),"")</f>
        <v/>
      </c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>
      <c r="A168" s="7"/>
      <c r="B168" s="7"/>
      <c r="C168" s="7"/>
      <c r="D168" s="7"/>
      <c r="E168" s="7"/>
      <c r="F168" s="9"/>
      <c r="G168" s="7"/>
      <c r="H168" s="7"/>
      <c r="I168" s="7"/>
      <c r="J168" s="7"/>
      <c r="K168" s="7"/>
      <c r="L168" s="26" t="str">
        <f t="shared" si="1"/>
        <v/>
      </c>
      <c r="M168" s="28" t="str">
        <f>IFERROR(__xludf.DUMMYFUNCTION("IF(Account!$F168&lt;&gt;"""", VALUE(REGEXREPLACE($I168, ""\,"", ""."")), """")"),"")</f>
        <v/>
      </c>
      <c r="N168" s="31" t="str">
        <f>IF(Account!$F168&lt;&gt;"", DATEVALUE(MID($A168,4,3) &amp; LEFT($A168,3) &amp; RIGHT($A168,4)) + TIMEVALUE($B168), "")</f>
        <v/>
      </c>
      <c r="O168" s="33" t="str">
        <f>IF(Account!$F168&lt;&gt;"", DATEVALUE(MID($A168,4,3) &amp; LEFT($A168,3) &amp; RIGHT($A168,4)), "")</f>
        <v/>
      </c>
      <c r="P168" s="34" t="str">
        <f>IFERROR(VLOOKUP($Q168,Selection!$F:$G,2,false))</f>
        <v/>
      </c>
      <c r="Q168" s="36" t="str">
        <f>IF(AND($X168="change",$H168="EUR"),IF(AND($Z168="Crédit",$N168=$N169),$Q169,IF(AND($Z168="Débit",$N168=$N167),$Q167)),IF(OR(AND(OR($E168&lt;&gt;"",$L168=""),$M168&lt;&gt;0),$A168=""),IFERROR(VLOOKUP($E168,Selection!$E:$F,2,false)),IFERROR(VLOOKUP(SUBSTITUTE($I168,"-","",1),$K169:$Q1119,7,false),VLOOKUP($K168,$K169:$Q1119,7,false))))</f>
        <v/>
      </c>
      <c r="R168" s="34" t="str">
        <f t="shared" si="2"/>
        <v/>
      </c>
      <c r="S168" s="37" t="str">
        <f t="shared" si="3"/>
        <v/>
      </c>
      <c r="T168" s="38" t="str">
        <f t="shared" si="4"/>
        <v/>
      </c>
      <c r="U168" s="28" t="str">
        <f t="shared" si="5"/>
        <v/>
      </c>
      <c r="V168" s="39" t="str">
        <f>IFERROR(__xludf.DUMMYFUNCTION(" IF(Account!$F168&lt;&gt;"""", SPLIT(Account!$F168, "" ""), """")"),"")</f>
        <v/>
      </c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>
      <c r="A169" s="7"/>
      <c r="B169" s="7"/>
      <c r="C169" s="7"/>
      <c r="D169" s="7"/>
      <c r="E169" s="7"/>
      <c r="F169" s="9"/>
      <c r="G169" s="7"/>
      <c r="H169" s="7"/>
      <c r="I169" s="7"/>
      <c r="J169" s="7"/>
      <c r="K169" s="7"/>
      <c r="L169" s="26" t="str">
        <f t="shared" si="1"/>
        <v/>
      </c>
      <c r="M169" s="28" t="str">
        <f>IFERROR(__xludf.DUMMYFUNCTION("IF(Account!$F169&lt;&gt;"""", VALUE(REGEXREPLACE($I169, ""\,"", ""."")), """")"),"")</f>
        <v/>
      </c>
      <c r="N169" s="31" t="str">
        <f>IF(Account!$F169&lt;&gt;"", DATEVALUE(MID($A169,4,3) &amp; LEFT($A169,3) &amp; RIGHT($A169,4)) + TIMEVALUE($B169), "")</f>
        <v/>
      </c>
      <c r="O169" s="33" t="str">
        <f>IF(Account!$F169&lt;&gt;"", DATEVALUE(MID($A169,4,3) &amp; LEFT($A169,3) &amp; RIGHT($A169,4)), "")</f>
        <v/>
      </c>
      <c r="P169" s="34" t="str">
        <f>IFERROR(VLOOKUP($Q169,Selection!$F:$G,2,false))</f>
        <v/>
      </c>
      <c r="Q169" s="36" t="str">
        <f>IF(AND($X169="change",$H169="EUR"),IF(AND($Z169="Crédit",$N169=$N170),$Q170,IF(AND($Z169="Débit",$N169=$N168),$Q168)),IF(OR(AND(OR($E169&lt;&gt;"",$L169=""),$M169&lt;&gt;0),$A169=""),IFERROR(VLOOKUP($E169,Selection!$E:$F,2,false)),IFERROR(VLOOKUP(SUBSTITUTE($I169,"-","",1),$K170:$Q1119,7,false),VLOOKUP($K169,$K170:$Q1119,7,false))))</f>
        <v/>
      </c>
      <c r="R169" s="34" t="str">
        <f t="shared" si="2"/>
        <v/>
      </c>
      <c r="S169" s="37" t="str">
        <f t="shared" si="3"/>
        <v/>
      </c>
      <c r="T169" s="38" t="str">
        <f t="shared" si="4"/>
        <v/>
      </c>
      <c r="U169" s="28" t="str">
        <f t="shared" si="5"/>
        <v/>
      </c>
      <c r="V169" s="39" t="str">
        <f>IFERROR(__xludf.DUMMYFUNCTION(" IF(Account!$F169&lt;&gt;"""", SPLIT(Account!$F169, "" ""), """")"),"")</f>
        <v/>
      </c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>
      <c r="A170" s="7"/>
      <c r="B170" s="7"/>
      <c r="C170" s="7"/>
      <c r="D170" s="7"/>
      <c r="E170" s="7"/>
      <c r="F170" s="9"/>
      <c r="G170" s="7"/>
      <c r="H170" s="7"/>
      <c r="I170" s="7"/>
      <c r="J170" s="7"/>
      <c r="K170" s="7"/>
      <c r="L170" s="26" t="str">
        <f t="shared" si="1"/>
        <v/>
      </c>
      <c r="M170" s="28" t="str">
        <f>IFERROR(__xludf.DUMMYFUNCTION("IF(Account!$F170&lt;&gt;"""", VALUE(REGEXREPLACE($I170, ""\,"", ""."")), """")"),"")</f>
        <v/>
      </c>
      <c r="N170" s="31" t="str">
        <f>IF(Account!$F170&lt;&gt;"", DATEVALUE(MID($A170,4,3) &amp; LEFT($A170,3) &amp; RIGHT($A170,4)) + TIMEVALUE($B170), "")</f>
        <v/>
      </c>
      <c r="O170" s="33" t="str">
        <f>IF(Account!$F170&lt;&gt;"", DATEVALUE(MID($A170,4,3) &amp; LEFT($A170,3) &amp; RIGHT($A170,4)), "")</f>
        <v/>
      </c>
      <c r="P170" s="34" t="str">
        <f>IFERROR(VLOOKUP($Q170,Selection!$F:$G,2,false))</f>
        <v/>
      </c>
      <c r="Q170" s="36" t="str">
        <f>IF(AND($X170="change",$H170="EUR"),IF(AND($Z170="Crédit",$N170=$N171),$Q171,IF(AND($Z170="Débit",$N170=$N169),$Q169)),IF(OR(AND(OR($E170&lt;&gt;"",$L170=""),$M170&lt;&gt;0),$A170=""),IFERROR(VLOOKUP($E170,Selection!$E:$F,2,false)),IFERROR(VLOOKUP(SUBSTITUTE($I170,"-","",1),$K171:$Q1119,7,false),VLOOKUP($K170,$K171:$Q1119,7,false))))</f>
        <v/>
      </c>
      <c r="R170" s="34" t="str">
        <f t="shared" si="2"/>
        <v/>
      </c>
      <c r="S170" s="37" t="str">
        <f t="shared" si="3"/>
        <v/>
      </c>
      <c r="T170" s="38" t="str">
        <f t="shared" si="4"/>
        <v/>
      </c>
      <c r="U170" s="28" t="str">
        <f t="shared" si="5"/>
        <v/>
      </c>
      <c r="V170" s="39" t="str">
        <f>IFERROR(__xludf.DUMMYFUNCTION(" IF(Account!$F170&lt;&gt;"""", SPLIT(Account!$F170, "" ""), """")"),"")</f>
        <v/>
      </c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>
      <c r="A171" s="7"/>
      <c r="B171" s="7"/>
      <c r="C171" s="7"/>
      <c r="D171" s="7"/>
      <c r="E171" s="7"/>
      <c r="F171" s="9"/>
      <c r="G171" s="341"/>
      <c r="H171" s="7"/>
      <c r="I171" s="7"/>
      <c r="J171" s="7"/>
      <c r="K171" s="7"/>
      <c r="L171" s="26" t="str">
        <f t="shared" si="1"/>
        <v/>
      </c>
      <c r="M171" s="28" t="str">
        <f>IFERROR(__xludf.DUMMYFUNCTION("IF(Account!$F171&lt;&gt;"""", VALUE(REGEXREPLACE($I171, ""\,"", ""."")), """")"),"")</f>
        <v/>
      </c>
      <c r="N171" s="31" t="str">
        <f>IF(Account!$F171&lt;&gt;"", DATEVALUE(MID($A171,4,3) &amp; LEFT($A171,3) &amp; RIGHT($A171,4)) + TIMEVALUE($B171), "")</f>
        <v/>
      </c>
      <c r="O171" s="33" t="str">
        <f>IF(Account!$F171&lt;&gt;"", DATEVALUE(MID($A171,4,3) &amp; LEFT($A171,3) &amp; RIGHT($A171,4)), "")</f>
        <v/>
      </c>
      <c r="P171" s="34" t="str">
        <f>IFERROR(VLOOKUP($Q171,Selection!$F:$G,2,false))</f>
        <v/>
      </c>
      <c r="Q171" s="36" t="str">
        <f>IF(AND($X171="change",$H171="EUR"),IF(AND($Z171="Crédit",$N171=$N172),$Q172,IF(AND($Z171="Débit",$N171=$N170),$Q170)),IF(OR(AND(OR($E171&lt;&gt;"",$L171=""),$M171&lt;&gt;0),$A171=""),IFERROR(VLOOKUP($E171,Selection!$E:$F,2,false)),IFERROR(VLOOKUP(SUBSTITUTE($I171,"-","",1),$K172:$Q1119,7,false),VLOOKUP($K171,$K172:$Q1119,7,false))))</f>
        <v/>
      </c>
      <c r="R171" s="34" t="str">
        <f t="shared" si="2"/>
        <v/>
      </c>
      <c r="S171" s="37" t="str">
        <f t="shared" si="3"/>
        <v/>
      </c>
      <c r="T171" s="38" t="str">
        <f t="shared" si="4"/>
        <v/>
      </c>
      <c r="U171" s="28" t="str">
        <f t="shared" si="5"/>
        <v/>
      </c>
      <c r="V171" s="39" t="str">
        <f>IFERROR(__xludf.DUMMYFUNCTION(" IF(Account!$F171&lt;&gt;"""", SPLIT(Account!$F171, "" ""), """")"),"")</f>
        <v/>
      </c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>
      <c r="A172" s="7"/>
      <c r="B172" s="7"/>
      <c r="C172" s="7"/>
      <c r="D172" s="7"/>
      <c r="E172" s="7"/>
      <c r="F172" s="9"/>
      <c r="G172" s="7"/>
      <c r="H172" s="7"/>
      <c r="I172" s="7"/>
      <c r="J172" s="7"/>
      <c r="K172" s="7"/>
      <c r="L172" s="26" t="str">
        <f t="shared" si="1"/>
        <v/>
      </c>
      <c r="M172" s="28" t="str">
        <f>IFERROR(__xludf.DUMMYFUNCTION("IF(Account!$F172&lt;&gt;"""", VALUE(REGEXREPLACE($I172, ""\,"", ""."")), """")"),"")</f>
        <v/>
      </c>
      <c r="N172" s="31" t="str">
        <f>IF(Account!$F172&lt;&gt;"", DATEVALUE(MID($A172,4,3) &amp; LEFT($A172,3) &amp; RIGHT($A172,4)) + TIMEVALUE($B172), "")</f>
        <v/>
      </c>
      <c r="O172" s="33" t="str">
        <f>IF(Account!$F172&lt;&gt;"", DATEVALUE(MID($A172,4,3) &amp; LEFT($A172,3) &amp; RIGHT($A172,4)), "")</f>
        <v/>
      </c>
      <c r="P172" s="34" t="str">
        <f>IFERROR(VLOOKUP($Q172,Selection!$F:$G,2,false))</f>
        <v/>
      </c>
      <c r="Q172" s="36" t="str">
        <f>IF(AND($X172="change",$H172="EUR"),IF(AND($Z172="Crédit",$N172=$N173),$Q173,IF(AND($Z172="Débit",$N172=$N171),$Q171)),IF(OR(AND(OR($E172&lt;&gt;"",$L172=""),$M172&lt;&gt;0),$A172=""),IFERROR(VLOOKUP($E172,Selection!$E:$F,2,false)),IFERROR(VLOOKUP(SUBSTITUTE($I172,"-","",1),$K173:$Q1119,7,false),VLOOKUP($K172,$K173:$Q1119,7,false))))</f>
        <v/>
      </c>
      <c r="R172" s="34" t="str">
        <f t="shared" si="2"/>
        <v/>
      </c>
      <c r="S172" s="37" t="str">
        <f t="shared" si="3"/>
        <v/>
      </c>
      <c r="T172" s="38" t="str">
        <f t="shared" si="4"/>
        <v/>
      </c>
      <c r="U172" s="28" t="str">
        <f t="shared" si="5"/>
        <v/>
      </c>
      <c r="V172" s="39" t="str">
        <f>IFERROR(__xludf.DUMMYFUNCTION(" IF(Account!$F172&lt;&gt;"""", SPLIT(Account!$F172, "" ""), """")"),"")</f>
        <v/>
      </c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>
      <c r="A173" s="7"/>
      <c r="B173" s="7"/>
      <c r="C173" s="7"/>
      <c r="D173" s="7"/>
      <c r="E173" s="7"/>
      <c r="F173" s="9"/>
      <c r="G173" s="7"/>
      <c r="H173" s="7"/>
      <c r="I173" s="7"/>
      <c r="J173" s="7"/>
      <c r="K173" s="7"/>
      <c r="L173" s="26" t="str">
        <f t="shared" si="1"/>
        <v/>
      </c>
      <c r="M173" s="28" t="str">
        <f>IFERROR(__xludf.DUMMYFUNCTION("IF(Account!$F173&lt;&gt;"""", VALUE(REGEXREPLACE($I173, ""\,"", ""."")), """")"),"")</f>
        <v/>
      </c>
      <c r="N173" s="31" t="str">
        <f>IF(Account!$F173&lt;&gt;"", DATEVALUE(MID($A173,4,3) &amp; LEFT($A173,3) &amp; RIGHT($A173,4)) + TIMEVALUE($B173), "")</f>
        <v/>
      </c>
      <c r="O173" s="33" t="str">
        <f>IF(Account!$F173&lt;&gt;"", DATEVALUE(MID($A173,4,3) &amp; LEFT($A173,3) &amp; RIGHT($A173,4)), "")</f>
        <v/>
      </c>
      <c r="P173" s="34" t="str">
        <f>IFERROR(VLOOKUP($Q173,Selection!$F:$G,2,false))</f>
        <v/>
      </c>
      <c r="Q173" s="36" t="str">
        <f>IF(AND($X173="change",$H173="EUR"),IF(AND($Z173="Crédit",$N173=$N174),$Q174,IF(AND($Z173="Débit",$N173=$N172),$Q172)),IF(OR(AND(OR($E173&lt;&gt;"",$L173=""),$M173&lt;&gt;0),$A173=""),IFERROR(VLOOKUP($E173,Selection!$E:$F,2,false)),IFERROR(VLOOKUP(SUBSTITUTE($I173,"-","",1),$K174:$Q1119,7,false),VLOOKUP($K173,$K174:$Q1119,7,false))))</f>
        <v/>
      </c>
      <c r="R173" s="34" t="str">
        <f t="shared" si="2"/>
        <v/>
      </c>
      <c r="S173" s="37" t="str">
        <f t="shared" si="3"/>
        <v/>
      </c>
      <c r="T173" s="38" t="str">
        <f t="shared" si="4"/>
        <v/>
      </c>
      <c r="U173" s="28" t="str">
        <f t="shared" si="5"/>
        <v/>
      </c>
      <c r="V173" s="39" t="str">
        <f>IFERROR(__xludf.DUMMYFUNCTION(" IF(Account!$F173&lt;&gt;"""", SPLIT(Account!$F173, "" ""), """")"),"")</f>
        <v/>
      </c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</row>
    <row r="174">
      <c r="A174" s="7"/>
      <c r="B174" s="7"/>
      <c r="C174" s="7"/>
      <c r="D174" s="7"/>
      <c r="E174" s="7"/>
      <c r="F174" s="9"/>
      <c r="G174" s="7"/>
      <c r="H174" s="7"/>
      <c r="I174" s="7"/>
      <c r="J174" s="7"/>
      <c r="K174" s="7"/>
      <c r="L174" s="26" t="str">
        <f t="shared" si="1"/>
        <v/>
      </c>
      <c r="M174" s="28" t="str">
        <f>IFERROR(__xludf.DUMMYFUNCTION("IF(Account!$F174&lt;&gt;"""", VALUE(REGEXREPLACE($I174, ""\,"", ""."")), """")"),"")</f>
        <v/>
      </c>
      <c r="N174" s="31" t="str">
        <f>IF(Account!$F174&lt;&gt;"", DATEVALUE(MID($A174,4,3) &amp; LEFT($A174,3) &amp; RIGHT($A174,4)) + TIMEVALUE($B174), "")</f>
        <v/>
      </c>
      <c r="O174" s="33" t="str">
        <f>IF(Account!$F174&lt;&gt;"", DATEVALUE(MID($A174,4,3) &amp; LEFT($A174,3) &amp; RIGHT($A174,4)), "")</f>
        <v/>
      </c>
      <c r="P174" s="34" t="str">
        <f>IFERROR(VLOOKUP($Q174,Selection!$F:$G,2,false))</f>
        <v/>
      </c>
      <c r="Q174" s="36" t="str">
        <f>IF(AND($X174="change",$H174="EUR"),IF(AND($Z174="Crédit",$N174=$N175),$Q175,IF(AND($Z174="Débit",$N174=$N173),$Q173)),IF(OR(AND(OR($E174&lt;&gt;"",$L174=""),$M174&lt;&gt;0),$A174=""),IFERROR(VLOOKUP($E174,Selection!$E:$F,2,false)),IFERROR(VLOOKUP(SUBSTITUTE($I174,"-","",1),$K175:$Q1119,7,false),VLOOKUP($K174,$K175:$Q1119,7,false))))</f>
        <v/>
      </c>
      <c r="R174" s="34" t="str">
        <f t="shared" si="2"/>
        <v/>
      </c>
      <c r="S174" s="37" t="str">
        <f t="shared" si="3"/>
        <v/>
      </c>
      <c r="T174" s="38" t="str">
        <f t="shared" si="4"/>
        <v/>
      </c>
      <c r="U174" s="28" t="str">
        <f t="shared" si="5"/>
        <v/>
      </c>
      <c r="V174" s="39" t="str">
        <f>IFERROR(__xludf.DUMMYFUNCTION(" IF(Account!$F174&lt;&gt;"""", SPLIT(Account!$F174, "" ""), """")"),"")</f>
        <v/>
      </c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</row>
    <row r="175">
      <c r="A175" s="7"/>
      <c r="B175" s="7"/>
      <c r="C175" s="7"/>
      <c r="D175" s="7"/>
      <c r="E175" s="7"/>
      <c r="F175" s="9"/>
      <c r="G175" s="7"/>
      <c r="H175" s="7"/>
      <c r="I175" s="7"/>
      <c r="J175" s="7"/>
      <c r="K175" s="7"/>
      <c r="L175" s="26" t="str">
        <f t="shared" si="1"/>
        <v/>
      </c>
      <c r="M175" s="28" t="str">
        <f>IFERROR(__xludf.DUMMYFUNCTION("IF(Account!$F175&lt;&gt;"""", VALUE(REGEXREPLACE($I175, ""\,"", ""."")), """")"),"")</f>
        <v/>
      </c>
      <c r="N175" s="31" t="str">
        <f>IF(Account!$F175&lt;&gt;"", DATEVALUE(MID($A175,4,3) &amp; LEFT($A175,3) &amp; RIGHT($A175,4)) + TIMEVALUE($B175), "")</f>
        <v/>
      </c>
      <c r="O175" s="33" t="str">
        <f>IF(Account!$F175&lt;&gt;"", DATEVALUE(MID($A175,4,3) &amp; LEFT($A175,3) &amp; RIGHT($A175,4)), "")</f>
        <v/>
      </c>
      <c r="P175" s="34" t="str">
        <f>IFERROR(VLOOKUP($Q175,Selection!$F:$G,2,false))</f>
        <v/>
      </c>
      <c r="Q175" s="36" t="str">
        <f>IF(AND($X175="change",$H175="EUR"),IF(AND($Z175="Crédit",$N175=$N176),$Q176,IF(AND($Z175="Débit",$N175=$N174),$Q174)),IF(OR(AND(OR($E175&lt;&gt;"",$L175=""),$M175&lt;&gt;0),$A175=""),IFERROR(VLOOKUP($E175,Selection!$E:$F,2,false)),IFERROR(VLOOKUP(SUBSTITUTE($I175,"-","",1),$K176:$Q1119,7,false),VLOOKUP($K175,$K176:$Q1119,7,false))))</f>
        <v/>
      </c>
      <c r="R175" s="34" t="str">
        <f t="shared" si="2"/>
        <v/>
      </c>
      <c r="S175" s="37" t="str">
        <f t="shared" si="3"/>
        <v/>
      </c>
      <c r="T175" s="38" t="str">
        <f t="shared" si="4"/>
        <v/>
      </c>
      <c r="U175" s="28" t="str">
        <f t="shared" si="5"/>
        <v/>
      </c>
      <c r="V175" s="39" t="str">
        <f>IFERROR(__xludf.DUMMYFUNCTION(" IF(Account!$F175&lt;&gt;"""", SPLIT(Account!$F175, "" ""), """")"),"")</f>
        <v/>
      </c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</row>
    <row r="176">
      <c r="A176" s="7"/>
      <c r="B176" s="7"/>
      <c r="C176" s="7"/>
      <c r="D176" s="7"/>
      <c r="E176" s="7"/>
      <c r="F176" s="9"/>
      <c r="G176" s="7"/>
      <c r="H176" s="7"/>
      <c r="I176" s="7"/>
      <c r="J176" s="7"/>
      <c r="K176" s="7"/>
      <c r="L176" s="26" t="str">
        <f t="shared" si="1"/>
        <v/>
      </c>
      <c r="M176" s="28" t="str">
        <f>IFERROR(__xludf.DUMMYFUNCTION("IF(Account!$F176&lt;&gt;"""", VALUE(REGEXREPLACE($I176, ""\,"", ""."")), """")"),"")</f>
        <v/>
      </c>
      <c r="N176" s="31" t="str">
        <f>IF(Account!$F176&lt;&gt;"", DATEVALUE(MID($A176,4,3) &amp; LEFT($A176,3) &amp; RIGHT($A176,4)) + TIMEVALUE($B176), "")</f>
        <v/>
      </c>
      <c r="O176" s="33" t="str">
        <f>IF(Account!$F176&lt;&gt;"", DATEVALUE(MID($A176,4,3) &amp; LEFT($A176,3) &amp; RIGHT($A176,4)), "")</f>
        <v/>
      </c>
      <c r="P176" s="34" t="str">
        <f>IFERROR(VLOOKUP($Q176,Selection!$F:$G,2,false))</f>
        <v/>
      </c>
      <c r="Q176" s="36" t="str">
        <f>IF(AND($X176="change",$H176="EUR"),IF(AND($Z176="Crédit",$N176=$N177),$Q177,IF(AND($Z176="Débit",$N176=$N175),$Q175)),IF(OR(AND(OR($E176&lt;&gt;"",$L176=""),$M176&lt;&gt;0),$A176=""),IFERROR(VLOOKUP($E176,Selection!$E:$F,2,false)),IFERROR(VLOOKUP(SUBSTITUTE($I176,"-","",1),$K177:$Q1119,7,false),VLOOKUP($K176,$K177:$Q1119,7,false))))</f>
        <v/>
      </c>
      <c r="R176" s="34" t="str">
        <f t="shared" si="2"/>
        <v/>
      </c>
      <c r="S176" s="37" t="str">
        <f t="shared" si="3"/>
        <v/>
      </c>
      <c r="T176" s="38" t="str">
        <f t="shared" si="4"/>
        <v/>
      </c>
      <c r="U176" s="28" t="str">
        <f t="shared" si="5"/>
        <v/>
      </c>
      <c r="V176" s="39" t="str">
        <f>IFERROR(__xludf.DUMMYFUNCTION(" IF(Account!$F176&lt;&gt;"""", SPLIT(Account!$F176, "" ""), """")"),"")</f>
        <v/>
      </c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>
      <c r="A177" s="7"/>
      <c r="B177" s="7"/>
      <c r="C177" s="7"/>
      <c r="D177" s="7"/>
      <c r="E177" s="7"/>
      <c r="F177" s="9"/>
      <c r="G177" s="341"/>
      <c r="H177" s="7"/>
      <c r="I177" s="7"/>
      <c r="J177" s="7"/>
      <c r="K177" s="7"/>
      <c r="L177" s="26" t="str">
        <f t="shared" si="1"/>
        <v/>
      </c>
      <c r="M177" s="28" t="str">
        <f>IFERROR(__xludf.DUMMYFUNCTION("IF(Account!$F177&lt;&gt;"""", VALUE(REGEXREPLACE($I177, ""\,"", ""."")), """")"),"")</f>
        <v/>
      </c>
      <c r="N177" s="31" t="str">
        <f>IF(Account!$F177&lt;&gt;"", DATEVALUE(MID($A177,4,3) &amp; LEFT($A177,3) &amp; RIGHT($A177,4)) + TIMEVALUE($B177), "")</f>
        <v/>
      </c>
      <c r="O177" s="33" t="str">
        <f>IF(Account!$F177&lt;&gt;"", DATEVALUE(MID($A177,4,3) &amp; LEFT($A177,3) &amp; RIGHT($A177,4)), "")</f>
        <v/>
      </c>
      <c r="P177" s="34" t="str">
        <f>IFERROR(VLOOKUP($Q177,Selection!$F:$G,2,false))</f>
        <v/>
      </c>
      <c r="Q177" s="36" t="str">
        <f>IF(AND($X177="change",$H177="EUR"),IF(AND($Z177="Crédit",$N177=$N178),$Q178,IF(AND($Z177="Débit",$N177=$N176),$Q176)),IF(OR(AND(OR($E177&lt;&gt;"",$L177=""),$M177&lt;&gt;0),$A177=""),IFERROR(VLOOKUP($E177,Selection!$E:$F,2,false)),IFERROR(VLOOKUP(SUBSTITUTE($I177,"-","",1),$K178:$Q1119,7,false),VLOOKUP($K177,$K178:$Q1119,7,false))))</f>
        <v/>
      </c>
      <c r="R177" s="34" t="str">
        <f t="shared" si="2"/>
        <v/>
      </c>
      <c r="S177" s="37" t="str">
        <f t="shared" si="3"/>
        <v/>
      </c>
      <c r="T177" s="38" t="str">
        <f t="shared" si="4"/>
        <v/>
      </c>
      <c r="U177" s="28" t="str">
        <f t="shared" si="5"/>
        <v/>
      </c>
      <c r="V177" s="39" t="str">
        <f>IFERROR(__xludf.DUMMYFUNCTION(" IF(Account!$F177&lt;&gt;"""", SPLIT(Account!$F177, "" ""), """")"),"")</f>
        <v/>
      </c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>
      <c r="A178" s="7"/>
      <c r="B178" s="7"/>
      <c r="C178" s="7"/>
      <c r="D178" s="7"/>
      <c r="E178" s="7"/>
      <c r="F178" s="9"/>
      <c r="G178" s="7"/>
      <c r="H178" s="7"/>
      <c r="I178" s="7"/>
      <c r="J178" s="7"/>
      <c r="K178" s="7"/>
      <c r="L178" s="26" t="str">
        <f t="shared" si="1"/>
        <v/>
      </c>
      <c r="M178" s="28" t="str">
        <f>IFERROR(__xludf.DUMMYFUNCTION("IF(Account!$F178&lt;&gt;"""", VALUE(REGEXREPLACE($I178, ""\,"", ""."")), """")"),"")</f>
        <v/>
      </c>
      <c r="N178" s="31" t="str">
        <f>IF(Account!$F178&lt;&gt;"", DATEVALUE(MID($A178,4,3) &amp; LEFT($A178,3) &amp; RIGHT($A178,4)) + TIMEVALUE($B178), "")</f>
        <v/>
      </c>
      <c r="O178" s="33" t="str">
        <f>IF(Account!$F178&lt;&gt;"", DATEVALUE(MID($A178,4,3) &amp; LEFT($A178,3) &amp; RIGHT($A178,4)), "")</f>
        <v/>
      </c>
      <c r="P178" s="34" t="str">
        <f>IFERROR(VLOOKUP($Q178,Selection!$F:$G,2,false))</f>
        <v/>
      </c>
      <c r="Q178" s="36" t="str">
        <f>IF(AND($X178="change",$H178="EUR"),IF(AND($Z178="Crédit",$N178=$N179),$Q179,IF(AND($Z178="Débit",$N178=$N177),$Q177)),IF(OR(AND(OR($E178&lt;&gt;"",$L178=""),$M178&lt;&gt;0),$A178=""),IFERROR(VLOOKUP($E178,Selection!$E:$F,2,false)),IFERROR(VLOOKUP(SUBSTITUTE($I178,"-","",1),$K179:$Q1119,7,false),VLOOKUP($K178,$K179:$Q1119,7,false))))</f>
        <v/>
      </c>
      <c r="R178" s="34" t="str">
        <f t="shared" si="2"/>
        <v/>
      </c>
      <c r="S178" s="37" t="str">
        <f t="shared" si="3"/>
        <v/>
      </c>
      <c r="T178" s="38" t="str">
        <f t="shared" si="4"/>
        <v/>
      </c>
      <c r="U178" s="28" t="str">
        <f t="shared" si="5"/>
        <v/>
      </c>
      <c r="V178" s="39" t="str">
        <f>IFERROR(__xludf.DUMMYFUNCTION(" IF(Account!$F178&lt;&gt;"""", SPLIT(Account!$F178, "" ""), """")"),"")</f>
        <v/>
      </c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>
      <c r="A179" s="7"/>
      <c r="B179" s="7"/>
      <c r="C179" s="7"/>
      <c r="D179" s="7"/>
      <c r="E179" s="7"/>
      <c r="F179" s="9"/>
      <c r="G179" s="7"/>
      <c r="H179" s="7"/>
      <c r="I179" s="7"/>
      <c r="J179" s="7"/>
      <c r="K179" s="7"/>
      <c r="L179" s="26" t="str">
        <f t="shared" si="1"/>
        <v/>
      </c>
      <c r="M179" s="28" t="str">
        <f>IFERROR(__xludf.DUMMYFUNCTION("IF(Account!$F179&lt;&gt;"""", VALUE(REGEXREPLACE($I179, ""\,"", ""."")), """")"),"")</f>
        <v/>
      </c>
      <c r="N179" s="31" t="str">
        <f>IF(Account!$F179&lt;&gt;"", DATEVALUE(MID($A179,4,3) &amp; LEFT($A179,3) &amp; RIGHT($A179,4)) + TIMEVALUE($B179), "")</f>
        <v/>
      </c>
      <c r="O179" s="33" t="str">
        <f>IF(Account!$F179&lt;&gt;"", DATEVALUE(MID($A179,4,3) &amp; LEFT($A179,3) &amp; RIGHT($A179,4)), "")</f>
        <v/>
      </c>
      <c r="P179" s="34" t="str">
        <f>IFERROR(VLOOKUP($Q179,Selection!$F:$G,2,false))</f>
        <v/>
      </c>
      <c r="Q179" s="36" t="str">
        <f>IF(AND($X179="change",$H179="EUR"),IF(AND($Z179="Crédit",$N179=$N180),$Q180,IF(AND($Z179="Débit",$N179=$N178),$Q178)),IF(OR(AND(OR($E179&lt;&gt;"",$L179=""),$M179&lt;&gt;0),$A179=""),IFERROR(VLOOKUP($E179,Selection!$E:$F,2,false)),IFERROR(VLOOKUP(SUBSTITUTE($I179,"-","",1),$K180:$Q1119,7,false),VLOOKUP($K179,$K180:$Q1119,7,false))))</f>
        <v/>
      </c>
      <c r="R179" s="34" t="str">
        <f t="shared" si="2"/>
        <v/>
      </c>
      <c r="S179" s="37" t="str">
        <f t="shared" si="3"/>
        <v/>
      </c>
      <c r="T179" s="38" t="str">
        <f t="shared" si="4"/>
        <v/>
      </c>
      <c r="U179" s="28" t="str">
        <f t="shared" si="5"/>
        <v/>
      </c>
      <c r="V179" s="39" t="str">
        <f>IFERROR(__xludf.DUMMYFUNCTION(" IF(Account!$F179&lt;&gt;"""", SPLIT(Account!$F179, "" ""), """")"),"")</f>
        <v/>
      </c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>
      <c r="A180" s="7"/>
      <c r="B180" s="7"/>
      <c r="C180" s="7"/>
      <c r="D180" s="7"/>
      <c r="E180" s="7"/>
      <c r="F180" s="9"/>
      <c r="G180" s="7"/>
      <c r="H180" s="7"/>
      <c r="I180" s="7"/>
      <c r="J180" s="7"/>
      <c r="K180" s="7"/>
      <c r="L180" s="26" t="str">
        <f t="shared" si="1"/>
        <v/>
      </c>
      <c r="M180" s="28" t="str">
        <f>IFERROR(__xludf.DUMMYFUNCTION("IF(Account!$F180&lt;&gt;"""", VALUE(REGEXREPLACE($I180, ""\,"", ""."")), """")"),"")</f>
        <v/>
      </c>
      <c r="N180" s="31" t="str">
        <f>IF(Account!$F180&lt;&gt;"", DATEVALUE(MID($A180,4,3) &amp; LEFT($A180,3) &amp; RIGHT($A180,4)) + TIMEVALUE($B180), "")</f>
        <v/>
      </c>
      <c r="O180" s="33" t="str">
        <f>IF(Account!$F180&lt;&gt;"", DATEVALUE(MID($A180,4,3) &amp; LEFT($A180,3) &amp; RIGHT($A180,4)), "")</f>
        <v/>
      </c>
      <c r="P180" s="34" t="str">
        <f>IFERROR(VLOOKUP($Q180,Selection!$F:$G,2,false))</f>
        <v/>
      </c>
      <c r="Q180" s="36" t="str">
        <f>IF(AND($X180="change",$H180="EUR"),IF(AND($Z180="Crédit",$N180=$N181),$Q181,IF(AND($Z180="Débit",$N180=$N179),$Q179)),IF(OR(AND(OR($E180&lt;&gt;"",$L180=""),$M180&lt;&gt;0),$A180=""),IFERROR(VLOOKUP($E180,Selection!$E:$F,2,false)),IFERROR(VLOOKUP(SUBSTITUTE($I180,"-","",1),$K181:$Q1119,7,false),VLOOKUP($K180,$K181:$Q1119,7,false))))</f>
        <v/>
      </c>
      <c r="R180" s="34" t="str">
        <f t="shared" si="2"/>
        <v/>
      </c>
      <c r="S180" s="37" t="str">
        <f t="shared" si="3"/>
        <v/>
      </c>
      <c r="T180" s="38" t="str">
        <f t="shared" si="4"/>
        <v/>
      </c>
      <c r="U180" s="28" t="str">
        <f t="shared" si="5"/>
        <v/>
      </c>
      <c r="V180" s="39" t="str">
        <f>IFERROR(__xludf.DUMMYFUNCTION(" IF(Account!$F180&lt;&gt;"""", SPLIT(Account!$F180, "" ""), """")"),"")</f>
        <v/>
      </c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>
      <c r="A181" s="7"/>
      <c r="B181" s="7"/>
      <c r="C181" s="7"/>
      <c r="D181" s="7"/>
      <c r="E181" s="7"/>
      <c r="F181" s="9"/>
      <c r="G181" s="7"/>
      <c r="H181" s="7"/>
      <c r="I181" s="7"/>
      <c r="J181" s="7"/>
      <c r="K181" s="7"/>
      <c r="L181" s="26" t="str">
        <f t="shared" si="1"/>
        <v/>
      </c>
      <c r="M181" s="28" t="str">
        <f>IFERROR(__xludf.DUMMYFUNCTION("IF(Account!$F181&lt;&gt;"""", VALUE(REGEXREPLACE($I181, ""\,"", ""."")), """")"),"")</f>
        <v/>
      </c>
      <c r="N181" s="31" t="str">
        <f>IF(Account!$F181&lt;&gt;"", DATEVALUE(MID($A181,4,3) &amp; LEFT($A181,3) &amp; RIGHT($A181,4)) + TIMEVALUE($B181), "")</f>
        <v/>
      </c>
      <c r="O181" s="33" t="str">
        <f>IF(Account!$F181&lt;&gt;"", DATEVALUE(MID($A181,4,3) &amp; LEFT($A181,3) &amp; RIGHT($A181,4)), "")</f>
        <v/>
      </c>
      <c r="P181" s="34" t="str">
        <f>IFERROR(VLOOKUP($Q181,Selection!$F:$G,2,false))</f>
        <v/>
      </c>
      <c r="Q181" s="36" t="str">
        <f>IF(AND($X181="change",$H181="EUR"),IF(AND($Z181="Crédit",$N181=$N182),$Q182,IF(AND($Z181="Débit",$N181=$N180),$Q180)),IF(OR(AND(OR($E181&lt;&gt;"",$L181=""),$M181&lt;&gt;0),$A181=""),IFERROR(VLOOKUP($E181,Selection!$E:$F,2,false)),IFERROR(VLOOKUP(SUBSTITUTE($I181,"-","",1),$K182:$Q1119,7,false),VLOOKUP($K181,$K182:$Q1119,7,false))))</f>
        <v/>
      </c>
      <c r="R181" s="34" t="str">
        <f t="shared" si="2"/>
        <v/>
      </c>
      <c r="S181" s="37" t="str">
        <f t="shared" si="3"/>
        <v/>
      </c>
      <c r="T181" s="38" t="str">
        <f t="shared" si="4"/>
        <v/>
      </c>
      <c r="U181" s="28" t="str">
        <f t="shared" si="5"/>
        <v/>
      </c>
      <c r="V181" s="39" t="str">
        <f>IFERROR(__xludf.DUMMYFUNCTION(" IF(Account!$F181&lt;&gt;"""", SPLIT(Account!$F181, "" ""), """")"),"")</f>
        <v/>
      </c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>
      <c r="A182" s="7"/>
      <c r="B182" s="7"/>
      <c r="C182" s="7"/>
      <c r="D182" s="7"/>
      <c r="E182" s="7"/>
      <c r="F182" s="9"/>
      <c r="G182" s="7"/>
      <c r="H182" s="7"/>
      <c r="I182" s="7"/>
      <c r="J182" s="7"/>
      <c r="K182" s="7"/>
      <c r="L182" s="26" t="str">
        <f t="shared" si="1"/>
        <v/>
      </c>
      <c r="M182" s="28" t="str">
        <f>IFERROR(__xludf.DUMMYFUNCTION("IF(Account!$F182&lt;&gt;"""", VALUE(REGEXREPLACE($I182, ""\,"", ""."")), """")"),"")</f>
        <v/>
      </c>
      <c r="N182" s="31" t="str">
        <f>IF(Account!$F182&lt;&gt;"", DATEVALUE(MID($A182,4,3) &amp; LEFT($A182,3) &amp; RIGHT($A182,4)) + TIMEVALUE($B182), "")</f>
        <v/>
      </c>
      <c r="O182" s="33" t="str">
        <f>IF(Account!$F182&lt;&gt;"", DATEVALUE(MID($A182,4,3) &amp; LEFT($A182,3) &amp; RIGHT($A182,4)), "")</f>
        <v/>
      </c>
      <c r="P182" s="34" t="str">
        <f>IFERROR(VLOOKUP($Q182,Selection!$F:$G,2,false))</f>
        <v/>
      </c>
      <c r="Q182" s="36" t="str">
        <f>IF(AND($X182="change",$H182="EUR"),IF(AND($Z182="Crédit",$N182=$N183),$Q183,IF(AND($Z182="Débit",$N182=$N181),$Q181)),IF(OR(AND(OR($E182&lt;&gt;"",$L182=""),$M182&lt;&gt;0),$A182=""),IFERROR(VLOOKUP($E182,Selection!$E:$F,2,false)),IFERROR(VLOOKUP(SUBSTITUTE($I182,"-","",1),$K183:$Q1119,7,false),VLOOKUP($K182,$K183:$Q1119,7,false))))</f>
        <v/>
      </c>
      <c r="R182" s="34" t="str">
        <f t="shared" si="2"/>
        <v/>
      </c>
      <c r="S182" s="37" t="str">
        <f t="shared" si="3"/>
        <v/>
      </c>
      <c r="T182" s="38" t="str">
        <f t="shared" si="4"/>
        <v/>
      </c>
      <c r="U182" s="28" t="str">
        <f t="shared" si="5"/>
        <v/>
      </c>
      <c r="V182" s="39" t="str">
        <f>IFERROR(__xludf.DUMMYFUNCTION(" IF(Account!$F182&lt;&gt;"""", SPLIT(Account!$F182, "" ""), """")"),"")</f>
        <v/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</row>
    <row r="183">
      <c r="A183" s="7"/>
      <c r="B183" s="7"/>
      <c r="C183" s="7"/>
      <c r="D183" s="7"/>
      <c r="E183" s="7"/>
      <c r="F183" s="9"/>
      <c r="G183" s="7"/>
      <c r="H183" s="7"/>
      <c r="I183" s="7"/>
      <c r="J183" s="7"/>
      <c r="K183" s="7"/>
      <c r="L183" s="26" t="str">
        <f t="shared" si="1"/>
        <v/>
      </c>
      <c r="M183" s="28" t="str">
        <f>IFERROR(__xludf.DUMMYFUNCTION("IF(Account!$F183&lt;&gt;"""", VALUE(REGEXREPLACE($I183, ""\,"", ""."")), """")"),"")</f>
        <v/>
      </c>
      <c r="N183" s="31" t="str">
        <f>IF(Account!$F183&lt;&gt;"", DATEVALUE(MID($A183,4,3) &amp; LEFT($A183,3) &amp; RIGHT($A183,4)) + TIMEVALUE($B183), "")</f>
        <v/>
      </c>
      <c r="O183" s="33" t="str">
        <f>IF(Account!$F183&lt;&gt;"", DATEVALUE(MID($A183,4,3) &amp; LEFT($A183,3) &amp; RIGHT($A183,4)), "")</f>
        <v/>
      </c>
      <c r="P183" s="34" t="str">
        <f>IFERROR(VLOOKUP($Q183,Selection!$F:$G,2,false))</f>
        <v/>
      </c>
      <c r="Q183" s="36" t="str">
        <f>IF(AND($X183="change",$H183="EUR"),IF(AND($Z183="Crédit",$N183=$N184),$Q184,IF(AND($Z183="Débit",$N183=$N182),$Q182)),IF(OR(AND(OR($E183&lt;&gt;"",$L183=""),$M183&lt;&gt;0),$A183=""),IFERROR(VLOOKUP($E183,Selection!$E:$F,2,false)),IFERROR(VLOOKUP(SUBSTITUTE($I183,"-","",1),$K184:$Q1119,7,false),VLOOKUP($K183,$K184:$Q1119,7,false))))</f>
        <v/>
      </c>
      <c r="R183" s="34" t="str">
        <f t="shared" si="2"/>
        <v/>
      </c>
      <c r="S183" s="37" t="str">
        <f t="shared" si="3"/>
        <v/>
      </c>
      <c r="T183" s="38" t="str">
        <f t="shared" si="4"/>
        <v/>
      </c>
      <c r="U183" s="28" t="str">
        <f t="shared" si="5"/>
        <v/>
      </c>
      <c r="V183" s="39" t="str">
        <f>IFERROR(__xludf.DUMMYFUNCTION(" IF(Account!$F183&lt;&gt;"""", SPLIT(Account!$F183, "" ""), """")"),"")</f>
        <v/>
      </c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</row>
    <row r="184">
      <c r="A184" s="7"/>
      <c r="B184" s="7"/>
      <c r="C184" s="7"/>
      <c r="D184" s="7"/>
      <c r="E184" s="7"/>
      <c r="F184" s="9"/>
      <c r="G184" s="7"/>
      <c r="H184" s="7"/>
      <c r="I184" s="7"/>
      <c r="J184" s="7"/>
      <c r="K184" s="7"/>
      <c r="L184" s="26" t="str">
        <f t="shared" si="1"/>
        <v/>
      </c>
      <c r="M184" s="28" t="str">
        <f>IFERROR(__xludf.DUMMYFUNCTION("IF(Account!$F184&lt;&gt;"""", VALUE(REGEXREPLACE($I184, ""\,"", ""."")), """")"),"")</f>
        <v/>
      </c>
      <c r="N184" s="31" t="str">
        <f>IF(Account!$F184&lt;&gt;"", DATEVALUE(MID($A184,4,3) &amp; LEFT($A184,3) &amp; RIGHT($A184,4)) + TIMEVALUE($B184), "")</f>
        <v/>
      </c>
      <c r="O184" s="33" t="str">
        <f>IF(Account!$F184&lt;&gt;"", DATEVALUE(MID($A184,4,3) &amp; LEFT($A184,3) &amp; RIGHT($A184,4)), "")</f>
        <v/>
      </c>
      <c r="P184" s="34" t="str">
        <f>IFERROR(VLOOKUP($Q184,Selection!$F:$G,2,false))</f>
        <v/>
      </c>
      <c r="Q184" s="36" t="str">
        <f>IF(AND($X184="change",$H184="EUR"),IF(AND($Z184="Crédit",$N184=$N185),$Q185,IF(AND($Z184="Débit",$N184=$N183),$Q183)),IF(OR(AND(OR($E184&lt;&gt;"",$L184=""),$M184&lt;&gt;0),$A184=""),IFERROR(VLOOKUP($E184,Selection!$E:$F,2,false)),IFERROR(VLOOKUP(SUBSTITUTE($I184,"-","",1),$K185:$Q1119,7,false),VLOOKUP($K184,$K185:$Q1119,7,false))))</f>
        <v/>
      </c>
      <c r="R184" s="34" t="str">
        <f t="shared" si="2"/>
        <v/>
      </c>
      <c r="S184" s="37" t="str">
        <f t="shared" si="3"/>
        <v/>
      </c>
      <c r="T184" s="38" t="str">
        <f t="shared" si="4"/>
        <v/>
      </c>
      <c r="U184" s="28" t="str">
        <f t="shared" si="5"/>
        <v/>
      </c>
      <c r="V184" s="39" t="str">
        <f>IFERROR(__xludf.DUMMYFUNCTION(" IF(Account!$F184&lt;&gt;"""", SPLIT(Account!$F184, "" ""), """")"),"")</f>
        <v/>
      </c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</row>
    <row r="185">
      <c r="A185" s="7"/>
      <c r="B185" s="7"/>
      <c r="C185" s="7"/>
      <c r="D185" s="7"/>
      <c r="E185" s="7"/>
      <c r="F185" s="9"/>
      <c r="G185" s="7"/>
      <c r="H185" s="7"/>
      <c r="I185" s="7"/>
      <c r="J185" s="7"/>
      <c r="K185" s="7"/>
      <c r="L185" s="26" t="str">
        <f t="shared" si="1"/>
        <v/>
      </c>
      <c r="M185" s="28" t="str">
        <f>IFERROR(__xludf.DUMMYFUNCTION("IF(Account!$F185&lt;&gt;"""", VALUE(REGEXREPLACE($I185, ""\,"", ""."")), """")"),"")</f>
        <v/>
      </c>
      <c r="N185" s="31" t="str">
        <f>IF(Account!$F185&lt;&gt;"", DATEVALUE(MID($A185,4,3) &amp; LEFT($A185,3) &amp; RIGHT($A185,4)) + TIMEVALUE($B185), "")</f>
        <v/>
      </c>
      <c r="O185" s="33" t="str">
        <f>IF(Account!$F185&lt;&gt;"", DATEVALUE(MID($A185,4,3) &amp; LEFT($A185,3) &amp; RIGHT($A185,4)), "")</f>
        <v/>
      </c>
      <c r="P185" s="34" t="str">
        <f>IFERROR(VLOOKUP($Q185,Selection!$F:$G,2,false))</f>
        <v/>
      </c>
      <c r="Q185" s="36" t="str">
        <f>IF(AND($X185="change",$H185="EUR"),IF(AND($Z185="Crédit",$N185=$N186),$Q186,IF(AND($Z185="Débit",$N185=$N184),$Q184)),IF(OR(AND(OR($E185&lt;&gt;"",$L185=""),$M185&lt;&gt;0),$A185=""),IFERROR(VLOOKUP($E185,Selection!$E:$F,2,false)),IFERROR(VLOOKUP(SUBSTITUTE($I185,"-","",1),$K186:$Q1119,7,false),VLOOKUP($K185,$K186:$Q1119,7,false))))</f>
        <v/>
      </c>
      <c r="R185" s="34" t="str">
        <f t="shared" si="2"/>
        <v/>
      </c>
      <c r="S185" s="37" t="str">
        <f t="shared" si="3"/>
        <v/>
      </c>
      <c r="T185" s="38" t="str">
        <f t="shared" si="4"/>
        <v/>
      </c>
      <c r="U185" s="28" t="str">
        <f t="shared" si="5"/>
        <v/>
      </c>
      <c r="V185" s="39" t="str">
        <f>IFERROR(__xludf.DUMMYFUNCTION(" IF(Account!$F185&lt;&gt;"""", SPLIT(Account!$F185, "" ""), """")"),"")</f>
        <v/>
      </c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>
      <c r="A186" s="7"/>
      <c r="B186" s="7"/>
      <c r="C186" s="7"/>
      <c r="D186" s="7"/>
      <c r="E186" s="7"/>
      <c r="F186" s="9"/>
      <c r="G186" s="7"/>
      <c r="H186" s="7"/>
      <c r="I186" s="7"/>
      <c r="J186" s="7"/>
      <c r="K186" s="7"/>
      <c r="L186" s="26" t="str">
        <f t="shared" si="1"/>
        <v/>
      </c>
      <c r="M186" s="28" t="str">
        <f>IFERROR(__xludf.DUMMYFUNCTION("IF(Account!$F186&lt;&gt;"""", VALUE(REGEXREPLACE($I186, ""\,"", ""."")), """")"),"")</f>
        <v/>
      </c>
      <c r="N186" s="31" t="str">
        <f>IF(Account!$F186&lt;&gt;"", DATEVALUE(MID($A186,4,3) &amp; LEFT($A186,3) &amp; RIGHT($A186,4)) + TIMEVALUE($B186), "")</f>
        <v/>
      </c>
      <c r="O186" s="33" t="str">
        <f>IF(Account!$F186&lt;&gt;"", DATEVALUE(MID($A186,4,3) &amp; LEFT($A186,3) &amp; RIGHT($A186,4)), "")</f>
        <v/>
      </c>
      <c r="P186" s="34" t="str">
        <f>IFERROR(VLOOKUP($Q186,Selection!$F:$G,2,false))</f>
        <v/>
      </c>
      <c r="Q186" s="36" t="str">
        <f>IF(AND($X186="change",$H186="EUR"),IF(AND($Z186="Crédit",$N186=$N187),$Q187,IF(AND($Z186="Débit",$N186=$N185),$Q185)),IF(OR(AND(OR($E186&lt;&gt;"",$L186=""),$M186&lt;&gt;0),$A186=""),IFERROR(VLOOKUP($E186,Selection!$E:$F,2,false)),IFERROR(VLOOKUP(SUBSTITUTE($I186,"-","",1),$K187:$Q1119,7,false),VLOOKUP($K186,$K187:$Q1119,7,false))))</f>
        <v/>
      </c>
      <c r="R186" s="34" t="str">
        <f t="shared" si="2"/>
        <v/>
      </c>
      <c r="S186" s="37" t="str">
        <f t="shared" si="3"/>
        <v/>
      </c>
      <c r="T186" s="38" t="str">
        <f t="shared" si="4"/>
        <v/>
      </c>
      <c r="U186" s="28" t="str">
        <f t="shared" si="5"/>
        <v/>
      </c>
      <c r="V186" s="39" t="str">
        <f>IFERROR(__xludf.DUMMYFUNCTION(" IF(Account!$F186&lt;&gt;"""", SPLIT(Account!$F186, "" ""), """")"),"")</f>
        <v/>
      </c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>
      <c r="A187" s="7"/>
      <c r="B187" s="7"/>
      <c r="C187" s="7"/>
      <c r="D187" s="7"/>
      <c r="E187" s="7"/>
      <c r="F187" s="9"/>
      <c r="G187" s="7"/>
      <c r="H187" s="7"/>
      <c r="I187" s="7"/>
      <c r="J187" s="7"/>
      <c r="K187" s="7"/>
      <c r="L187" s="26" t="str">
        <f t="shared" si="1"/>
        <v/>
      </c>
      <c r="M187" s="28" t="str">
        <f>IFERROR(__xludf.DUMMYFUNCTION("IF(Account!$F187&lt;&gt;"""", VALUE(REGEXREPLACE($I187, ""\,"", ""."")), """")"),"")</f>
        <v/>
      </c>
      <c r="N187" s="31" t="str">
        <f>IF(Account!$F187&lt;&gt;"", DATEVALUE(MID($A187,4,3) &amp; LEFT($A187,3) &amp; RIGHT($A187,4)) + TIMEVALUE($B187), "")</f>
        <v/>
      </c>
      <c r="O187" s="33" t="str">
        <f>IF(Account!$F187&lt;&gt;"", DATEVALUE(MID($A187,4,3) &amp; LEFT($A187,3) &amp; RIGHT($A187,4)), "")</f>
        <v/>
      </c>
      <c r="P187" s="34" t="str">
        <f>IFERROR(VLOOKUP($Q187,Selection!$F:$G,2,false))</f>
        <v/>
      </c>
      <c r="Q187" s="36" t="str">
        <f>IF(AND($X187="change",$H187="EUR"),IF(AND($Z187="Crédit",$N187=$N188),$Q188,IF(AND($Z187="Débit",$N187=$N186),$Q186)),IF(OR(AND(OR($E187&lt;&gt;"",$L187=""),$M187&lt;&gt;0),$A187=""),IFERROR(VLOOKUP($E187,Selection!$E:$F,2,false)),IFERROR(VLOOKUP(SUBSTITUTE($I187,"-","",1),$K188:$Q1119,7,false),VLOOKUP($K187,$K188:$Q1119,7,false))))</f>
        <v/>
      </c>
      <c r="R187" s="34" t="str">
        <f t="shared" si="2"/>
        <v/>
      </c>
      <c r="S187" s="37" t="str">
        <f t="shared" si="3"/>
        <v/>
      </c>
      <c r="T187" s="38" t="str">
        <f t="shared" si="4"/>
        <v/>
      </c>
      <c r="U187" s="28" t="str">
        <f t="shared" si="5"/>
        <v/>
      </c>
      <c r="V187" s="39" t="str">
        <f>IFERROR(__xludf.DUMMYFUNCTION(" IF(Account!$F187&lt;&gt;"""", SPLIT(Account!$F187, "" ""), """")"),"")</f>
        <v/>
      </c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>
      <c r="A188" s="7"/>
      <c r="B188" s="7"/>
      <c r="C188" s="7"/>
      <c r="D188" s="7"/>
      <c r="E188" s="7"/>
      <c r="F188" s="9"/>
      <c r="G188" s="7"/>
      <c r="H188" s="7"/>
      <c r="I188" s="7"/>
      <c r="J188" s="7"/>
      <c r="K188" s="7"/>
      <c r="L188" s="26" t="str">
        <f t="shared" si="1"/>
        <v/>
      </c>
      <c r="M188" s="28" t="str">
        <f>IFERROR(__xludf.DUMMYFUNCTION("IF(Account!$F188&lt;&gt;"""", VALUE(REGEXREPLACE($I188, ""\,"", ""."")), """")"),"")</f>
        <v/>
      </c>
      <c r="N188" s="31" t="str">
        <f>IF(Account!$F188&lt;&gt;"", DATEVALUE(MID($A188,4,3) &amp; LEFT($A188,3) &amp; RIGHT($A188,4)) + TIMEVALUE($B188), "")</f>
        <v/>
      </c>
      <c r="O188" s="33" t="str">
        <f>IF(Account!$F188&lt;&gt;"", DATEVALUE(MID($A188,4,3) &amp; LEFT($A188,3) &amp; RIGHT($A188,4)), "")</f>
        <v/>
      </c>
      <c r="P188" s="34" t="str">
        <f>IFERROR(VLOOKUP($Q188,Selection!$F:$G,2,false))</f>
        <v/>
      </c>
      <c r="Q188" s="36" t="str">
        <f>IF(AND($X188="change",$H188="EUR"),IF(AND($Z188="Crédit",$N188=$N189),$Q189,IF(AND($Z188="Débit",$N188=$N187),$Q187)),IF(OR(AND(OR($E188&lt;&gt;"",$L188=""),$M188&lt;&gt;0),$A188=""),IFERROR(VLOOKUP($E188,Selection!$E:$F,2,false)),IFERROR(VLOOKUP(SUBSTITUTE($I188,"-","",1),$K189:$Q1119,7,false),VLOOKUP($K188,$K189:$Q1119,7,false))))</f>
        <v/>
      </c>
      <c r="R188" s="34" t="str">
        <f t="shared" si="2"/>
        <v/>
      </c>
      <c r="S188" s="37" t="str">
        <f t="shared" si="3"/>
        <v/>
      </c>
      <c r="T188" s="38" t="str">
        <f t="shared" si="4"/>
        <v/>
      </c>
      <c r="U188" s="28" t="str">
        <f t="shared" si="5"/>
        <v/>
      </c>
      <c r="V188" s="39" t="str">
        <f>IFERROR(__xludf.DUMMYFUNCTION(" IF(Account!$F188&lt;&gt;"""", SPLIT(Account!$F188, "" ""), """")"),"")</f>
        <v/>
      </c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>
      <c r="A189" s="7"/>
      <c r="B189" s="7"/>
      <c r="C189" s="7"/>
      <c r="D189" s="7"/>
      <c r="E189" s="7"/>
      <c r="F189" s="9"/>
      <c r="G189" s="7"/>
      <c r="H189" s="7"/>
      <c r="I189" s="7"/>
      <c r="J189" s="7"/>
      <c r="K189" s="7"/>
      <c r="L189" s="26" t="str">
        <f t="shared" si="1"/>
        <v/>
      </c>
      <c r="M189" s="28" t="str">
        <f>IFERROR(__xludf.DUMMYFUNCTION("IF(Account!$F189&lt;&gt;"""", VALUE(REGEXREPLACE($I189, ""\,"", ""."")), """")"),"")</f>
        <v/>
      </c>
      <c r="N189" s="31" t="str">
        <f>IF(Account!$F189&lt;&gt;"", DATEVALUE(MID($A189,4,3) &amp; LEFT($A189,3) &amp; RIGHT($A189,4)) + TIMEVALUE($B189), "")</f>
        <v/>
      </c>
      <c r="O189" s="33" t="str">
        <f>IF(Account!$F189&lt;&gt;"", DATEVALUE(MID($A189,4,3) &amp; LEFT($A189,3) &amp; RIGHT($A189,4)), "")</f>
        <v/>
      </c>
      <c r="P189" s="34" t="str">
        <f>IFERROR(VLOOKUP($Q189,Selection!$F:$G,2,false))</f>
        <v/>
      </c>
      <c r="Q189" s="36" t="str">
        <f>IF(AND($X189="change",$H189="EUR"),IF(AND($Z189="Crédit",$N189=$N190),$Q190,IF(AND($Z189="Débit",$N189=$N188),$Q188)),IF(OR(AND(OR($E189&lt;&gt;"",$L189=""),$M189&lt;&gt;0),$A189=""),IFERROR(VLOOKUP($E189,Selection!$E:$F,2,false)),IFERROR(VLOOKUP(SUBSTITUTE($I189,"-","",1),$K190:$Q1119,7,false),VLOOKUP($K189,$K190:$Q1119,7,false))))</f>
        <v/>
      </c>
      <c r="R189" s="34" t="str">
        <f t="shared" si="2"/>
        <v/>
      </c>
      <c r="S189" s="37" t="str">
        <f t="shared" si="3"/>
        <v/>
      </c>
      <c r="T189" s="38" t="str">
        <f t="shared" si="4"/>
        <v/>
      </c>
      <c r="U189" s="28" t="str">
        <f t="shared" si="5"/>
        <v/>
      </c>
      <c r="V189" s="39" t="str">
        <f>IFERROR(__xludf.DUMMYFUNCTION(" IF(Account!$F189&lt;&gt;"""", SPLIT(Account!$F189, "" ""), """")"),"")</f>
        <v/>
      </c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>
      <c r="A190" s="7"/>
      <c r="B190" s="7"/>
      <c r="C190" s="7"/>
      <c r="D190" s="7"/>
      <c r="E190" s="7"/>
      <c r="F190" s="9"/>
      <c r="G190" s="7"/>
      <c r="H190" s="7"/>
      <c r="I190" s="7"/>
      <c r="J190" s="7"/>
      <c r="K190" s="7"/>
      <c r="L190" s="26" t="str">
        <f t="shared" si="1"/>
        <v/>
      </c>
      <c r="M190" s="28" t="str">
        <f>IFERROR(__xludf.DUMMYFUNCTION("IF(Account!$F190&lt;&gt;"""", VALUE(REGEXREPLACE($I190, ""\,"", ""."")), """")"),"")</f>
        <v/>
      </c>
      <c r="N190" s="31" t="str">
        <f>IF(Account!$F190&lt;&gt;"", DATEVALUE(MID($A190,4,3) &amp; LEFT($A190,3) &amp; RIGHT($A190,4)) + TIMEVALUE($B190), "")</f>
        <v/>
      </c>
      <c r="O190" s="33" t="str">
        <f>IF(Account!$F190&lt;&gt;"", DATEVALUE(MID($A190,4,3) &amp; LEFT($A190,3) &amp; RIGHT($A190,4)), "")</f>
        <v/>
      </c>
      <c r="P190" s="34" t="str">
        <f>IFERROR(VLOOKUP($Q190,Selection!$F:$G,2,false))</f>
        <v/>
      </c>
      <c r="Q190" s="36" t="str">
        <f>IF(AND($X190="change",$H190="EUR"),IF(AND($Z190="Crédit",$N190=$N191),$Q191,IF(AND($Z190="Débit",$N190=$N189),$Q189)),IF(OR(AND(OR($E190&lt;&gt;"",$L190=""),$M190&lt;&gt;0),$A190=""),IFERROR(VLOOKUP($E190,Selection!$E:$F,2,false)),IFERROR(VLOOKUP(SUBSTITUTE($I190,"-","",1),$K191:$Q1119,7,false),VLOOKUP($K190,$K191:$Q1119,7,false))))</f>
        <v/>
      </c>
      <c r="R190" s="34" t="str">
        <f t="shared" si="2"/>
        <v/>
      </c>
      <c r="S190" s="37" t="str">
        <f t="shared" si="3"/>
        <v/>
      </c>
      <c r="T190" s="38" t="str">
        <f t="shared" si="4"/>
        <v/>
      </c>
      <c r="U190" s="28" t="str">
        <f t="shared" si="5"/>
        <v/>
      </c>
      <c r="V190" s="39" t="str">
        <f>IFERROR(__xludf.DUMMYFUNCTION(" IF(Account!$F190&lt;&gt;"""", SPLIT(Account!$F190, "" ""), """")"),"")</f>
        <v/>
      </c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>
      <c r="A191" s="7"/>
      <c r="B191" s="7"/>
      <c r="C191" s="7"/>
      <c r="D191" s="7"/>
      <c r="E191" s="7"/>
      <c r="F191" s="9"/>
      <c r="G191" s="7"/>
      <c r="H191" s="7"/>
      <c r="I191" s="7"/>
      <c r="J191" s="7"/>
      <c r="K191" s="7"/>
      <c r="L191" s="26" t="str">
        <f t="shared" si="1"/>
        <v/>
      </c>
      <c r="M191" s="28" t="str">
        <f>IFERROR(__xludf.DUMMYFUNCTION("IF(Account!$F191&lt;&gt;"""", VALUE(REGEXREPLACE($I191, ""\,"", ""."")), """")"),"")</f>
        <v/>
      </c>
      <c r="N191" s="31" t="str">
        <f>IF(Account!$F191&lt;&gt;"", DATEVALUE(MID($A191,4,3) &amp; LEFT($A191,3) &amp; RIGHT($A191,4)) + TIMEVALUE($B191), "")</f>
        <v/>
      </c>
      <c r="O191" s="33" t="str">
        <f>IF(Account!$F191&lt;&gt;"", DATEVALUE(MID($A191,4,3) &amp; LEFT($A191,3) &amp; RIGHT($A191,4)), "")</f>
        <v/>
      </c>
      <c r="P191" s="34" t="str">
        <f>IFERROR(VLOOKUP($Q191,Selection!$F:$G,2,false))</f>
        <v/>
      </c>
      <c r="Q191" s="36" t="str">
        <f>IF(AND($X191="change",$H191="EUR"),IF(AND($Z191="Crédit",$N191=$N192),$Q192,IF(AND($Z191="Débit",$N191=$N190),$Q190)),IF(OR(AND(OR($E191&lt;&gt;"",$L191=""),$M191&lt;&gt;0),$A191=""),IFERROR(VLOOKUP($E191,Selection!$E:$F,2,false)),IFERROR(VLOOKUP(SUBSTITUTE($I191,"-","",1),$K192:$Q1119,7,false),VLOOKUP($K191,$K192:$Q1119,7,false))))</f>
        <v/>
      </c>
      <c r="R191" s="34" t="str">
        <f t="shared" si="2"/>
        <v/>
      </c>
      <c r="S191" s="37" t="str">
        <f t="shared" si="3"/>
        <v/>
      </c>
      <c r="T191" s="38" t="str">
        <f t="shared" si="4"/>
        <v/>
      </c>
      <c r="U191" s="28" t="str">
        <f t="shared" si="5"/>
        <v/>
      </c>
      <c r="V191" s="39" t="str">
        <f>IFERROR(__xludf.DUMMYFUNCTION(" IF(Account!$F191&lt;&gt;"""", SPLIT(Account!$F191, "" ""), """")"),"")</f>
        <v/>
      </c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</row>
    <row r="192">
      <c r="A192" s="7"/>
      <c r="B192" s="7"/>
      <c r="C192" s="7"/>
      <c r="D192" s="7"/>
      <c r="E192" s="7"/>
      <c r="F192" s="9"/>
      <c r="G192" s="341"/>
      <c r="H192" s="7"/>
      <c r="I192" s="7"/>
      <c r="J192" s="7"/>
      <c r="K192" s="7"/>
      <c r="L192" s="26" t="str">
        <f t="shared" si="1"/>
        <v/>
      </c>
      <c r="M192" s="28" t="str">
        <f>IFERROR(__xludf.DUMMYFUNCTION("IF(Account!$F192&lt;&gt;"""", VALUE(REGEXREPLACE($I192, ""\,"", ""."")), """")"),"")</f>
        <v/>
      </c>
      <c r="N192" s="31" t="str">
        <f>IF(Account!$F192&lt;&gt;"", DATEVALUE(MID($A192,4,3) &amp; LEFT($A192,3) &amp; RIGHT($A192,4)) + TIMEVALUE($B192), "")</f>
        <v/>
      </c>
      <c r="O192" s="33" t="str">
        <f>IF(Account!$F192&lt;&gt;"", DATEVALUE(MID($A192,4,3) &amp; LEFT($A192,3) &amp; RIGHT($A192,4)), "")</f>
        <v/>
      </c>
      <c r="P192" s="34" t="str">
        <f>IFERROR(VLOOKUP($Q192,Selection!$F:$G,2,false))</f>
        <v/>
      </c>
      <c r="Q192" s="36" t="str">
        <f>IF(AND($X192="change",$H192="EUR"),IF(AND($Z192="Crédit",$N192=$N193),$Q193,IF(AND($Z192="Débit",$N192=$N191),$Q191)),IF(OR(AND(OR($E192&lt;&gt;"",$L192=""),$M192&lt;&gt;0),$A192=""),IFERROR(VLOOKUP($E192,Selection!$E:$F,2,false)),IFERROR(VLOOKUP(SUBSTITUTE($I192,"-","",1),$K193:$Q1119,7,false),VLOOKUP($K192,$K193:$Q1119,7,false))))</f>
        <v/>
      </c>
      <c r="R192" s="34" t="str">
        <f t="shared" si="2"/>
        <v/>
      </c>
      <c r="S192" s="37" t="str">
        <f t="shared" si="3"/>
        <v/>
      </c>
      <c r="T192" s="38" t="str">
        <f t="shared" si="4"/>
        <v/>
      </c>
      <c r="U192" s="28" t="str">
        <f t="shared" si="5"/>
        <v/>
      </c>
      <c r="V192" s="39" t="str">
        <f>IFERROR(__xludf.DUMMYFUNCTION(" IF(Account!$F192&lt;&gt;"""", SPLIT(Account!$F192, "" ""), """")"),"")</f>
        <v/>
      </c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</row>
    <row r="193">
      <c r="A193" s="7"/>
      <c r="B193" s="7"/>
      <c r="C193" s="7"/>
      <c r="D193" s="7"/>
      <c r="E193" s="7"/>
      <c r="F193" s="9"/>
      <c r="G193" s="7"/>
      <c r="H193" s="7"/>
      <c r="I193" s="7"/>
      <c r="J193" s="7"/>
      <c r="K193" s="7"/>
      <c r="L193" s="26" t="str">
        <f t="shared" si="1"/>
        <v/>
      </c>
      <c r="M193" s="28" t="str">
        <f>IFERROR(__xludf.DUMMYFUNCTION("IF(Account!$F193&lt;&gt;"""", VALUE(REGEXREPLACE($I193, ""\,"", ""."")), """")"),"")</f>
        <v/>
      </c>
      <c r="N193" s="31" t="str">
        <f>IF(Account!$F193&lt;&gt;"", DATEVALUE(MID($A193,4,3) &amp; LEFT($A193,3) &amp; RIGHT($A193,4)) + TIMEVALUE($B193), "")</f>
        <v/>
      </c>
      <c r="O193" s="33" t="str">
        <f>IF(Account!$F193&lt;&gt;"", DATEVALUE(MID($A193,4,3) &amp; LEFT($A193,3) &amp; RIGHT($A193,4)), "")</f>
        <v/>
      </c>
      <c r="P193" s="34" t="str">
        <f>IFERROR(VLOOKUP($Q193,Selection!$F:$G,2,false))</f>
        <v/>
      </c>
      <c r="Q193" s="36" t="str">
        <f>IF(AND($X193="change",$H193="EUR"),IF(AND($Z193="Crédit",$N193=$N194),$Q194,IF(AND($Z193="Débit",$N193=$N192),$Q192)),IF(OR(AND(OR($E193&lt;&gt;"",$L193=""),$M193&lt;&gt;0),$A193=""),IFERROR(VLOOKUP($E193,Selection!$E:$F,2,false)),IFERROR(VLOOKUP(SUBSTITUTE($I193,"-","",1),$K194:$Q1119,7,false),VLOOKUP($K193,$K194:$Q1119,7,false))))</f>
        <v/>
      </c>
      <c r="R193" s="34" t="str">
        <f t="shared" si="2"/>
        <v/>
      </c>
      <c r="S193" s="37" t="str">
        <f t="shared" si="3"/>
        <v/>
      </c>
      <c r="T193" s="38" t="str">
        <f t="shared" si="4"/>
        <v/>
      </c>
      <c r="U193" s="28" t="str">
        <f t="shared" si="5"/>
        <v/>
      </c>
      <c r="V193" s="39" t="str">
        <f>IFERROR(__xludf.DUMMYFUNCTION(" IF(Account!$F193&lt;&gt;"""", SPLIT(Account!$F193, "" ""), """")"),"")</f>
        <v/>
      </c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</row>
    <row r="194">
      <c r="A194" s="7"/>
      <c r="B194" s="7"/>
      <c r="C194" s="7"/>
      <c r="D194" s="7"/>
      <c r="E194" s="7"/>
      <c r="F194" s="9"/>
      <c r="G194" s="341"/>
      <c r="H194" s="7"/>
      <c r="I194" s="7"/>
      <c r="J194" s="7"/>
      <c r="K194" s="7"/>
      <c r="L194" s="26" t="str">
        <f t="shared" si="1"/>
        <v/>
      </c>
      <c r="M194" s="28" t="str">
        <f>IFERROR(__xludf.DUMMYFUNCTION("IF(Account!$F194&lt;&gt;"""", VALUE(REGEXREPLACE($I194, ""\,"", ""."")), """")"),"")</f>
        <v/>
      </c>
      <c r="N194" s="31" t="str">
        <f>IF(Account!$F194&lt;&gt;"", DATEVALUE(MID($A194,4,3) &amp; LEFT($A194,3) &amp; RIGHT($A194,4)) + TIMEVALUE($B194), "")</f>
        <v/>
      </c>
      <c r="O194" s="33" t="str">
        <f>IF(Account!$F194&lt;&gt;"", DATEVALUE(MID($A194,4,3) &amp; LEFT($A194,3) &amp; RIGHT($A194,4)), "")</f>
        <v/>
      </c>
      <c r="P194" s="34" t="str">
        <f>IFERROR(VLOOKUP($Q194,Selection!$F:$G,2,false))</f>
        <v/>
      </c>
      <c r="Q194" s="36" t="str">
        <f>IF(AND($X194="change",$H194="EUR"),IF(AND($Z194="Crédit",$N194=$N195),$Q195,IF(AND($Z194="Débit",$N194=$N193),$Q193)),IF(OR(AND(OR($E194&lt;&gt;"",$L194=""),$M194&lt;&gt;0),$A194=""),IFERROR(VLOOKUP($E194,Selection!$E:$F,2,false)),IFERROR(VLOOKUP(SUBSTITUTE($I194,"-","",1),$K195:$Q1119,7,false),VLOOKUP($K194,$K195:$Q1119,7,false))))</f>
        <v/>
      </c>
      <c r="R194" s="34" t="str">
        <f t="shared" si="2"/>
        <v/>
      </c>
      <c r="S194" s="37" t="str">
        <f t="shared" si="3"/>
        <v/>
      </c>
      <c r="T194" s="38" t="str">
        <f t="shared" si="4"/>
        <v/>
      </c>
      <c r="U194" s="28" t="str">
        <f t="shared" si="5"/>
        <v/>
      </c>
      <c r="V194" s="39" t="str">
        <f>IFERROR(__xludf.DUMMYFUNCTION(" IF(Account!$F194&lt;&gt;"""", SPLIT(Account!$F194, "" ""), """")"),"")</f>
        <v/>
      </c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>
      <c r="A195" s="7"/>
      <c r="B195" s="7"/>
      <c r="C195" s="7"/>
      <c r="D195" s="7"/>
      <c r="E195" s="7"/>
      <c r="F195" s="9"/>
      <c r="G195" s="7"/>
      <c r="H195" s="7"/>
      <c r="I195" s="7"/>
      <c r="J195" s="7"/>
      <c r="K195" s="7"/>
      <c r="L195" s="26" t="str">
        <f t="shared" si="1"/>
        <v/>
      </c>
      <c r="M195" s="28" t="str">
        <f>IFERROR(__xludf.DUMMYFUNCTION("IF(Account!$F195&lt;&gt;"""", VALUE(REGEXREPLACE($I195, ""\,"", ""."")), """")"),"")</f>
        <v/>
      </c>
      <c r="N195" s="31" t="str">
        <f>IF(Account!$F195&lt;&gt;"", DATEVALUE(MID($A195,4,3) &amp; LEFT($A195,3) &amp; RIGHT($A195,4)) + TIMEVALUE($B195), "")</f>
        <v/>
      </c>
      <c r="O195" s="33" t="str">
        <f>IF(Account!$F195&lt;&gt;"", DATEVALUE(MID($A195,4,3) &amp; LEFT($A195,3) &amp; RIGHT($A195,4)), "")</f>
        <v/>
      </c>
      <c r="P195" s="34" t="str">
        <f>IFERROR(VLOOKUP($Q195,Selection!$F:$G,2,false))</f>
        <v/>
      </c>
      <c r="Q195" s="36" t="str">
        <f>IF(AND($X195="change",$H195="EUR"),IF(AND($Z195="Crédit",$N195=$N196),$Q196,IF(AND($Z195="Débit",$N195=$N194),$Q194)),IF(OR(AND(OR($E195&lt;&gt;"",$L195=""),$M195&lt;&gt;0),$A195=""),IFERROR(VLOOKUP($E195,Selection!$E:$F,2,false)),IFERROR(VLOOKUP(SUBSTITUTE($I195,"-","",1),$K196:$Q1119,7,false),VLOOKUP($K195,$K196:$Q1119,7,false))))</f>
        <v/>
      </c>
      <c r="R195" s="34" t="str">
        <f t="shared" si="2"/>
        <v/>
      </c>
      <c r="S195" s="37" t="str">
        <f t="shared" si="3"/>
        <v/>
      </c>
      <c r="T195" s="38" t="str">
        <f t="shared" si="4"/>
        <v/>
      </c>
      <c r="U195" s="28" t="str">
        <f t="shared" si="5"/>
        <v/>
      </c>
      <c r="V195" s="39" t="str">
        <f>IFERROR(__xludf.DUMMYFUNCTION(" IF(Account!$F195&lt;&gt;"""", SPLIT(Account!$F195, "" ""), """")"),"")</f>
        <v/>
      </c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>
      <c r="A196" s="7"/>
      <c r="B196" s="7"/>
      <c r="C196" s="7"/>
      <c r="D196" s="7"/>
      <c r="E196" s="7"/>
      <c r="F196" s="9"/>
      <c r="G196" s="341"/>
      <c r="H196" s="7"/>
      <c r="I196" s="7"/>
      <c r="J196" s="7"/>
      <c r="K196" s="7"/>
      <c r="L196" s="26" t="str">
        <f t="shared" si="1"/>
        <v/>
      </c>
      <c r="M196" s="28" t="str">
        <f>IFERROR(__xludf.DUMMYFUNCTION("IF(Account!$F196&lt;&gt;"""", VALUE(REGEXREPLACE($I196, ""\,"", ""."")), """")"),"")</f>
        <v/>
      </c>
      <c r="N196" s="31" t="str">
        <f>IF(Account!$F196&lt;&gt;"", DATEVALUE(MID($A196,4,3) &amp; LEFT($A196,3) &amp; RIGHT($A196,4)) + TIMEVALUE($B196), "")</f>
        <v/>
      </c>
      <c r="O196" s="33" t="str">
        <f>IF(Account!$F196&lt;&gt;"", DATEVALUE(MID($A196,4,3) &amp; LEFT($A196,3) &amp; RIGHT($A196,4)), "")</f>
        <v/>
      </c>
      <c r="P196" s="34" t="str">
        <f>IFERROR(VLOOKUP($Q196,Selection!$F:$G,2,false))</f>
        <v/>
      </c>
      <c r="Q196" s="36" t="str">
        <f>IF(AND($X196="change",$H196="EUR"),IF(AND($Z196="Crédit",$N196=$N197),$Q197,IF(AND($Z196="Débit",$N196=$N195),$Q195)),IF(OR(AND(OR($E196&lt;&gt;"",$L196=""),$M196&lt;&gt;0),$A196=""),IFERROR(VLOOKUP($E196,Selection!$E:$F,2,false)),IFERROR(VLOOKUP(SUBSTITUTE($I196,"-","",1),$K197:$Q1119,7,false),VLOOKUP($K196,$K197:$Q1119,7,false))))</f>
        <v/>
      </c>
      <c r="R196" s="34" t="str">
        <f t="shared" si="2"/>
        <v/>
      </c>
      <c r="S196" s="37" t="str">
        <f t="shared" si="3"/>
        <v/>
      </c>
      <c r="T196" s="38" t="str">
        <f t="shared" si="4"/>
        <v/>
      </c>
      <c r="U196" s="28" t="str">
        <f t="shared" si="5"/>
        <v/>
      </c>
      <c r="V196" s="39" t="str">
        <f>IFERROR(__xludf.DUMMYFUNCTION(" IF(Account!$F196&lt;&gt;"""", SPLIT(Account!$F196, "" ""), """")"),"")</f>
        <v/>
      </c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>
      <c r="A197" s="7"/>
      <c r="B197" s="7"/>
      <c r="C197" s="7"/>
      <c r="D197" s="7"/>
      <c r="E197" s="7"/>
      <c r="F197" s="9"/>
      <c r="G197" s="7"/>
      <c r="H197" s="7"/>
      <c r="I197" s="7"/>
      <c r="J197" s="7"/>
      <c r="K197" s="7"/>
      <c r="L197" s="26" t="str">
        <f t="shared" si="1"/>
        <v/>
      </c>
      <c r="M197" s="28" t="str">
        <f>IFERROR(__xludf.DUMMYFUNCTION("IF(Account!$F197&lt;&gt;"""", VALUE(REGEXREPLACE($I197, ""\,"", ""."")), """")"),"")</f>
        <v/>
      </c>
      <c r="N197" s="31" t="str">
        <f>IF(Account!$F197&lt;&gt;"", DATEVALUE(MID($A197,4,3) &amp; LEFT($A197,3) &amp; RIGHT($A197,4)) + TIMEVALUE($B197), "")</f>
        <v/>
      </c>
      <c r="O197" s="33" t="str">
        <f>IF(Account!$F197&lt;&gt;"", DATEVALUE(MID($A197,4,3) &amp; LEFT($A197,3) &amp; RIGHT($A197,4)), "")</f>
        <v/>
      </c>
      <c r="P197" s="34" t="str">
        <f>IFERROR(VLOOKUP($Q197,Selection!$F:$G,2,false))</f>
        <v/>
      </c>
      <c r="Q197" s="36" t="str">
        <f>IF(AND($X197="change",$H197="EUR"),IF(AND($Z197="Crédit",$N197=$N198),$Q198,IF(AND($Z197="Débit",$N197=$N196),$Q196)),IF(OR(AND(OR($E197&lt;&gt;"",$L197=""),$M197&lt;&gt;0),$A197=""),IFERROR(VLOOKUP($E197,Selection!$E:$F,2,false)),IFERROR(VLOOKUP(SUBSTITUTE($I197,"-","",1),$K198:$Q1119,7,false),VLOOKUP($K197,$K198:$Q1119,7,false))))</f>
        <v/>
      </c>
      <c r="R197" s="34" t="str">
        <f t="shared" si="2"/>
        <v/>
      </c>
      <c r="S197" s="37" t="str">
        <f t="shared" si="3"/>
        <v/>
      </c>
      <c r="T197" s="38" t="str">
        <f t="shared" si="4"/>
        <v/>
      </c>
      <c r="U197" s="28" t="str">
        <f t="shared" si="5"/>
        <v/>
      </c>
      <c r="V197" s="39" t="str">
        <f>IFERROR(__xludf.DUMMYFUNCTION(" IF(Account!$F197&lt;&gt;"""", SPLIT(Account!$F197, "" ""), """")"),"")</f>
        <v/>
      </c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>
      <c r="A198" s="7"/>
      <c r="B198" s="7"/>
      <c r="C198" s="7"/>
      <c r="D198" s="7"/>
      <c r="E198" s="7"/>
      <c r="F198" s="9"/>
      <c r="G198" s="341"/>
      <c r="H198" s="7"/>
      <c r="I198" s="7"/>
      <c r="J198" s="7"/>
      <c r="K198" s="7"/>
      <c r="L198" s="26" t="str">
        <f t="shared" si="1"/>
        <v/>
      </c>
      <c r="M198" s="28" t="str">
        <f>IFERROR(__xludf.DUMMYFUNCTION("IF(Account!$F198&lt;&gt;"""", VALUE(REGEXREPLACE($I198, ""\,"", ""."")), """")"),"")</f>
        <v/>
      </c>
      <c r="N198" s="31" t="str">
        <f>IF(Account!$F198&lt;&gt;"", DATEVALUE(MID($A198,4,3) &amp; LEFT($A198,3) &amp; RIGHT($A198,4)) + TIMEVALUE($B198), "")</f>
        <v/>
      </c>
      <c r="O198" s="33" t="str">
        <f>IF(Account!$F198&lt;&gt;"", DATEVALUE(MID($A198,4,3) &amp; LEFT($A198,3) &amp; RIGHT($A198,4)), "")</f>
        <v/>
      </c>
      <c r="P198" s="34" t="str">
        <f>IFERROR(VLOOKUP($Q198,Selection!$F:$G,2,false))</f>
        <v/>
      </c>
      <c r="Q198" s="36" t="str">
        <f>IF(AND($X198="change",$H198="EUR"),IF(AND($Z198="Crédit",$N198=$N199),$Q199,IF(AND($Z198="Débit",$N198=$N197),$Q197)),IF(OR(AND(OR($E198&lt;&gt;"",$L198=""),$M198&lt;&gt;0),$A198=""),IFERROR(VLOOKUP($E198,Selection!$E:$F,2,false)),IFERROR(VLOOKUP(SUBSTITUTE($I198,"-","",1),$K199:$Q1119,7,false),VLOOKUP($K198,$K199:$Q1119,7,false))))</f>
        <v/>
      </c>
      <c r="R198" s="34" t="str">
        <f t="shared" si="2"/>
        <v/>
      </c>
      <c r="S198" s="37" t="str">
        <f t="shared" si="3"/>
        <v/>
      </c>
      <c r="T198" s="38" t="str">
        <f t="shared" si="4"/>
        <v/>
      </c>
      <c r="U198" s="28" t="str">
        <f t="shared" si="5"/>
        <v/>
      </c>
      <c r="V198" s="39" t="str">
        <f>IFERROR(__xludf.DUMMYFUNCTION(" IF(Account!$F198&lt;&gt;"""", SPLIT(Account!$F198, "" ""), """")"),"")</f>
        <v/>
      </c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>
      <c r="A199" s="7"/>
      <c r="B199" s="7"/>
      <c r="C199" s="7"/>
      <c r="D199" s="7"/>
      <c r="E199" s="7"/>
      <c r="F199" s="9"/>
      <c r="G199" s="7"/>
      <c r="H199" s="7"/>
      <c r="I199" s="7"/>
      <c r="J199" s="7"/>
      <c r="K199" s="7"/>
      <c r="L199" s="26" t="str">
        <f t="shared" si="1"/>
        <v/>
      </c>
      <c r="M199" s="28" t="str">
        <f>IFERROR(__xludf.DUMMYFUNCTION("IF(Account!$F199&lt;&gt;"""", VALUE(REGEXREPLACE($I199, ""\,"", ""."")), """")"),"")</f>
        <v/>
      </c>
      <c r="N199" s="31" t="str">
        <f>IF(Account!$F199&lt;&gt;"", DATEVALUE(MID($A199,4,3) &amp; LEFT($A199,3) &amp; RIGHT($A199,4)) + TIMEVALUE($B199), "")</f>
        <v/>
      </c>
      <c r="O199" s="33" t="str">
        <f>IF(Account!$F199&lt;&gt;"", DATEVALUE(MID($A199,4,3) &amp; LEFT($A199,3) &amp; RIGHT($A199,4)), "")</f>
        <v/>
      </c>
      <c r="P199" s="34" t="str">
        <f>IFERROR(VLOOKUP($Q199,Selection!$F:$G,2,false))</f>
        <v/>
      </c>
      <c r="Q199" s="36" t="str">
        <f>IF(AND($X199="change",$H199="EUR"),IF(AND($Z199="Crédit",$N199=$N200),$Q200,IF(AND($Z199="Débit",$N199=$N198),$Q198)),IF(OR(AND(OR($E199&lt;&gt;"",$L199=""),$M199&lt;&gt;0),$A199=""),IFERROR(VLOOKUP($E199,Selection!$E:$F,2,false)),IFERROR(VLOOKUP(SUBSTITUTE($I199,"-","",1),$K200:$Q1119,7,false),VLOOKUP($K199,$K200:$Q1119,7,false))))</f>
        <v/>
      </c>
      <c r="R199" s="34" t="str">
        <f t="shared" si="2"/>
        <v/>
      </c>
      <c r="S199" s="37" t="str">
        <f t="shared" si="3"/>
        <v/>
      </c>
      <c r="T199" s="38" t="str">
        <f t="shared" si="4"/>
        <v/>
      </c>
      <c r="U199" s="28" t="str">
        <f t="shared" si="5"/>
        <v/>
      </c>
      <c r="V199" s="39" t="str">
        <f>IFERROR(__xludf.DUMMYFUNCTION(" IF(Account!$F199&lt;&gt;"""", SPLIT(Account!$F199, "" ""), """")"),"")</f>
        <v/>
      </c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>
      <c r="A200" s="7"/>
      <c r="B200" s="7"/>
      <c r="C200" s="7"/>
      <c r="D200" s="7"/>
      <c r="E200" s="7"/>
      <c r="F200" s="9"/>
      <c r="G200" s="341"/>
      <c r="H200" s="7"/>
      <c r="I200" s="7"/>
      <c r="J200" s="7"/>
      <c r="K200" s="7"/>
      <c r="L200" s="26" t="str">
        <f t="shared" si="1"/>
        <v/>
      </c>
      <c r="M200" s="28" t="str">
        <f>IFERROR(__xludf.DUMMYFUNCTION("IF(Account!$F200&lt;&gt;"""", VALUE(REGEXREPLACE($I200, ""\,"", ""."")), """")"),"")</f>
        <v/>
      </c>
      <c r="N200" s="31" t="str">
        <f>IF(Account!$F200&lt;&gt;"", DATEVALUE(MID($A200,4,3) &amp; LEFT($A200,3) &amp; RIGHT($A200,4)) + TIMEVALUE($B200), "")</f>
        <v/>
      </c>
      <c r="O200" s="33" t="str">
        <f>IF(Account!$F200&lt;&gt;"", DATEVALUE(MID($A200,4,3) &amp; LEFT($A200,3) &amp; RIGHT($A200,4)), "")</f>
        <v/>
      </c>
      <c r="P200" s="34" t="str">
        <f>IFERROR(VLOOKUP($Q200,Selection!$F:$G,2,false))</f>
        <v/>
      </c>
      <c r="Q200" s="36" t="str">
        <f>IF(AND($X200="change",$H200="EUR"),IF(AND($Z200="Crédit",$N200=$N201),$Q201,IF(AND($Z200="Débit",$N200=$N199),$Q199)),IF(OR(AND(OR($E200&lt;&gt;"",$L200=""),$M200&lt;&gt;0),$A200=""),IFERROR(VLOOKUP($E200,Selection!$E:$F,2,false)),IFERROR(VLOOKUP(SUBSTITUTE($I200,"-","",1),$K201:$Q1119,7,false),VLOOKUP($K200,$K201:$Q1119,7,false))))</f>
        <v/>
      </c>
      <c r="R200" s="34" t="str">
        <f t="shared" si="2"/>
        <v/>
      </c>
      <c r="S200" s="37" t="str">
        <f t="shared" si="3"/>
        <v/>
      </c>
      <c r="T200" s="38" t="str">
        <f t="shared" si="4"/>
        <v/>
      </c>
      <c r="U200" s="28" t="str">
        <f t="shared" si="5"/>
        <v/>
      </c>
      <c r="V200" s="39" t="str">
        <f>IFERROR(__xludf.DUMMYFUNCTION(" IF(Account!$F200&lt;&gt;"""", SPLIT(Account!$F200, "" ""), """")"),"")</f>
        <v/>
      </c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</row>
    <row r="201">
      <c r="A201" s="7"/>
      <c r="B201" s="7"/>
      <c r="C201" s="7"/>
      <c r="D201" s="7"/>
      <c r="E201" s="7"/>
      <c r="F201" s="9"/>
      <c r="G201" s="7"/>
      <c r="H201" s="7"/>
      <c r="I201" s="7"/>
      <c r="J201" s="7"/>
      <c r="K201" s="7"/>
      <c r="L201" s="26" t="str">
        <f t="shared" si="1"/>
        <v/>
      </c>
      <c r="M201" s="28" t="str">
        <f>IFERROR(__xludf.DUMMYFUNCTION("IF(Account!$F201&lt;&gt;"""", VALUE(REGEXREPLACE($I201, ""\,"", ""."")), """")"),"")</f>
        <v/>
      </c>
      <c r="N201" s="31" t="str">
        <f>IF(Account!$F201&lt;&gt;"", DATEVALUE(MID($A201,4,3) &amp; LEFT($A201,3) &amp; RIGHT($A201,4)) + TIMEVALUE($B201), "")</f>
        <v/>
      </c>
      <c r="O201" s="33" t="str">
        <f>IF(Account!$F201&lt;&gt;"", DATEVALUE(MID($A201,4,3) &amp; LEFT($A201,3) &amp; RIGHT($A201,4)), "")</f>
        <v/>
      </c>
      <c r="P201" s="34" t="str">
        <f>IFERROR(VLOOKUP($Q201,Selection!$F:$G,2,false))</f>
        <v/>
      </c>
      <c r="Q201" s="36" t="str">
        <f>IF(AND($X201="change",$H201="EUR"),IF(AND($Z201="Crédit",$N201=$N202),$Q202,IF(AND($Z201="Débit",$N201=$N200),$Q200)),IF(OR(AND(OR($E201&lt;&gt;"",$L201=""),$M201&lt;&gt;0),$A201=""),IFERROR(VLOOKUP($E201,Selection!$E:$F,2,false)),IFERROR(VLOOKUP(SUBSTITUTE($I201,"-","",1),$K202:$Q1119,7,false),VLOOKUP($K201,$K202:$Q1119,7,false))))</f>
        <v/>
      </c>
      <c r="R201" s="34" t="str">
        <f t="shared" si="2"/>
        <v/>
      </c>
      <c r="S201" s="37" t="str">
        <f t="shared" si="3"/>
        <v/>
      </c>
      <c r="T201" s="38" t="str">
        <f t="shared" si="4"/>
        <v/>
      </c>
      <c r="U201" s="28" t="str">
        <f t="shared" si="5"/>
        <v/>
      </c>
      <c r="V201" s="39" t="str">
        <f>IFERROR(__xludf.DUMMYFUNCTION(" IF(Account!$F201&lt;&gt;"""", SPLIT(Account!$F201, "" ""), """")"),"")</f>
        <v/>
      </c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</row>
    <row r="202">
      <c r="A202" s="7"/>
      <c r="B202" s="7"/>
      <c r="C202" s="7"/>
      <c r="D202" s="7"/>
      <c r="E202" s="7"/>
      <c r="F202" s="9"/>
      <c r="G202" s="7"/>
      <c r="H202" s="7"/>
      <c r="I202" s="7"/>
      <c r="J202" s="7"/>
      <c r="K202" s="7"/>
      <c r="L202" s="26" t="str">
        <f t="shared" si="1"/>
        <v/>
      </c>
      <c r="M202" s="28" t="str">
        <f>IFERROR(__xludf.DUMMYFUNCTION("IF(Account!$F202&lt;&gt;"""", VALUE(REGEXREPLACE($I202, ""\,"", ""."")), """")"),"")</f>
        <v/>
      </c>
      <c r="N202" s="31" t="str">
        <f>IF(Account!$F202&lt;&gt;"", DATEVALUE(MID($A202,4,3) &amp; LEFT($A202,3) &amp; RIGHT($A202,4)) + TIMEVALUE($B202), "")</f>
        <v/>
      </c>
      <c r="O202" s="33" t="str">
        <f>IF(Account!$F202&lt;&gt;"", DATEVALUE(MID($A202,4,3) &amp; LEFT($A202,3) &amp; RIGHT($A202,4)), "")</f>
        <v/>
      </c>
      <c r="P202" s="34" t="str">
        <f>IFERROR(VLOOKUP($Q202,Selection!$F:$G,2,false))</f>
        <v/>
      </c>
      <c r="Q202" s="36" t="str">
        <f>IF(AND($X202="change",$H202="EUR"),IF(AND($Z202="Crédit",$N202=$N203),$Q203,IF(AND($Z202="Débit",$N202=$N201),$Q201)),IF(OR(AND(OR($E202&lt;&gt;"",$L202=""),$M202&lt;&gt;0),$A202=""),IFERROR(VLOOKUP($E202,Selection!$E:$F,2,false)),IFERROR(VLOOKUP(SUBSTITUTE($I202,"-","",1),$K203:$Q1119,7,false),VLOOKUP($K202,$K203:$Q1119,7,false))))</f>
        <v/>
      </c>
      <c r="R202" s="34" t="str">
        <f t="shared" si="2"/>
        <v/>
      </c>
      <c r="S202" s="37" t="str">
        <f t="shared" si="3"/>
        <v/>
      </c>
      <c r="T202" s="38" t="str">
        <f t="shared" si="4"/>
        <v/>
      </c>
      <c r="U202" s="28" t="str">
        <f t="shared" si="5"/>
        <v/>
      </c>
      <c r="V202" s="39" t="str">
        <f>IFERROR(__xludf.DUMMYFUNCTION(" IF(Account!$F202&lt;&gt;"""", SPLIT(Account!$F202, "" ""), """")"),"")</f>
        <v/>
      </c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>
      <c r="A203" s="7"/>
      <c r="B203" s="7"/>
      <c r="C203" s="7"/>
      <c r="D203" s="7"/>
      <c r="E203" s="7"/>
      <c r="F203" s="9"/>
      <c r="G203" s="7"/>
      <c r="H203" s="7"/>
      <c r="I203" s="7"/>
      <c r="J203" s="7"/>
      <c r="K203" s="7"/>
      <c r="L203" s="26" t="str">
        <f t="shared" si="1"/>
        <v/>
      </c>
      <c r="M203" s="28" t="str">
        <f>IFERROR(__xludf.DUMMYFUNCTION("IF(Account!$F203&lt;&gt;"""", VALUE(REGEXREPLACE($I203, ""\,"", ""."")), """")"),"")</f>
        <v/>
      </c>
      <c r="N203" s="31" t="str">
        <f>IF(Account!$F203&lt;&gt;"", DATEVALUE(MID($A203,4,3) &amp; LEFT($A203,3) &amp; RIGHT($A203,4)) + TIMEVALUE($B203), "")</f>
        <v/>
      </c>
      <c r="O203" s="33" t="str">
        <f>IF(Account!$F203&lt;&gt;"", DATEVALUE(MID($A203,4,3) &amp; LEFT($A203,3) &amp; RIGHT($A203,4)), "")</f>
        <v/>
      </c>
      <c r="P203" s="34" t="str">
        <f>IFERROR(VLOOKUP($Q203,Selection!$F:$G,2,false))</f>
        <v/>
      </c>
      <c r="Q203" s="36" t="str">
        <f>IF(AND($X203="change",$H203="EUR"),IF(AND($Z203="Crédit",$N203=$N204),$Q204,IF(AND($Z203="Débit",$N203=$N202),$Q202)),IF(OR(AND(OR($E203&lt;&gt;"",$L203=""),$M203&lt;&gt;0),$A203=""),IFERROR(VLOOKUP($E203,Selection!$E:$F,2,false)),IFERROR(VLOOKUP(SUBSTITUTE($I203,"-","",1),$K204:$Q1119,7,false),VLOOKUP($K203,$K204:$Q1119,7,false))))</f>
        <v/>
      </c>
      <c r="R203" s="34" t="str">
        <f t="shared" si="2"/>
        <v/>
      </c>
      <c r="S203" s="37" t="str">
        <f t="shared" si="3"/>
        <v/>
      </c>
      <c r="T203" s="38" t="str">
        <f t="shared" si="4"/>
        <v/>
      </c>
      <c r="U203" s="28" t="str">
        <f t="shared" si="5"/>
        <v/>
      </c>
      <c r="V203" s="39" t="str">
        <f>IFERROR(__xludf.DUMMYFUNCTION(" IF(Account!$F203&lt;&gt;"""", SPLIT(Account!$F203, "" ""), """")"),"")</f>
        <v/>
      </c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>
      <c r="A204" s="7"/>
      <c r="B204" s="7"/>
      <c r="C204" s="7"/>
      <c r="D204" s="7"/>
      <c r="E204" s="7"/>
      <c r="F204" s="9"/>
      <c r="G204" s="341"/>
      <c r="H204" s="7"/>
      <c r="I204" s="7"/>
      <c r="J204" s="7"/>
      <c r="K204" s="7"/>
      <c r="L204" s="26" t="str">
        <f t="shared" si="1"/>
        <v/>
      </c>
      <c r="M204" s="28" t="str">
        <f>IFERROR(__xludf.DUMMYFUNCTION("IF(Account!$F204&lt;&gt;"""", VALUE(REGEXREPLACE($I204, ""\,"", ""."")), """")"),"")</f>
        <v/>
      </c>
      <c r="N204" s="31" t="str">
        <f>IF(Account!$F204&lt;&gt;"", DATEVALUE(MID($A204,4,3) &amp; LEFT($A204,3) &amp; RIGHT($A204,4)) + TIMEVALUE($B204), "")</f>
        <v/>
      </c>
      <c r="O204" s="33" t="str">
        <f>IF(Account!$F204&lt;&gt;"", DATEVALUE(MID($A204,4,3) &amp; LEFT($A204,3) &amp; RIGHT($A204,4)), "")</f>
        <v/>
      </c>
      <c r="P204" s="34" t="str">
        <f>IFERROR(VLOOKUP($Q204,Selection!$F:$G,2,false))</f>
        <v/>
      </c>
      <c r="Q204" s="36" t="str">
        <f>IF(AND($X204="change",$H204="EUR"),IF(AND($Z204="Crédit",$N204=$N205),$Q205,IF(AND($Z204="Débit",$N204=$N203),$Q203)),IF(OR(AND(OR($E204&lt;&gt;"",$L204=""),$M204&lt;&gt;0),$A204=""),IFERROR(VLOOKUP($E204,Selection!$E:$F,2,false)),IFERROR(VLOOKUP(SUBSTITUTE($I204,"-","",1),$K205:$Q1119,7,false),VLOOKUP($K204,$K205:$Q1119,7,false))))</f>
        <v/>
      </c>
      <c r="R204" s="34" t="str">
        <f t="shared" si="2"/>
        <v/>
      </c>
      <c r="S204" s="37" t="str">
        <f t="shared" si="3"/>
        <v/>
      </c>
      <c r="T204" s="38" t="str">
        <f t="shared" si="4"/>
        <v/>
      </c>
      <c r="U204" s="28" t="str">
        <f t="shared" si="5"/>
        <v/>
      </c>
      <c r="V204" s="39" t="str">
        <f>IFERROR(__xludf.DUMMYFUNCTION(" IF(Account!$F204&lt;&gt;"""", SPLIT(Account!$F204, "" ""), """")"),"")</f>
        <v/>
      </c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>
      <c r="A205" s="7"/>
      <c r="B205" s="7"/>
      <c r="C205" s="7"/>
      <c r="D205" s="7"/>
      <c r="E205" s="7"/>
      <c r="F205" s="9"/>
      <c r="G205" s="7"/>
      <c r="H205" s="7"/>
      <c r="I205" s="7"/>
      <c r="J205" s="7"/>
      <c r="K205" s="7"/>
      <c r="L205" s="26" t="str">
        <f t="shared" si="1"/>
        <v/>
      </c>
      <c r="M205" s="28" t="str">
        <f>IFERROR(__xludf.DUMMYFUNCTION("IF(Account!$F205&lt;&gt;"""", VALUE(REGEXREPLACE($I205, ""\,"", ""."")), """")"),"")</f>
        <v/>
      </c>
      <c r="N205" s="31" t="str">
        <f>IF(Account!$F205&lt;&gt;"", DATEVALUE(MID($A205,4,3) &amp; LEFT($A205,3) &amp; RIGHT($A205,4)) + TIMEVALUE($B205), "")</f>
        <v/>
      </c>
      <c r="O205" s="33" t="str">
        <f>IF(Account!$F205&lt;&gt;"", DATEVALUE(MID($A205,4,3) &amp; LEFT($A205,3) &amp; RIGHT($A205,4)), "")</f>
        <v/>
      </c>
      <c r="P205" s="34" t="str">
        <f>IFERROR(VLOOKUP($Q205,Selection!$F:$G,2,false))</f>
        <v/>
      </c>
      <c r="Q205" s="36" t="str">
        <f>IF(AND($X205="change",$H205="EUR"),IF(AND($Z205="Crédit",$N205=$N206),$Q206,IF(AND($Z205="Débit",$N205=$N204),$Q204)),IF(OR(AND(OR($E205&lt;&gt;"",$L205=""),$M205&lt;&gt;0),$A205=""),IFERROR(VLOOKUP($E205,Selection!$E:$F,2,false)),IFERROR(VLOOKUP(SUBSTITUTE($I205,"-","",1),$K206:$Q1119,7,false),VLOOKUP($K205,$K206:$Q1119,7,false))))</f>
        <v/>
      </c>
      <c r="R205" s="34" t="str">
        <f t="shared" si="2"/>
        <v/>
      </c>
      <c r="S205" s="37" t="str">
        <f t="shared" si="3"/>
        <v/>
      </c>
      <c r="T205" s="38" t="str">
        <f t="shared" si="4"/>
        <v/>
      </c>
      <c r="U205" s="28" t="str">
        <f t="shared" si="5"/>
        <v/>
      </c>
      <c r="V205" s="39" t="str">
        <f>IFERROR(__xludf.DUMMYFUNCTION(" IF(Account!$F205&lt;&gt;"""", SPLIT(Account!$F205, "" ""), """")"),"")</f>
        <v/>
      </c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>
      <c r="A206" s="7"/>
      <c r="B206" s="7"/>
      <c r="C206" s="7"/>
      <c r="D206" s="7"/>
      <c r="E206" s="7"/>
      <c r="F206" s="9"/>
      <c r="G206" s="7"/>
      <c r="H206" s="7"/>
      <c r="I206" s="7"/>
      <c r="J206" s="7"/>
      <c r="K206" s="7"/>
      <c r="L206" s="26" t="str">
        <f t="shared" si="1"/>
        <v/>
      </c>
      <c r="M206" s="28" t="str">
        <f>IFERROR(__xludf.DUMMYFUNCTION("IF(Account!$F206&lt;&gt;"""", VALUE(REGEXREPLACE($I206, ""\,"", ""."")), """")"),"")</f>
        <v/>
      </c>
      <c r="N206" s="31" t="str">
        <f>IF(Account!$F206&lt;&gt;"", DATEVALUE(MID($A206,4,3) &amp; LEFT($A206,3) &amp; RIGHT($A206,4)) + TIMEVALUE($B206), "")</f>
        <v/>
      </c>
      <c r="O206" s="33" t="str">
        <f>IF(Account!$F206&lt;&gt;"", DATEVALUE(MID($A206,4,3) &amp; LEFT($A206,3) &amp; RIGHT($A206,4)), "")</f>
        <v/>
      </c>
      <c r="P206" s="34" t="str">
        <f>IFERROR(VLOOKUP($Q206,Selection!$F:$G,2,false))</f>
        <v/>
      </c>
      <c r="Q206" s="36" t="str">
        <f>IF(AND($X206="change",$H206="EUR"),IF(AND($Z206="Crédit",$N206=$N207),$Q207,IF(AND($Z206="Débit",$N206=$N205),$Q205)),IF(OR(AND(OR($E206&lt;&gt;"",$L206=""),$M206&lt;&gt;0),$A206=""),IFERROR(VLOOKUP($E206,Selection!$E:$F,2,false)),IFERROR(VLOOKUP(SUBSTITUTE($I206,"-","",1),$K207:$Q1119,7,false),VLOOKUP($K206,$K207:$Q1119,7,false))))</f>
        <v/>
      </c>
      <c r="R206" s="34" t="str">
        <f t="shared" si="2"/>
        <v/>
      </c>
      <c r="S206" s="37" t="str">
        <f t="shared" si="3"/>
        <v/>
      </c>
      <c r="T206" s="38" t="str">
        <f t="shared" si="4"/>
        <v/>
      </c>
      <c r="U206" s="28" t="str">
        <f t="shared" si="5"/>
        <v/>
      </c>
      <c r="V206" s="39" t="str">
        <f>IFERROR(__xludf.DUMMYFUNCTION(" IF(Account!$F206&lt;&gt;"""", SPLIT(Account!$F206, "" ""), """")"),"")</f>
        <v/>
      </c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>
      <c r="A207" s="7"/>
      <c r="B207" s="7"/>
      <c r="C207" s="7"/>
      <c r="D207" s="7"/>
      <c r="E207" s="7"/>
      <c r="F207" s="9"/>
      <c r="G207" s="7"/>
      <c r="H207" s="7"/>
      <c r="I207" s="7"/>
      <c r="J207" s="7"/>
      <c r="K207" s="7"/>
      <c r="L207" s="26" t="str">
        <f t="shared" si="1"/>
        <v/>
      </c>
      <c r="M207" s="28" t="str">
        <f>IFERROR(__xludf.DUMMYFUNCTION("IF(Account!$F207&lt;&gt;"""", VALUE(REGEXREPLACE($I207, ""\,"", ""."")), """")"),"")</f>
        <v/>
      </c>
      <c r="N207" s="31" t="str">
        <f>IF(Account!$F207&lt;&gt;"", DATEVALUE(MID($A207,4,3) &amp; LEFT($A207,3) &amp; RIGHT($A207,4)) + TIMEVALUE($B207), "")</f>
        <v/>
      </c>
      <c r="O207" s="33" t="str">
        <f>IF(Account!$F207&lt;&gt;"", DATEVALUE(MID($A207,4,3) &amp; LEFT($A207,3) &amp; RIGHT($A207,4)), "")</f>
        <v/>
      </c>
      <c r="P207" s="34" t="str">
        <f>IFERROR(VLOOKUP($Q207,Selection!$F:$G,2,false))</f>
        <v/>
      </c>
      <c r="Q207" s="36" t="str">
        <f>IF(AND($X207="change",$H207="EUR"),IF(AND($Z207="Crédit",$N207=$N208),$Q208,IF(AND($Z207="Débit",$N207=$N206),$Q206)),IF(OR(AND(OR($E207&lt;&gt;"",$L207=""),$M207&lt;&gt;0),$A207=""),IFERROR(VLOOKUP($E207,Selection!$E:$F,2,false)),IFERROR(VLOOKUP(SUBSTITUTE($I207,"-","",1),$K208:$Q1119,7,false),VLOOKUP($K207,$K208:$Q1119,7,false))))</f>
        <v/>
      </c>
      <c r="R207" s="34" t="str">
        <f t="shared" si="2"/>
        <v/>
      </c>
      <c r="S207" s="37" t="str">
        <f t="shared" si="3"/>
        <v/>
      </c>
      <c r="T207" s="38" t="str">
        <f t="shared" si="4"/>
        <v/>
      </c>
      <c r="U207" s="28" t="str">
        <f t="shared" si="5"/>
        <v/>
      </c>
      <c r="V207" s="39" t="str">
        <f>IFERROR(__xludf.DUMMYFUNCTION(" IF(Account!$F207&lt;&gt;"""", SPLIT(Account!$F207, "" ""), """")"),"")</f>
        <v/>
      </c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>
      <c r="A208" s="7"/>
      <c r="B208" s="7"/>
      <c r="C208" s="7"/>
      <c r="D208" s="7"/>
      <c r="E208" s="7"/>
      <c r="F208" s="9"/>
      <c r="G208" s="7"/>
      <c r="H208" s="7"/>
      <c r="I208" s="7"/>
      <c r="J208" s="7"/>
      <c r="K208" s="7"/>
      <c r="L208" s="26" t="str">
        <f t="shared" si="1"/>
        <v/>
      </c>
      <c r="M208" s="28" t="str">
        <f>IFERROR(__xludf.DUMMYFUNCTION("IF(Account!$F208&lt;&gt;"""", VALUE(REGEXREPLACE($I208, ""\,"", ""."")), """")"),"")</f>
        <v/>
      </c>
      <c r="N208" s="31" t="str">
        <f>IF(Account!$F208&lt;&gt;"", DATEVALUE(MID($A208,4,3) &amp; LEFT($A208,3) &amp; RIGHT($A208,4)) + TIMEVALUE($B208), "")</f>
        <v/>
      </c>
      <c r="O208" s="33" t="str">
        <f>IF(Account!$F208&lt;&gt;"", DATEVALUE(MID($A208,4,3) &amp; LEFT($A208,3) &amp; RIGHT($A208,4)), "")</f>
        <v/>
      </c>
      <c r="P208" s="34" t="str">
        <f>IFERROR(VLOOKUP($Q208,Selection!$F:$G,2,false))</f>
        <v/>
      </c>
      <c r="Q208" s="36" t="str">
        <f>IF(AND($X208="change",$H208="EUR"),IF(AND($Z208="Crédit",$N208=$N209),$Q209,IF(AND($Z208="Débit",$N208=$N207),$Q207)),IF(OR(AND(OR($E208&lt;&gt;"",$L208=""),$M208&lt;&gt;0),$A208=""),IFERROR(VLOOKUP($E208,Selection!$E:$F,2,false)),IFERROR(VLOOKUP(SUBSTITUTE($I208,"-","",1),$K209:$Q1119,7,false),VLOOKUP($K208,$K209:$Q1119,7,false))))</f>
        <v/>
      </c>
      <c r="R208" s="34" t="str">
        <f t="shared" si="2"/>
        <v/>
      </c>
      <c r="S208" s="37" t="str">
        <f t="shared" si="3"/>
        <v/>
      </c>
      <c r="T208" s="38" t="str">
        <f t="shared" si="4"/>
        <v/>
      </c>
      <c r="U208" s="28" t="str">
        <f t="shared" si="5"/>
        <v/>
      </c>
      <c r="V208" s="39" t="str">
        <f>IFERROR(__xludf.DUMMYFUNCTION(" IF(Account!$F208&lt;&gt;"""", SPLIT(Account!$F208, "" ""), """")"),"")</f>
        <v/>
      </c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>
      <c r="A209" s="7"/>
      <c r="B209" s="7"/>
      <c r="C209" s="7"/>
      <c r="D209" s="7"/>
      <c r="E209" s="7"/>
      <c r="F209" s="9"/>
      <c r="G209" s="7"/>
      <c r="H209" s="7"/>
      <c r="I209" s="7"/>
      <c r="J209" s="7"/>
      <c r="K209" s="7"/>
      <c r="L209" s="26" t="str">
        <f t="shared" si="1"/>
        <v/>
      </c>
      <c r="M209" s="28" t="str">
        <f>IFERROR(__xludf.DUMMYFUNCTION("IF(Account!$F209&lt;&gt;"""", VALUE(REGEXREPLACE($I209, ""\,"", ""."")), """")"),"")</f>
        <v/>
      </c>
      <c r="N209" s="31" t="str">
        <f>IF(Account!$F209&lt;&gt;"", DATEVALUE(MID($A209,4,3) &amp; LEFT($A209,3) &amp; RIGHT($A209,4)) + TIMEVALUE($B209), "")</f>
        <v/>
      </c>
      <c r="O209" s="33" t="str">
        <f>IF(Account!$F209&lt;&gt;"", DATEVALUE(MID($A209,4,3) &amp; LEFT($A209,3) &amp; RIGHT($A209,4)), "")</f>
        <v/>
      </c>
      <c r="P209" s="34" t="str">
        <f>IFERROR(VLOOKUP($Q209,Selection!$F:$G,2,false))</f>
        <v/>
      </c>
      <c r="Q209" s="36" t="str">
        <f>IF(AND($X209="change",$H209="EUR"),IF(AND($Z209="Crédit",$N209=$N210),$Q210,IF(AND($Z209="Débit",$N209=$N208),$Q208)),IF(OR(AND(OR($E209&lt;&gt;"",$L209=""),$M209&lt;&gt;0),$A209=""),IFERROR(VLOOKUP($E209,Selection!$E:$F,2,false)),IFERROR(VLOOKUP(SUBSTITUTE($I209,"-","",1),$K210:$Q1119,7,false),VLOOKUP($K209,$K210:$Q1119,7,false))))</f>
        <v/>
      </c>
      <c r="R209" s="34" t="str">
        <f t="shared" si="2"/>
        <v/>
      </c>
      <c r="S209" s="37" t="str">
        <f t="shared" si="3"/>
        <v/>
      </c>
      <c r="T209" s="38" t="str">
        <f t="shared" si="4"/>
        <v/>
      </c>
      <c r="U209" s="28" t="str">
        <f t="shared" si="5"/>
        <v/>
      </c>
      <c r="V209" s="39" t="str">
        <f>IFERROR(__xludf.DUMMYFUNCTION(" IF(Account!$F209&lt;&gt;"""", SPLIT(Account!$F209, "" ""), """")"),"")</f>
        <v/>
      </c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</row>
    <row r="210">
      <c r="A210" s="7"/>
      <c r="B210" s="7"/>
      <c r="C210" s="7"/>
      <c r="D210" s="7"/>
      <c r="E210" s="7"/>
      <c r="F210" s="9"/>
      <c r="G210" s="7"/>
      <c r="H210" s="7"/>
      <c r="I210" s="7"/>
      <c r="J210" s="7"/>
      <c r="K210" s="7"/>
      <c r="L210" s="26" t="str">
        <f t="shared" si="1"/>
        <v/>
      </c>
      <c r="M210" s="28" t="str">
        <f>IFERROR(__xludf.DUMMYFUNCTION("IF(Account!$F210&lt;&gt;"""", VALUE(REGEXREPLACE($I210, ""\,"", ""."")), """")"),"")</f>
        <v/>
      </c>
      <c r="N210" s="31" t="str">
        <f>IF(Account!$F210&lt;&gt;"", DATEVALUE(MID($A210,4,3) &amp; LEFT($A210,3) &amp; RIGHT($A210,4)) + TIMEVALUE($B210), "")</f>
        <v/>
      </c>
      <c r="O210" s="33" t="str">
        <f>IF(Account!$F210&lt;&gt;"", DATEVALUE(MID($A210,4,3) &amp; LEFT($A210,3) &amp; RIGHT($A210,4)), "")</f>
        <v/>
      </c>
      <c r="P210" s="34" t="str">
        <f>IFERROR(VLOOKUP($Q210,Selection!$F:$G,2,false))</f>
        <v/>
      </c>
      <c r="Q210" s="36" t="str">
        <f>IF(AND($X210="change",$H210="EUR"),IF(AND($Z210="Crédit",$N210=$N211),$Q211,IF(AND($Z210="Débit",$N210=$N209),$Q209)),IF(OR(AND(OR($E210&lt;&gt;"",$L210=""),$M210&lt;&gt;0),$A210=""),IFERROR(VLOOKUP($E210,Selection!$E:$F,2,false)),IFERROR(VLOOKUP(SUBSTITUTE($I210,"-","",1),$K211:$Q1119,7,false),VLOOKUP($K210,$K211:$Q1119,7,false))))</f>
        <v/>
      </c>
      <c r="R210" s="34" t="str">
        <f t="shared" si="2"/>
        <v/>
      </c>
      <c r="S210" s="37" t="str">
        <f t="shared" si="3"/>
        <v/>
      </c>
      <c r="T210" s="38" t="str">
        <f t="shared" si="4"/>
        <v/>
      </c>
      <c r="U210" s="28" t="str">
        <f t="shared" si="5"/>
        <v/>
      </c>
      <c r="V210" s="39" t="str">
        <f>IFERROR(__xludf.DUMMYFUNCTION(" IF(Account!$F210&lt;&gt;"""", SPLIT(Account!$F210, "" ""), """")"),"")</f>
        <v/>
      </c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</row>
    <row r="211">
      <c r="A211" s="7"/>
      <c r="B211" s="7"/>
      <c r="C211" s="7"/>
      <c r="D211" s="7"/>
      <c r="E211" s="7"/>
      <c r="F211" s="9"/>
      <c r="G211" s="7"/>
      <c r="H211" s="7"/>
      <c r="I211" s="7"/>
      <c r="J211" s="7"/>
      <c r="K211" s="7"/>
      <c r="L211" s="26" t="str">
        <f t="shared" si="1"/>
        <v/>
      </c>
      <c r="M211" s="28" t="str">
        <f>IFERROR(__xludf.DUMMYFUNCTION("IF(Account!$F211&lt;&gt;"""", VALUE(REGEXREPLACE($I211, ""\,"", ""."")), """")"),"")</f>
        <v/>
      </c>
      <c r="N211" s="31" t="str">
        <f>IF(Account!$F211&lt;&gt;"", DATEVALUE(MID($A211,4,3) &amp; LEFT($A211,3) &amp; RIGHT($A211,4)) + TIMEVALUE($B211), "")</f>
        <v/>
      </c>
      <c r="O211" s="33" t="str">
        <f>IF(Account!$F211&lt;&gt;"", DATEVALUE(MID($A211,4,3) &amp; LEFT($A211,3) &amp; RIGHT($A211,4)), "")</f>
        <v/>
      </c>
      <c r="P211" s="34" t="str">
        <f>IFERROR(VLOOKUP($Q211,Selection!$F:$G,2,false))</f>
        <v/>
      </c>
      <c r="Q211" s="36" t="str">
        <f>IF(AND($X211="change",$H211="EUR"),IF(AND($Z211="Crédit",$N211=$N212),$Q212,IF(AND($Z211="Débit",$N211=$N210),$Q210)),IF(OR(AND(OR($E211&lt;&gt;"",$L211=""),$M211&lt;&gt;0),$A211=""),IFERROR(VLOOKUP($E211,Selection!$E:$F,2,false)),IFERROR(VLOOKUP(SUBSTITUTE($I211,"-","",1),$K212:$Q1119,7,false),VLOOKUP($K211,$K212:$Q1119,7,false))))</f>
        <v/>
      </c>
      <c r="R211" s="34" t="str">
        <f t="shared" si="2"/>
        <v/>
      </c>
      <c r="S211" s="37" t="str">
        <f t="shared" si="3"/>
        <v/>
      </c>
      <c r="T211" s="38" t="str">
        <f t="shared" si="4"/>
        <v/>
      </c>
      <c r="U211" s="28" t="str">
        <f t="shared" si="5"/>
        <v/>
      </c>
      <c r="V211" s="39" t="str">
        <f>IFERROR(__xludf.DUMMYFUNCTION(" IF(Account!$F211&lt;&gt;"""", SPLIT(Account!$F211, "" ""), """")"),"")</f>
        <v/>
      </c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</row>
    <row r="212">
      <c r="A212" s="7"/>
      <c r="B212" s="7"/>
      <c r="C212" s="7"/>
      <c r="D212" s="7"/>
      <c r="E212" s="7"/>
      <c r="F212" s="9"/>
      <c r="G212" s="7"/>
      <c r="H212" s="7"/>
      <c r="I212" s="7"/>
      <c r="J212" s="7"/>
      <c r="K212" s="7"/>
      <c r="L212" s="26" t="str">
        <f t="shared" si="1"/>
        <v/>
      </c>
      <c r="M212" s="28" t="str">
        <f>IFERROR(__xludf.DUMMYFUNCTION("IF(Account!$F212&lt;&gt;"""", VALUE(REGEXREPLACE($I212, ""\,"", ""."")), """")"),"")</f>
        <v/>
      </c>
      <c r="N212" s="31" t="str">
        <f>IF(Account!$F212&lt;&gt;"", DATEVALUE(MID($A212,4,3) &amp; LEFT($A212,3) &amp; RIGHT($A212,4)) + TIMEVALUE($B212), "")</f>
        <v/>
      </c>
      <c r="O212" s="33" t="str">
        <f>IF(Account!$F212&lt;&gt;"", DATEVALUE(MID($A212,4,3) &amp; LEFT($A212,3) &amp; RIGHT($A212,4)), "")</f>
        <v/>
      </c>
      <c r="P212" s="34" t="str">
        <f>IFERROR(VLOOKUP($Q212,Selection!$F:$G,2,false))</f>
        <v/>
      </c>
      <c r="Q212" s="36" t="str">
        <f>IF(AND($X212="change",$H212="EUR"),IF(AND($Z212="Crédit",$N212=$N213),$Q213,IF(AND($Z212="Débit",$N212=$N211),$Q211)),IF(OR(AND(OR($E212&lt;&gt;"",$L212=""),$M212&lt;&gt;0),$A212=""),IFERROR(VLOOKUP($E212,Selection!$E:$F,2,false)),IFERROR(VLOOKUP(SUBSTITUTE($I212,"-","",1),$K213:$Q1119,7,false),VLOOKUP($K212,$K213:$Q1119,7,false))))</f>
        <v/>
      </c>
      <c r="R212" s="34" t="str">
        <f t="shared" si="2"/>
        <v/>
      </c>
      <c r="S212" s="37" t="str">
        <f t="shared" si="3"/>
        <v/>
      </c>
      <c r="T212" s="38" t="str">
        <f t="shared" si="4"/>
        <v/>
      </c>
      <c r="U212" s="28" t="str">
        <f t="shared" si="5"/>
        <v/>
      </c>
      <c r="V212" s="39" t="str">
        <f>IFERROR(__xludf.DUMMYFUNCTION(" IF(Account!$F212&lt;&gt;"""", SPLIT(Account!$F212, "" ""), """")"),"")</f>
        <v/>
      </c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>
      <c r="A213" s="7"/>
      <c r="B213" s="7"/>
      <c r="C213" s="7"/>
      <c r="D213" s="7"/>
      <c r="E213" s="7"/>
      <c r="F213" s="9"/>
      <c r="G213" s="341"/>
      <c r="H213" s="7"/>
      <c r="I213" s="7"/>
      <c r="J213" s="7"/>
      <c r="K213" s="7"/>
      <c r="L213" s="26" t="str">
        <f t="shared" si="1"/>
        <v/>
      </c>
      <c r="M213" s="28" t="str">
        <f>IFERROR(__xludf.DUMMYFUNCTION("IF(Account!$F213&lt;&gt;"""", VALUE(REGEXREPLACE($I213, ""\,"", ""."")), """")"),"")</f>
        <v/>
      </c>
      <c r="N213" s="31" t="str">
        <f>IF(Account!$F213&lt;&gt;"", DATEVALUE(MID($A213,4,3) &amp; LEFT($A213,3) &amp; RIGHT($A213,4)) + TIMEVALUE($B213), "")</f>
        <v/>
      </c>
      <c r="O213" s="33" t="str">
        <f>IF(Account!$F213&lt;&gt;"", DATEVALUE(MID($A213,4,3) &amp; LEFT($A213,3) &amp; RIGHT($A213,4)), "")</f>
        <v/>
      </c>
      <c r="P213" s="34" t="str">
        <f>IFERROR(VLOOKUP($Q213,Selection!$F:$G,2,false))</f>
        <v/>
      </c>
      <c r="Q213" s="36" t="str">
        <f>IF(AND($X213="change",$H213="EUR"),IF(AND($Z213="Crédit",$N213=$N214),$Q214,IF(AND($Z213="Débit",$N213=$N212),$Q212)),IF(OR(AND(OR($E213&lt;&gt;"",$L213=""),$M213&lt;&gt;0),$A213=""),IFERROR(VLOOKUP($E213,Selection!$E:$F,2,false)),IFERROR(VLOOKUP(SUBSTITUTE($I213,"-","",1),$K214:$Q1119,7,false),VLOOKUP($K213,$K214:$Q1119,7,false))))</f>
        <v/>
      </c>
      <c r="R213" s="34" t="str">
        <f t="shared" si="2"/>
        <v/>
      </c>
      <c r="S213" s="37" t="str">
        <f t="shared" si="3"/>
        <v/>
      </c>
      <c r="T213" s="38" t="str">
        <f t="shared" si="4"/>
        <v/>
      </c>
      <c r="U213" s="28" t="str">
        <f t="shared" si="5"/>
        <v/>
      </c>
      <c r="V213" s="39" t="str">
        <f>IFERROR(__xludf.DUMMYFUNCTION(" IF(Account!$F213&lt;&gt;"""", SPLIT(Account!$F213, "" ""), """")"),"")</f>
        <v/>
      </c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>
      <c r="A214" s="7"/>
      <c r="B214" s="7"/>
      <c r="C214" s="7"/>
      <c r="D214" s="7"/>
      <c r="E214" s="7"/>
      <c r="F214" s="9"/>
      <c r="G214" s="7"/>
      <c r="H214" s="7"/>
      <c r="I214" s="7"/>
      <c r="J214" s="7"/>
      <c r="K214" s="7"/>
      <c r="L214" s="26" t="str">
        <f t="shared" si="1"/>
        <v/>
      </c>
      <c r="M214" s="28" t="str">
        <f>IFERROR(__xludf.DUMMYFUNCTION("IF(Account!$F214&lt;&gt;"""", VALUE(REGEXREPLACE($I214, ""\,"", ""."")), """")"),"")</f>
        <v/>
      </c>
      <c r="N214" s="31" t="str">
        <f>IF(Account!$F214&lt;&gt;"", DATEVALUE(MID($A214,4,3) &amp; LEFT($A214,3) &amp; RIGHT($A214,4)) + TIMEVALUE($B214), "")</f>
        <v/>
      </c>
      <c r="O214" s="33" t="str">
        <f>IF(Account!$F214&lt;&gt;"", DATEVALUE(MID($A214,4,3) &amp; LEFT($A214,3) &amp; RIGHT($A214,4)), "")</f>
        <v/>
      </c>
      <c r="P214" s="34" t="str">
        <f>IFERROR(VLOOKUP($Q214,Selection!$F:$G,2,false))</f>
        <v/>
      </c>
      <c r="Q214" s="36" t="str">
        <f>IF(AND($X214="change",$H214="EUR"),IF(AND($Z214="Crédit",$N214=$N215),$Q215,IF(AND($Z214="Débit",$N214=$N213),$Q213)),IF(OR(AND(OR($E214&lt;&gt;"",$L214=""),$M214&lt;&gt;0),$A214=""),IFERROR(VLOOKUP($E214,Selection!$E:$F,2,false)),IFERROR(VLOOKUP(SUBSTITUTE($I214,"-","",1),$K215:$Q1119,7,false),VLOOKUP($K214,$K215:$Q1119,7,false))))</f>
        <v/>
      </c>
      <c r="R214" s="34" t="str">
        <f t="shared" si="2"/>
        <v/>
      </c>
      <c r="S214" s="37" t="str">
        <f t="shared" si="3"/>
        <v/>
      </c>
      <c r="T214" s="38" t="str">
        <f t="shared" si="4"/>
        <v/>
      </c>
      <c r="U214" s="28" t="str">
        <f t="shared" si="5"/>
        <v/>
      </c>
      <c r="V214" s="39" t="str">
        <f>IFERROR(__xludf.DUMMYFUNCTION(" IF(Account!$F214&lt;&gt;"""", SPLIT(Account!$F214, "" ""), """")"),"")</f>
        <v/>
      </c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>
      <c r="A215" s="7"/>
      <c r="B215" s="7"/>
      <c r="C215" s="7"/>
      <c r="D215" s="7"/>
      <c r="E215" s="7"/>
      <c r="F215" s="9"/>
      <c r="G215" s="341"/>
      <c r="H215" s="7"/>
      <c r="I215" s="7"/>
      <c r="J215" s="7"/>
      <c r="K215" s="7"/>
      <c r="L215" s="26" t="str">
        <f t="shared" si="1"/>
        <v/>
      </c>
      <c r="M215" s="28" t="str">
        <f>IFERROR(__xludf.DUMMYFUNCTION("IF(Account!$F215&lt;&gt;"""", VALUE(REGEXREPLACE($I215, ""\,"", ""."")), """")"),"")</f>
        <v/>
      </c>
      <c r="N215" s="31" t="str">
        <f>IF(Account!$F215&lt;&gt;"", DATEVALUE(MID($A215,4,3) &amp; LEFT($A215,3) &amp; RIGHT($A215,4)) + TIMEVALUE($B215), "")</f>
        <v/>
      </c>
      <c r="O215" s="33" t="str">
        <f>IF(Account!$F215&lt;&gt;"", DATEVALUE(MID($A215,4,3) &amp; LEFT($A215,3) &amp; RIGHT($A215,4)), "")</f>
        <v/>
      </c>
      <c r="P215" s="34" t="str">
        <f>IFERROR(VLOOKUP($Q215,Selection!$F:$G,2,false))</f>
        <v/>
      </c>
      <c r="Q215" s="36" t="str">
        <f>IF(AND($X215="change",$H215="EUR"),IF(AND($Z215="Crédit",$N215=$N216),$Q216,IF(AND($Z215="Débit",$N215=$N214),$Q214)),IF(OR(AND(OR($E215&lt;&gt;"",$L215=""),$M215&lt;&gt;0),$A215=""),IFERROR(VLOOKUP($E215,Selection!$E:$F,2,false)),IFERROR(VLOOKUP(SUBSTITUTE($I215,"-","",1),$K216:$Q1119,7,false),VLOOKUP($K215,$K216:$Q1119,7,false))))</f>
        <v/>
      </c>
      <c r="R215" s="34" t="str">
        <f t="shared" si="2"/>
        <v/>
      </c>
      <c r="S215" s="37" t="str">
        <f t="shared" si="3"/>
        <v/>
      </c>
      <c r="T215" s="38" t="str">
        <f t="shared" si="4"/>
        <v/>
      </c>
      <c r="U215" s="28" t="str">
        <f t="shared" si="5"/>
        <v/>
      </c>
      <c r="V215" s="39" t="str">
        <f>IFERROR(__xludf.DUMMYFUNCTION(" IF(Account!$F215&lt;&gt;"""", SPLIT(Account!$F215, "" ""), """")"),"")</f>
        <v/>
      </c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>
      <c r="A216" s="7"/>
      <c r="B216" s="7"/>
      <c r="C216" s="7"/>
      <c r="D216" s="7"/>
      <c r="E216" s="7"/>
      <c r="F216" s="9"/>
      <c r="G216" s="7"/>
      <c r="H216" s="7"/>
      <c r="I216" s="7"/>
      <c r="J216" s="7"/>
      <c r="K216" s="7"/>
      <c r="L216" s="26" t="str">
        <f t="shared" si="1"/>
        <v/>
      </c>
      <c r="M216" s="28" t="str">
        <f>IFERROR(__xludf.DUMMYFUNCTION("IF(Account!$F216&lt;&gt;"""", VALUE(REGEXREPLACE($I216, ""\,"", ""."")), """")"),"")</f>
        <v/>
      </c>
      <c r="N216" s="31" t="str">
        <f>IF(Account!$F216&lt;&gt;"", DATEVALUE(MID($A216,4,3) &amp; LEFT($A216,3) &amp; RIGHT($A216,4)) + TIMEVALUE($B216), "")</f>
        <v/>
      </c>
      <c r="O216" s="33" t="str">
        <f>IF(Account!$F216&lt;&gt;"", DATEVALUE(MID($A216,4,3) &amp; LEFT($A216,3) &amp; RIGHT($A216,4)), "")</f>
        <v/>
      </c>
      <c r="P216" s="34" t="str">
        <f>IFERROR(VLOOKUP($Q216,Selection!$F:$G,2,false))</f>
        <v/>
      </c>
      <c r="Q216" s="36" t="str">
        <f>IF(AND($X216="change",$H216="EUR"),IF(AND($Z216="Crédit",$N216=$N217),$Q217,IF(AND($Z216="Débit",$N216=$N215),$Q215)),IF(OR(AND(OR($E216&lt;&gt;"",$L216=""),$M216&lt;&gt;0),$A216=""),IFERROR(VLOOKUP($E216,Selection!$E:$F,2,false)),IFERROR(VLOOKUP(SUBSTITUTE($I216,"-","",1),$K217:$Q1119,7,false),VLOOKUP($K216,$K217:$Q1119,7,false))))</f>
        <v/>
      </c>
      <c r="R216" s="34" t="str">
        <f t="shared" si="2"/>
        <v/>
      </c>
      <c r="S216" s="37" t="str">
        <f t="shared" si="3"/>
        <v/>
      </c>
      <c r="T216" s="38" t="str">
        <f t="shared" si="4"/>
        <v/>
      </c>
      <c r="U216" s="28" t="str">
        <f t="shared" si="5"/>
        <v/>
      </c>
      <c r="V216" s="39" t="str">
        <f>IFERROR(__xludf.DUMMYFUNCTION(" IF(Account!$F216&lt;&gt;"""", SPLIT(Account!$F216, "" ""), """")"),"")</f>
        <v/>
      </c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>
      <c r="A217" s="7"/>
      <c r="B217" s="7"/>
      <c r="C217" s="7"/>
      <c r="D217" s="7"/>
      <c r="E217" s="7"/>
      <c r="F217" s="9"/>
      <c r="G217" s="341"/>
      <c r="H217" s="7"/>
      <c r="I217" s="7"/>
      <c r="J217" s="7"/>
      <c r="K217" s="7"/>
      <c r="L217" s="26" t="str">
        <f t="shared" si="1"/>
        <v/>
      </c>
      <c r="M217" s="28" t="str">
        <f>IFERROR(__xludf.DUMMYFUNCTION("IF(Account!$F217&lt;&gt;"""", VALUE(REGEXREPLACE($I217, ""\,"", ""."")), """")"),"")</f>
        <v/>
      </c>
      <c r="N217" s="31" t="str">
        <f>IF(Account!$F217&lt;&gt;"", DATEVALUE(MID($A217,4,3) &amp; LEFT($A217,3) &amp; RIGHT($A217,4)) + TIMEVALUE($B217), "")</f>
        <v/>
      </c>
      <c r="O217" s="33" t="str">
        <f>IF(Account!$F217&lt;&gt;"", DATEVALUE(MID($A217,4,3) &amp; LEFT($A217,3) &amp; RIGHT($A217,4)), "")</f>
        <v/>
      </c>
      <c r="P217" s="34" t="str">
        <f>IFERROR(VLOOKUP($Q217,Selection!$F:$G,2,false))</f>
        <v/>
      </c>
      <c r="Q217" s="36" t="str">
        <f>IF(AND($X217="change",$H217="EUR"),IF(AND($Z217="Crédit",$N217=$N218),$Q218,IF(AND($Z217="Débit",$N217=$N216),$Q216)),IF(OR(AND(OR($E217&lt;&gt;"",$L217=""),$M217&lt;&gt;0),$A217=""),IFERROR(VLOOKUP($E217,Selection!$E:$F,2,false)),IFERROR(VLOOKUP(SUBSTITUTE($I217,"-","",1),$K218:$Q1119,7,false),VLOOKUP($K217,$K218:$Q1119,7,false))))</f>
        <v/>
      </c>
      <c r="R217" s="34" t="str">
        <f t="shared" si="2"/>
        <v/>
      </c>
      <c r="S217" s="37" t="str">
        <f t="shared" si="3"/>
        <v/>
      </c>
      <c r="T217" s="38" t="str">
        <f t="shared" si="4"/>
        <v/>
      </c>
      <c r="U217" s="28" t="str">
        <f t="shared" si="5"/>
        <v/>
      </c>
      <c r="V217" s="39" t="str">
        <f>IFERROR(__xludf.DUMMYFUNCTION(" IF(Account!$F217&lt;&gt;"""", SPLIT(Account!$F217, "" ""), """")"),"")</f>
        <v/>
      </c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>
      <c r="A218" s="7"/>
      <c r="B218" s="7"/>
      <c r="C218" s="7"/>
      <c r="D218" s="7"/>
      <c r="E218" s="7"/>
      <c r="F218" s="9"/>
      <c r="G218" s="7"/>
      <c r="H218" s="7"/>
      <c r="I218" s="7"/>
      <c r="J218" s="7"/>
      <c r="K218" s="7"/>
      <c r="L218" s="26" t="str">
        <f t="shared" si="1"/>
        <v/>
      </c>
      <c r="M218" s="28" t="str">
        <f>IFERROR(__xludf.DUMMYFUNCTION("IF(Account!$F218&lt;&gt;"""", VALUE(REGEXREPLACE($I218, ""\,"", ""."")), """")"),"")</f>
        <v/>
      </c>
      <c r="N218" s="31" t="str">
        <f>IF(Account!$F218&lt;&gt;"", DATEVALUE(MID($A218,4,3) &amp; LEFT($A218,3) &amp; RIGHT($A218,4)) + TIMEVALUE($B218), "")</f>
        <v/>
      </c>
      <c r="O218" s="33" t="str">
        <f>IF(Account!$F218&lt;&gt;"", DATEVALUE(MID($A218,4,3) &amp; LEFT($A218,3) &amp; RIGHT($A218,4)), "")</f>
        <v/>
      </c>
      <c r="P218" s="34" t="str">
        <f>IFERROR(VLOOKUP($Q218,Selection!$F:$G,2,false))</f>
        <v/>
      </c>
      <c r="Q218" s="36" t="str">
        <f>IF(AND($X218="change",$H218="EUR"),IF(AND($Z218="Crédit",$N218=$N219),$Q219,IF(AND($Z218="Débit",$N218=$N217),$Q217)),IF(OR(AND(OR($E218&lt;&gt;"",$L218=""),$M218&lt;&gt;0),$A218=""),IFERROR(VLOOKUP($E218,Selection!$E:$F,2,false)),IFERROR(VLOOKUP(SUBSTITUTE($I218,"-","",1),$K219:$Q1119,7,false),VLOOKUP($K218,$K219:$Q1119,7,false))))</f>
        <v/>
      </c>
      <c r="R218" s="34" t="str">
        <f t="shared" si="2"/>
        <v/>
      </c>
      <c r="S218" s="37" t="str">
        <f t="shared" si="3"/>
        <v/>
      </c>
      <c r="T218" s="38" t="str">
        <f t="shared" si="4"/>
        <v/>
      </c>
      <c r="U218" s="28" t="str">
        <f t="shared" si="5"/>
        <v/>
      </c>
      <c r="V218" s="39" t="str">
        <f>IFERROR(__xludf.DUMMYFUNCTION(" IF(Account!$F218&lt;&gt;"""", SPLIT(Account!$F218, "" ""), """")"),"")</f>
        <v/>
      </c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>
      <c r="A219" s="7"/>
      <c r="B219" s="7"/>
      <c r="C219" s="7"/>
      <c r="D219" s="7"/>
      <c r="E219" s="7"/>
      <c r="F219" s="9"/>
      <c r="G219" s="341"/>
      <c r="H219" s="7"/>
      <c r="I219" s="7"/>
      <c r="J219" s="7"/>
      <c r="K219" s="7"/>
      <c r="L219" s="26" t="str">
        <f t="shared" si="1"/>
        <v/>
      </c>
      <c r="M219" s="28" t="str">
        <f>IFERROR(__xludf.DUMMYFUNCTION("IF(Account!$F219&lt;&gt;"""", VALUE(REGEXREPLACE($I219, ""\,"", ""."")), """")"),"")</f>
        <v/>
      </c>
      <c r="N219" s="31" t="str">
        <f>IF(Account!$F219&lt;&gt;"", DATEVALUE(MID($A219,4,3) &amp; LEFT($A219,3) &amp; RIGHT($A219,4)) + TIMEVALUE($B219), "")</f>
        <v/>
      </c>
      <c r="O219" s="33" t="str">
        <f>IF(Account!$F219&lt;&gt;"", DATEVALUE(MID($A219,4,3) &amp; LEFT($A219,3) &amp; RIGHT($A219,4)), "")</f>
        <v/>
      </c>
      <c r="P219" s="34" t="str">
        <f>IFERROR(VLOOKUP($Q219,Selection!$F:$G,2,false))</f>
        <v/>
      </c>
      <c r="Q219" s="36" t="str">
        <f>IF(AND($X219="change",$H219="EUR"),IF(AND($Z219="Crédit",$N219=$N220),$Q220,IF(AND($Z219="Débit",$N219=$N218),$Q218)),IF(OR(AND(OR($E219&lt;&gt;"",$L219=""),$M219&lt;&gt;0),$A219=""),IFERROR(VLOOKUP($E219,Selection!$E:$F,2,false)),IFERROR(VLOOKUP(SUBSTITUTE($I219,"-","",1),$K220:$Q1119,7,false),VLOOKUP($K219,$K220:$Q1119,7,false))))</f>
        <v/>
      </c>
      <c r="R219" s="34" t="str">
        <f t="shared" si="2"/>
        <v/>
      </c>
      <c r="S219" s="37" t="str">
        <f t="shared" si="3"/>
        <v/>
      </c>
      <c r="T219" s="38" t="str">
        <f t="shared" si="4"/>
        <v/>
      </c>
      <c r="U219" s="28" t="str">
        <f t="shared" si="5"/>
        <v/>
      </c>
      <c r="V219" s="39" t="str">
        <f>IFERROR(__xludf.DUMMYFUNCTION(" IF(Account!$F219&lt;&gt;"""", SPLIT(Account!$F219, "" ""), """")"),"")</f>
        <v/>
      </c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</row>
    <row r="220">
      <c r="A220" s="7"/>
      <c r="B220" s="7"/>
      <c r="C220" s="7"/>
      <c r="D220" s="7"/>
      <c r="E220" s="7"/>
      <c r="F220" s="9"/>
      <c r="G220" s="7"/>
      <c r="H220" s="7"/>
      <c r="I220" s="7"/>
      <c r="J220" s="7"/>
      <c r="K220" s="7"/>
      <c r="L220" s="26" t="str">
        <f t="shared" si="1"/>
        <v/>
      </c>
      <c r="M220" s="28" t="str">
        <f>IFERROR(__xludf.DUMMYFUNCTION("IF(Account!$F220&lt;&gt;"""", VALUE(REGEXREPLACE($I220, ""\,"", ""."")), """")"),"")</f>
        <v/>
      </c>
      <c r="N220" s="31" t="str">
        <f>IF(Account!$F220&lt;&gt;"", DATEVALUE(MID($A220,4,3) &amp; LEFT($A220,3) &amp; RIGHT($A220,4)) + TIMEVALUE($B220), "")</f>
        <v/>
      </c>
      <c r="O220" s="33" t="str">
        <f>IF(Account!$F220&lt;&gt;"", DATEVALUE(MID($A220,4,3) &amp; LEFT($A220,3) &amp; RIGHT($A220,4)), "")</f>
        <v/>
      </c>
      <c r="P220" s="34" t="str">
        <f>IFERROR(VLOOKUP($Q220,Selection!$F:$G,2,false))</f>
        <v/>
      </c>
      <c r="Q220" s="36" t="str">
        <f>IF(AND($X220="change",$H220="EUR"),IF(AND($Z220="Crédit",$N220=$N221),$Q221,IF(AND($Z220="Débit",$N220=$N219),$Q219)),IF(OR(AND(OR($E220&lt;&gt;"",$L220=""),$M220&lt;&gt;0),$A220=""),IFERROR(VLOOKUP($E220,Selection!$E:$F,2,false)),IFERROR(VLOOKUP(SUBSTITUTE($I220,"-","",1),$K221:$Q1119,7,false),VLOOKUP($K220,$K221:$Q1119,7,false))))</f>
        <v/>
      </c>
      <c r="R220" s="34" t="str">
        <f t="shared" si="2"/>
        <v/>
      </c>
      <c r="S220" s="37" t="str">
        <f t="shared" si="3"/>
        <v/>
      </c>
      <c r="T220" s="38" t="str">
        <f t="shared" si="4"/>
        <v/>
      </c>
      <c r="U220" s="28" t="str">
        <f t="shared" si="5"/>
        <v/>
      </c>
      <c r="V220" s="39" t="str">
        <f>IFERROR(__xludf.DUMMYFUNCTION(" IF(Account!$F220&lt;&gt;"""", SPLIT(Account!$F220, "" ""), """")"),"")</f>
        <v/>
      </c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</row>
    <row r="221">
      <c r="A221" s="7"/>
      <c r="B221" s="7"/>
      <c r="C221" s="7"/>
      <c r="D221" s="7"/>
      <c r="E221" s="7"/>
      <c r="F221" s="9"/>
      <c r="G221" s="7"/>
      <c r="H221" s="7"/>
      <c r="I221" s="7"/>
      <c r="J221" s="7"/>
      <c r="K221" s="7"/>
      <c r="L221" s="26" t="str">
        <f t="shared" si="1"/>
        <v/>
      </c>
      <c r="M221" s="28" t="str">
        <f>IFERROR(__xludf.DUMMYFUNCTION("IF(Account!$F221&lt;&gt;"""", VALUE(REGEXREPLACE($I221, ""\,"", ""."")), """")"),"")</f>
        <v/>
      </c>
      <c r="N221" s="31" t="str">
        <f>IF(Account!$F221&lt;&gt;"", DATEVALUE(MID($A221,4,3) &amp; LEFT($A221,3) &amp; RIGHT($A221,4)) + TIMEVALUE($B221), "")</f>
        <v/>
      </c>
      <c r="O221" s="33" t="str">
        <f>IF(Account!$F221&lt;&gt;"", DATEVALUE(MID($A221,4,3) &amp; LEFT($A221,3) &amp; RIGHT($A221,4)), "")</f>
        <v/>
      </c>
      <c r="P221" s="34" t="str">
        <f>IFERROR(VLOOKUP($Q221,Selection!$F:$G,2,false))</f>
        <v/>
      </c>
      <c r="Q221" s="36" t="str">
        <f>IF(AND($X221="change",$H221="EUR"),IF(AND($Z221="Crédit",$N221=$N222),$Q222,IF(AND($Z221="Débit",$N221=$N220),$Q220)),IF(OR(AND(OR($E221&lt;&gt;"",$L221=""),$M221&lt;&gt;0),$A221=""),IFERROR(VLOOKUP($E221,Selection!$E:$F,2,false)),IFERROR(VLOOKUP(SUBSTITUTE($I221,"-","",1),$K222:$Q1119,7,false),VLOOKUP($K221,$K222:$Q1119,7,false))))</f>
        <v/>
      </c>
      <c r="R221" s="34" t="str">
        <f t="shared" si="2"/>
        <v/>
      </c>
      <c r="S221" s="37" t="str">
        <f t="shared" si="3"/>
        <v/>
      </c>
      <c r="T221" s="38" t="str">
        <f t="shared" si="4"/>
        <v/>
      </c>
      <c r="U221" s="28" t="str">
        <f t="shared" si="5"/>
        <v/>
      </c>
      <c r="V221" s="39" t="str">
        <f>IFERROR(__xludf.DUMMYFUNCTION(" IF(Account!$F221&lt;&gt;"""", SPLIT(Account!$F221, "" ""), """")"),"")</f>
        <v/>
      </c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>
      <c r="A222" s="7"/>
      <c r="B222" s="7"/>
      <c r="C222" s="7"/>
      <c r="D222" s="7"/>
      <c r="E222" s="7"/>
      <c r="F222" s="9"/>
      <c r="G222" s="7"/>
      <c r="H222" s="7"/>
      <c r="I222" s="7"/>
      <c r="J222" s="7"/>
      <c r="K222" s="7"/>
      <c r="L222" s="26" t="str">
        <f t="shared" si="1"/>
        <v/>
      </c>
      <c r="M222" s="28" t="str">
        <f>IFERROR(__xludf.DUMMYFUNCTION("IF(Account!$F222&lt;&gt;"""", VALUE(REGEXREPLACE($I222, ""\,"", ""."")), """")"),"")</f>
        <v/>
      </c>
      <c r="N222" s="31" t="str">
        <f>IF(Account!$F222&lt;&gt;"", DATEVALUE(MID($A222,4,3) &amp; LEFT($A222,3) &amp; RIGHT($A222,4)) + TIMEVALUE($B222), "")</f>
        <v/>
      </c>
      <c r="O222" s="33" t="str">
        <f>IF(Account!$F222&lt;&gt;"", DATEVALUE(MID($A222,4,3) &amp; LEFT($A222,3) &amp; RIGHT($A222,4)), "")</f>
        <v/>
      </c>
      <c r="P222" s="34" t="str">
        <f>IFERROR(VLOOKUP($Q222,Selection!$F:$G,2,false))</f>
        <v/>
      </c>
      <c r="Q222" s="36" t="str">
        <f>IF(AND($X222="change",$H222="EUR"),IF(AND($Z222="Crédit",$N222=$N223),$Q223,IF(AND($Z222="Débit",$N222=$N221),$Q221)),IF(OR(AND(OR($E222&lt;&gt;"",$L222=""),$M222&lt;&gt;0),$A222=""),IFERROR(VLOOKUP($E222,Selection!$E:$F,2,false)),IFERROR(VLOOKUP(SUBSTITUTE($I222,"-","",1),$K223:$Q1119,7,false),VLOOKUP($K222,$K223:$Q1119,7,false))))</f>
        <v/>
      </c>
      <c r="R222" s="34" t="str">
        <f t="shared" si="2"/>
        <v/>
      </c>
      <c r="S222" s="37" t="str">
        <f t="shared" si="3"/>
        <v/>
      </c>
      <c r="T222" s="38" t="str">
        <f t="shared" si="4"/>
        <v/>
      </c>
      <c r="U222" s="28" t="str">
        <f t="shared" si="5"/>
        <v/>
      </c>
      <c r="V222" s="39" t="str">
        <f>IFERROR(__xludf.DUMMYFUNCTION(" IF(Account!$F222&lt;&gt;"""", SPLIT(Account!$F222, "" ""), """")"),"")</f>
        <v/>
      </c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>
      <c r="A223" s="7"/>
      <c r="B223" s="7"/>
      <c r="C223" s="7"/>
      <c r="D223" s="7"/>
      <c r="E223" s="7"/>
      <c r="F223" s="9"/>
      <c r="G223" s="341"/>
      <c r="H223" s="7"/>
      <c r="I223" s="7"/>
      <c r="J223" s="7"/>
      <c r="K223" s="7"/>
      <c r="L223" s="26" t="str">
        <f t="shared" si="1"/>
        <v/>
      </c>
      <c r="M223" s="28" t="str">
        <f>IFERROR(__xludf.DUMMYFUNCTION("IF(Account!$F223&lt;&gt;"""", VALUE(REGEXREPLACE($I223, ""\,"", ""."")), """")"),"")</f>
        <v/>
      </c>
      <c r="N223" s="31" t="str">
        <f>IF(Account!$F223&lt;&gt;"", DATEVALUE(MID($A223,4,3) &amp; LEFT($A223,3) &amp; RIGHT($A223,4)) + TIMEVALUE($B223), "")</f>
        <v/>
      </c>
      <c r="O223" s="33" t="str">
        <f>IF(Account!$F223&lt;&gt;"", DATEVALUE(MID($A223,4,3) &amp; LEFT($A223,3) &amp; RIGHT($A223,4)), "")</f>
        <v/>
      </c>
      <c r="P223" s="34" t="str">
        <f>IFERROR(VLOOKUP($Q223,Selection!$F:$G,2,false))</f>
        <v/>
      </c>
      <c r="Q223" s="36" t="str">
        <f>IF(AND($X223="change",$H223="EUR"),IF(AND($Z223="Crédit",$N223=$N224),$Q224,IF(AND($Z223="Débit",$N223=$N222),$Q222)),IF(OR(AND(OR($E223&lt;&gt;"",$L223=""),$M223&lt;&gt;0),$A223=""),IFERROR(VLOOKUP($E223,Selection!$E:$F,2,false)),IFERROR(VLOOKUP(SUBSTITUTE($I223,"-","",1),$K224:$Q1119,7,false),VLOOKUP($K223,$K224:$Q1119,7,false))))</f>
        <v/>
      </c>
      <c r="R223" s="34" t="str">
        <f t="shared" si="2"/>
        <v/>
      </c>
      <c r="S223" s="37" t="str">
        <f t="shared" si="3"/>
        <v/>
      </c>
      <c r="T223" s="38" t="str">
        <f t="shared" si="4"/>
        <v/>
      </c>
      <c r="U223" s="28" t="str">
        <f t="shared" si="5"/>
        <v/>
      </c>
      <c r="V223" s="39" t="str">
        <f>IFERROR(__xludf.DUMMYFUNCTION(" IF(Account!$F223&lt;&gt;"""", SPLIT(Account!$F223, "" ""), """")"),"")</f>
        <v/>
      </c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>
      <c r="A224" s="7"/>
      <c r="B224" s="7"/>
      <c r="C224" s="7"/>
      <c r="D224" s="7"/>
      <c r="E224" s="7"/>
      <c r="F224" s="9"/>
      <c r="G224" s="7"/>
      <c r="H224" s="7"/>
      <c r="I224" s="7"/>
      <c r="J224" s="7"/>
      <c r="K224" s="7"/>
      <c r="L224" s="26" t="str">
        <f t="shared" si="1"/>
        <v/>
      </c>
      <c r="M224" s="28" t="str">
        <f>IFERROR(__xludf.DUMMYFUNCTION("IF(Account!$F224&lt;&gt;"""", VALUE(REGEXREPLACE($I224, ""\,"", ""."")), """")"),"")</f>
        <v/>
      </c>
      <c r="N224" s="31" t="str">
        <f>IF(Account!$F224&lt;&gt;"", DATEVALUE(MID($A224,4,3) &amp; LEFT($A224,3) &amp; RIGHT($A224,4)) + TIMEVALUE($B224), "")</f>
        <v/>
      </c>
      <c r="O224" s="33" t="str">
        <f>IF(Account!$F224&lt;&gt;"", DATEVALUE(MID($A224,4,3) &amp; LEFT($A224,3) &amp; RIGHT($A224,4)), "")</f>
        <v/>
      </c>
      <c r="P224" s="34" t="str">
        <f>IFERROR(VLOOKUP($Q224,Selection!$F:$G,2,false))</f>
        <v/>
      </c>
      <c r="Q224" s="36" t="str">
        <f>IF(AND($X224="change",$H224="EUR"),IF(AND($Z224="Crédit",$N224=$N225),$Q225,IF(AND($Z224="Débit",$N224=$N223),$Q223)),IF(OR(AND(OR($E224&lt;&gt;"",$L224=""),$M224&lt;&gt;0),$A224=""),IFERROR(VLOOKUP($E224,Selection!$E:$F,2,false)),IFERROR(VLOOKUP(SUBSTITUTE($I224,"-","",1),$K225:$Q1119,7,false),VLOOKUP($K224,$K225:$Q1119,7,false))))</f>
        <v/>
      </c>
      <c r="R224" s="34" t="str">
        <f t="shared" si="2"/>
        <v/>
      </c>
      <c r="S224" s="37" t="str">
        <f t="shared" si="3"/>
        <v/>
      </c>
      <c r="T224" s="38" t="str">
        <f t="shared" si="4"/>
        <v/>
      </c>
      <c r="U224" s="28" t="str">
        <f t="shared" si="5"/>
        <v/>
      </c>
      <c r="V224" s="39" t="str">
        <f>IFERROR(__xludf.DUMMYFUNCTION(" IF(Account!$F224&lt;&gt;"""", SPLIT(Account!$F224, "" ""), """")"),"")</f>
        <v/>
      </c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>
      <c r="A225" s="7"/>
      <c r="B225" s="7"/>
      <c r="C225" s="7"/>
      <c r="D225" s="7"/>
      <c r="E225" s="7"/>
      <c r="F225" s="9"/>
      <c r="G225" s="7"/>
      <c r="H225" s="7"/>
      <c r="I225" s="7"/>
      <c r="J225" s="7"/>
      <c r="K225" s="7"/>
      <c r="L225" s="26" t="str">
        <f t="shared" si="1"/>
        <v/>
      </c>
      <c r="M225" s="28" t="str">
        <f>IFERROR(__xludf.DUMMYFUNCTION("IF(Account!$F225&lt;&gt;"""", VALUE(REGEXREPLACE($I225, ""\,"", ""."")), """")"),"")</f>
        <v/>
      </c>
      <c r="N225" s="31" t="str">
        <f>IF(Account!$F225&lt;&gt;"", DATEVALUE(MID($A225,4,3) &amp; LEFT($A225,3) &amp; RIGHT($A225,4)) + TIMEVALUE($B225), "")</f>
        <v/>
      </c>
      <c r="O225" s="33" t="str">
        <f>IF(Account!$F225&lt;&gt;"", DATEVALUE(MID($A225,4,3) &amp; LEFT($A225,3) &amp; RIGHT($A225,4)), "")</f>
        <v/>
      </c>
      <c r="P225" s="34" t="str">
        <f>IFERROR(VLOOKUP($Q225,Selection!$F:$G,2,false))</f>
        <v/>
      </c>
      <c r="Q225" s="36" t="str">
        <f>IF(AND($X225="change",$H225="EUR"),IF(AND($Z225="Crédit",$N225=$N226),$Q226,IF(AND($Z225="Débit",$N225=$N224),$Q224)),IF(OR(AND(OR($E225&lt;&gt;"",$L225=""),$M225&lt;&gt;0),$A225=""),IFERROR(VLOOKUP($E225,Selection!$E:$F,2,false)),IFERROR(VLOOKUP(SUBSTITUTE($I225,"-","",1),$K226:$Q1119,7,false),VLOOKUP($K225,$K226:$Q1119,7,false))))</f>
        <v/>
      </c>
      <c r="R225" s="34" t="str">
        <f t="shared" si="2"/>
        <v/>
      </c>
      <c r="S225" s="37" t="str">
        <f t="shared" si="3"/>
        <v/>
      </c>
      <c r="T225" s="38" t="str">
        <f t="shared" si="4"/>
        <v/>
      </c>
      <c r="U225" s="28" t="str">
        <f t="shared" si="5"/>
        <v/>
      </c>
      <c r="V225" s="39" t="str">
        <f>IFERROR(__xludf.DUMMYFUNCTION(" IF(Account!$F225&lt;&gt;"""", SPLIT(Account!$F225, "" ""), """")"),"")</f>
        <v/>
      </c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>
      <c r="A226" s="7"/>
      <c r="B226" s="7"/>
      <c r="C226" s="7"/>
      <c r="D226" s="7"/>
      <c r="E226" s="7"/>
      <c r="F226" s="9"/>
      <c r="G226" s="7"/>
      <c r="H226" s="7"/>
      <c r="I226" s="7"/>
      <c r="J226" s="7"/>
      <c r="K226" s="7"/>
      <c r="L226" s="26" t="str">
        <f t="shared" si="1"/>
        <v/>
      </c>
      <c r="M226" s="28" t="str">
        <f>IFERROR(__xludf.DUMMYFUNCTION("IF(Account!$F226&lt;&gt;"""", VALUE(REGEXREPLACE($I226, ""\,"", ""."")), """")"),"")</f>
        <v/>
      </c>
      <c r="N226" s="31" t="str">
        <f>IF(Account!$F226&lt;&gt;"", DATEVALUE(MID($A226,4,3) &amp; LEFT($A226,3) &amp; RIGHT($A226,4)) + TIMEVALUE($B226), "")</f>
        <v/>
      </c>
      <c r="O226" s="33" t="str">
        <f>IF(Account!$F226&lt;&gt;"", DATEVALUE(MID($A226,4,3) &amp; LEFT($A226,3) &amp; RIGHT($A226,4)), "")</f>
        <v/>
      </c>
      <c r="P226" s="34" t="str">
        <f>IFERROR(VLOOKUP($Q226,Selection!$F:$G,2,false))</f>
        <v/>
      </c>
      <c r="Q226" s="36" t="str">
        <f>IF(AND($X226="change",$H226="EUR"),IF(AND($Z226="Crédit",$N226=$N227),$Q227,IF(AND($Z226="Débit",$N226=$N225),$Q225)),IF(OR(AND(OR($E226&lt;&gt;"",$L226=""),$M226&lt;&gt;0),$A226=""),IFERROR(VLOOKUP($E226,Selection!$E:$F,2,false)),IFERROR(VLOOKUP(SUBSTITUTE($I226,"-","",1),$K227:$Q1119,7,false),VLOOKUP($K226,$K227:$Q1119,7,false))))</f>
        <v/>
      </c>
      <c r="R226" s="34" t="str">
        <f t="shared" si="2"/>
        <v/>
      </c>
      <c r="S226" s="37" t="str">
        <f t="shared" si="3"/>
        <v/>
      </c>
      <c r="T226" s="38" t="str">
        <f t="shared" si="4"/>
        <v/>
      </c>
      <c r="U226" s="28" t="str">
        <f t="shared" si="5"/>
        <v/>
      </c>
      <c r="V226" s="39" t="str">
        <f>IFERROR(__xludf.DUMMYFUNCTION(" IF(Account!$F226&lt;&gt;"""", SPLIT(Account!$F226, "" ""), """")"),"")</f>
        <v/>
      </c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>
      <c r="A227" s="7"/>
      <c r="B227" s="7"/>
      <c r="C227" s="7"/>
      <c r="D227" s="7"/>
      <c r="E227" s="7"/>
      <c r="F227" s="9"/>
      <c r="G227" s="7"/>
      <c r="H227" s="7"/>
      <c r="I227" s="7"/>
      <c r="J227" s="7"/>
      <c r="K227" s="7"/>
      <c r="L227" s="26" t="str">
        <f t="shared" si="1"/>
        <v/>
      </c>
      <c r="M227" s="28" t="str">
        <f>IFERROR(__xludf.DUMMYFUNCTION("IF(Account!$F227&lt;&gt;"""", VALUE(REGEXREPLACE($I227, ""\,"", ""."")), """")"),"")</f>
        <v/>
      </c>
      <c r="N227" s="31" t="str">
        <f>IF(Account!$F227&lt;&gt;"", DATEVALUE(MID($A227,4,3) &amp; LEFT($A227,3) &amp; RIGHT($A227,4)) + TIMEVALUE($B227), "")</f>
        <v/>
      </c>
      <c r="O227" s="33" t="str">
        <f>IF(Account!$F227&lt;&gt;"", DATEVALUE(MID($A227,4,3) &amp; LEFT($A227,3) &amp; RIGHT($A227,4)), "")</f>
        <v/>
      </c>
      <c r="P227" s="34" t="str">
        <f>IFERROR(VLOOKUP($Q227,Selection!$F:$G,2,false))</f>
        <v/>
      </c>
      <c r="Q227" s="36" t="str">
        <f>IF(AND($X227="change",$H227="EUR"),IF(AND($Z227="Crédit",$N227=$N228),$Q228,IF(AND($Z227="Débit",$N227=$N226),$Q226)),IF(OR(AND(OR($E227&lt;&gt;"",$L227=""),$M227&lt;&gt;0),$A227=""),IFERROR(VLOOKUP($E227,Selection!$E:$F,2,false)),IFERROR(VLOOKUP(SUBSTITUTE($I227,"-","",1),$K228:$Q1119,7,false),VLOOKUP($K227,$K228:$Q1119,7,false))))</f>
        <v/>
      </c>
      <c r="R227" s="34" t="str">
        <f t="shared" si="2"/>
        <v/>
      </c>
      <c r="S227" s="37" t="str">
        <f t="shared" si="3"/>
        <v/>
      </c>
      <c r="T227" s="38" t="str">
        <f t="shared" si="4"/>
        <v/>
      </c>
      <c r="U227" s="28" t="str">
        <f t="shared" si="5"/>
        <v/>
      </c>
      <c r="V227" s="39" t="str">
        <f>IFERROR(__xludf.DUMMYFUNCTION(" IF(Account!$F227&lt;&gt;"""", SPLIT(Account!$F227, "" ""), """")"),"")</f>
        <v/>
      </c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</row>
    <row r="228">
      <c r="A228" s="7"/>
      <c r="B228" s="7"/>
      <c r="C228" s="7"/>
      <c r="D228" s="7"/>
      <c r="E228" s="7"/>
      <c r="F228" s="9"/>
      <c r="G228" s="7"/>
      <c r="H228" s="7"/>
      <c r="I228" s="7"/>
      <c r="J228" s="7"/>
      <c r="K228" s="7"/>
      <c r="L228" s="26" t="str">
        <f t="shared" si="1"/>
        <v/>
      </c>
      <c r="M228" s="28" t="str">
        <f>IFERROR(__xludf.DUMMYFUNCTION("IF(Account!$F228&lt;&gt;"""", VALUE(REGEXREPLACE($I228, ""\,"", ""."")), """")"),"")</f>
        <v/>
      </c>
      <c r="N228" s="31" t="str">
        <f>IF(Account!$F228&lt;&gt;"", DATEVALUE(MID($A228,4,3) &amp; LEFT($A228,3) &amp; RIGHT($A228,4)) + TIMEVALUE($B228), "")</f>
        <v/>
      </c>
      <c r="O228" s="33" t="str">
        <f>IF(Account!$F228&lt;&gt;"", DATEVALUE(MID($A228,4,3) &amp; LEFT($A228,3) &amp; RIGHT($A228,4)), "")</f>
        <v/>
      </c>
      <c r="P228" s="34" t="str">
        <f>IFERROR(VLOOKUP($Q228,Selection!$F:$G,2,false))</f>
        <v/>
      </c>
      <c r="Q228" s="36" t="str">
        <f>IF(AND($X228="change",$H228="EUR"),IF(AND($Z228="Crédit",$N228=$N229),$Q229,IF(AND($Z228="Débit",$N228=$N227),$Q227)),IF(OR(AND(OR($E228&lt;&gt;"",$L228=""),$M228&lt;&gt;0),$A228=""),IFERROR(VLOOKUP($E228,Selection!$E:$F,2,false)),IFERROR(VLOOKUP(SUBSTITUTE($I228,"-","",1),$K229:$Q1119,7,false),VLOOKUP($K228,$K229:$Q1119,7,false))))</f>
        <v/>
      </c>
      <c r="R228" s="34" t="str">
        <f t="shared" si="2"/>
        <v/>
      </c>
      <c r="S228" s="37" t="str">
        <f t="shared" si="3"/>
        <v/>
      </c>
      <c r="T228" s="38" t="str">
        <f t="shared" si="4"/>
        <v/>
      </c>
      <c r="U228" s="28" t="str">
        <f t="shared" si="5"/>
        <v/>
      </c>
      <c r="V228" s="39" t="str">
        <f>IFERROR(__xludf.DUMMYFUNCTION(" IF(Account!$F228&lt;&gt;"""", SPLIT(Account!$F228, "" ""), """")"),"")</f>
        <v/>
      </c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</row>
    <row r="229">
      <c r="A229" s="7"/>
      <c r="B229" s="7"/>
      <c r="C229" s="7"/>
      <c r="D229" s="7"/>
      <c r="E229" s="7"/>
      <c r="F229" s="9"/>
      <c r="G229" s="7"/>
      <c r="H229" s="7"/>
      <c r="I229" s="7"/>
      <c r="J229" s="7"/>
      <c r="K229" s="7"/>
      <c r="L229" s="26" t="str">
        <f t="shared" si="1"/>
        <v/>
      </c>
      <c r="M229" s="28" t="str">
        <f>IFERROR(__xludf.DUMMYFUNCTION("IF(Account!$F229&lt;&gt;"""", VALUE(REGEXREPLACE($I229, ""\,"", ""."")), """")"),"")</f>
        <v/>
      </c>
      <c r="N229" s="31" t="str">
        <f>IF(Account!$F229&lt;&gt;"", DATEVALUE(MID($A229,4,3) &amp; LEFT($A229,3) &amp; RIGHT($A229,4)) + TIMEVALUE($B229), "")</f>
        <v/>
      </c>
      <c r="O229" s="33" t="str">
        <f>IF(Account!$F229&lt;&gt;"", DATEVALUE(MID($A229,4,3) &amp; LEFT($A229,3) &amp; RIGHT($A229,4)), "")</f>
        <v/>
      </c>
      <c r="P229" s="34" t="str">
        <f>IFERROR(VLOOKUP($Q229,Selection!$F:$G,2,false))</f>
        <v/>
      </c>
      <c r="Q229" s="36" t="str">
        <f>IF(AND($X229="change",$H229="EUR"),IF(AND($Z229="Crédit",$N229=$N230),$Q230,IF(AND($Z229="Débit",$N229=$N228),$Q228)),IF(OR(AND(OR($E229&lt;&gt;"",$L229=""),$M229&lt;&gt;0),$A229=""),IFERROR(VLOOKUP($E229,Selection!$E:$F,2,false)),IFERROR(VLOOKUP(SUBSTITUTE($I229,"-","",1),$K230:$Q1119,7,false),VLOOKUP($K229,$K230:$Q1119,7,false))))</f>
        <v/>
      </c>
      <c r="R229" s="34" t="str">
        <f t="shared" si="2"/>
        <v/>
      </c>
      <c r="S229" s="37" t="str">
        <f t="shared" si="3"/>
        <v/>
      </c>
      <c r="T229" s="38" t="str">
        <f t="shared" si="4"/>
        <v/>
      </c>
      <c r="U229" s="28" t="str">
        <f t="shared" si="5"/>
        <v/>
      </c>
      <c r="V229" s="39" t="str">
        <f>IFERROR(__xludf.DUMMYFUNCTION(" IF(Account!$F229&lt;&gt;"""", SPLIT(Account!$F229, "" ""), """")"),"")</f>
        <v/>
      </c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</row>
    <row r="230">
      <c r="A230" s="7"/>
      <c r="B230" s="7"/>
      <c r="C230" s="7"/>
      <c r="D230" s="7"/>
      <c r="E230" s="7"/>
      <c r="F230" s="9"/>
      <c r="G230" s="341"/>
      <c r="H230" s="7"/>
      <c r="I230" s="7"/>
      <c r="J230" s="7"/>
      <c r="K230" s="7"/>
      <c r="L230" s="26" t="str">
        <f t="shared" si="1"/>
        <v/>
      </c>
      <c r="M230" s="28" t="str">
        <f>IFERROR(__xludf.DUMMYFUNCTION("IF(Account!$F230&lt;&gt;"""", VALUE(REGEXREPLACE($I230, ""\,"", ""."")), """")"),"")</f>
        <v/>
      </c>
      <c r="N230" s="31" t="str">
        <f>IF(Account!$F230&lt;&gt;"", DATEVALUE(MID($A230,4,3) &amp; LEFT($A230,3) &amp; RIGHT($A230,4)) + TIMEVALUE($B230), "")</f>
        <v/>
      </c>
      <c r="O230" s="33" t="str">
        <f>IF(Account!$F230&lt;&gt;"", DATEVALUE(MID($A230,4,3) &amp; LEFT($A230,3) &amp; RIGHT($A230,4)), "")</f>
        <v/>
      </c>
      <c r="P230" s="34" t="str">
        <f>IFERROR(VLOOKUP($Q230,Selection!$F:$G,2,false))</f>
        <v/>
      </c>
      <c r="Q230" s="36" t="str">
        <f>IF(AND($X230="change",$H230="EUR"),IF(AND($Z230="Crédit",$N230=$N231),$Q231,IF(AND($Z230="Débit",$N230=$N229),$Q229)),IF(OR(AND(OR($E230&lt;&gt;"",$L230=""),$M230&lt;&gt;0),$A230=""),IFERROR(VLOOKUP($E230,Selection!$E:$F,2,false)),IFERROR(VLOOKUP(SUBSTITUTE($I230,"-","",1),$K231:$Q1119,7,false),VLOOKUP($K230,$K231:$Q1119,7,false))))</f>
        <v/>
      </c>
      <c r="R230" s="34" t="str">
        <f t="shared" si="2"/>
        <v/>
      </c>
      <c r="S230" s="37" t="str">
        <f t="shared" si="3"/>
        <v/>
      </c>
      <c r="T230" s="38" t="str">
        <f t="shared" si="4"/>
        <v/>
      </c>
      <c r="U230" s="28" t="str">
        <f t="shared" si="5"/>
        <v/>
      </c>
      <c r="V230" s="39" t="str">
        <f>IFERROR(__xludf.DUMMYFUNCTION(" IF(Account!$F230&lt;&gt;"""", SPLIT(Account!$F230, "" ""), """")"),"")</f>
        <v/>
      </c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>
      <c r="A231" s="7"/>
      <c r="B231" s="7"/>
      <c r="C231" s="7"/>
      <c r="D231" s="7"/>
      <c r="E231" s="7"/>
      <c r="F231" s="9"/>
      <c r="G231" s="7"/>
      <c r="H231" s="7"/>
      <c r="I231" s="7"/>
      <c r="J231" s="7"/>
      <c r="K231" s="7"/>
      <c r="L231" s="26" t="str">
        <f t="shared" si="1"/>
        <v/>
      </c>
      <c r="M231" s="28" t="str">
        <f>IFERROR(__xludf.DUMMYFUNCTION("IF(Account!$F231&lt;&gt;"""", VALUE(REGEXREPLACE($I231, ""\,"", ""."")), """")"),"")</f>
        <v/>
      </c>
      <c r="N231" s="31" t="str">
        <f>IF(Account!$F231&lt;&gt;"", DATEVALUE(MID($A231,4,3) &amp; LEFT($A231,3) &amp; RIGHT($A231,4)) + TIMEVALUE($B231), "")</f>
        <v/>
      </c>
      <c r="O231" s="33" t="str">
        <f>IF(Account!$F231&lt;&gt;"", DATEVALUE(MID($A231,4,3) &amp; LEFT($A231,3) &amp; RIGHT($A231,4)), "")</f>
        <v/>
      </c>
      <c r="P231" s="34" t="str">
        <f>IFERROR(VLOOKUP($Q231,Selection!$F:$G,2,false))</f>
        <v/>
      </c>
      <c r="Q231" s="36" t="str">
        <f>IF(AND($X231="change",$H231="EUR"),IF(AND($Z231="Crédit",$N231=$N232),$Q232,IF(AND($Z231="Débit",$N231=$N230),$Q230)),IF(OR(AND(OR($E231&lt;&gt;"",$L231=""),$M231&lt;&gt;0),$A231=""),IFERROR(VLOOKUP($E231,Selection!$E:$F,2,false)),IFERROR(VLOOKUP(SUBSTITUTE($I231,"-","",1),$K232:$Q1119,7,false),VLOOKUP($K231,$K232:$Q1119,7,false))))</f>
        <v/>
      </c>
      <c r="R231" s="34" t="str">
        <f t="shared" si="2"/>
        <v/>
      </c>
      <c r="S231" s="37" t="str">
        <f t="shared" si="3"/>
        <v/>
      </c>
      <c r="T231" s="38" t="str">
        <f t="shared" si="4"/>
        <v/>
      </c>
      <c r="U231" s="28" t="str">
        <f t="shared" si="5"/>
        <v/>
      </c>
      <c r="V231" s="39" t="str">
        <f>IFERROR(__xludf.DUMMYFUNCTION(" IF(Account!$F231&lt;&gt;"""", SPLIT(Account!$F231, "" ""), """")"),"")</f>
        <v/>
      </c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>
      <c r="A232" s="7"/>
      <c r="B232" s="7"/>
      <c r="C232" s="7"/>
      <c r="D232" s="7"/>
      <c r="E232" s="7"/>
      <c r="F232" s="9"/>
      <c r="G232" s="341"/>
      <c r="H232" s="7"/>
      <c r="I232" s="7"/>
      <c r="J232" s="7"/>
      <c r="K232" s="7"/>
      <c r="L232" s="26" t="str">
        <f t="shared" si="1"/>
        <v/>
      </c>
      <c r="M232" s="28" t="str">
        <f>IFERROR(__xludf.DUMMYFUNCTION("IF(Account!$F232&lt;&gt;"""", VALUE(REGEXREPLACE($I232, ""\,"", ""."")), """")"),"")</f>
        <v/>
      </c>
      <c r="N232" s="31" t="str">
        <f>IF(Account!$F232&lt;&gt;"", DATEVALUE(MID($A232,4,3) &amp; LEFT($A232,3) &amp; RIGHT($A232,4)) + TIMEVALUE($B232), "")</f>
        <v/>
      </c>
      <c r="O232" s="33" t="str">
        <f>IF(Account!$F232&lt;&gt;"", DATEVALUE(MID($A232,4,3) &amp; LEFT($A232,3) &amp; RIGHT($A232,4)), "")</f>
        <v/>
      </c>
      <c r="P232" s="34" t="str">
        <f>IFERROR(VLOOKUP($Q232,Selection!$F:$G,2,false))</f>
        <v/>
      </c>
      <c r="Q232" s="36" t="str">
        <f>IF(AND($X232="change",$H232="EUR"),IF(AND($Z232="Crédit",$N232=$N233),$Q233,IF(AND($Z232="Débit",$N232=$N231),$Q231)),IF(OR(AND(OR($E232&lt;&gt;"",$L232=""),$M232&lt;&gt;0),$A232=""),IFERROR(VLOOKUP($E232,Selection!$E:$F,2,false)),IFERROR(VLOOKUP(SUBSTITUTE($I232,"-","",1),$K233:$Q1119,7,false),VLOOKUP($K232,$K233:$Q1119,7,false))))</f>
        <v/>
      </c>
      <c r="R232" s="34" t="str">
        <f t="shared" si="2"/>
        <v/>
      </c>
      <c r="S232" s="37" t="str">
        <f t="shared" si="3"/>
        <v/>
      </c>
      <c r="T232" s="38" t="str">
        <f t="shared" si="4"/>
        <v/>
      </c>
      <c r="U232" s="28" t="str">
        <f t="shared" si="5"/>
        <v/>
      </c>
      <c r="V232" s="39" t="str">
        <f>IFERROR(__xludf.DUMMYFUNCTION(" IF(Account!$F232&lt;&gt;"""", SPLIT(Account!$F232, "" ""), """")"),"")</f>
        <v/>
      </c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>
      <c r="A233" s="7"/>
      <c r="B233" s="7"/>
      <c r="C233" s="7"/>
      <c r="D233" s="7"/>
      <c r="E233" s="7"/>
      <c r="F233" s="9"/>
      <c r="G233" s="7"/>
      <c r="H233" s="7"/>
      <c r="I233" s="7"/>
      <c r="J233" s="7"/>
      <c r="K233" s="7"/>
      <c r="L233" s="26" t="str">
        <f t="shared" si="1"/>
        <v/>
      </c>
      <c r="M233" s="28" t="str">
        <f>IFERROR(__xludf.DUMMYFUNCTION("IF(Account!$F233&lt;&gt;"""", VALUE(REGEXREPLACE($I233, ""\,"", ""."")), """")"),"")</f>
        <v/>
      </c>
      <c r="N233" s="31" t="str">
        <f>IF(Account!$F233&lt;&gt;"", DATEVALUE(MID($A233,4,3) &amp; LEFT($A233,3) &amp; RIGHT($A233,4)) + TIMEVALUE($B233), "")</f>
        <v/>
      </c>
      <c r="O233" s="33" t="str">
        <f>IF(Account!$F233&lt;&gt;"", DATEVALUE(MID($A233,4,3) &amp; LEFT($A233,3) &amp; RIGHT($A233,4)), "")</f>
        <v/>
      </c>
      <c r="P233" s="34" t="str">
        <f>IFERROR(VLOOKUP($Q233,Selection!$F:$G,2,false))</f>
        <v/>
      </c>
      <c r="Q233" s="36" t="str">
        <f>IF(AND($X233="change",$H233="EUR"),IF(AND($Z233="Crédit",$N233=$N234),$Q234,IF(AND($Z233="Débit",$N233=$N232),$Q232)),IF(OR(AND(OR($E233&lt;&gt;"",$L233=""),$M233&lt;&gt;0),$A233=""),IFERROR(VLOOKUP($E233,Selection!$E:$F,2,false)),IFERROR(VLOOKUP(SUBSTITUTE($I233,"-","",1),$K234:$Q1119,7,false),VLOOKUP($K233,$K234:$Q1119,7,false))))</f>
        <v/>
      </c>
      <c r="R233" s="34" t="str">
        <f t="shared" si="2"/>
        <v/>
      </c>
      <c r="S233" s="37" t="str">
        <f t="shared" si="3"/>
        <v/>
      </c>
      <c r="T233" s="38" t="str">
        <f t="shared" si="4"/>
        <v/>
      </c>
      <c r="U233" s="28" t="str">
        <f t="shared" si="5"/>
        <v/>
      </c>
      <c r="V233" s="39" t="str">
        <f>IFERROR(__xludf.DUMMYFUNCTION(" IF(Account!$F233&lt;&gt;"""", SPLIT(Account!$F233, "" ""), """")"),"")</f>
        <v/>
      </c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>
      <c r="A234" s="7"/>
      <c r="B234" s="7"/>
      <c r="C234" s="7"/>
      <c r="D234" s="7"/>
      <c r="E234" s="7"/>
      <c r="F234" s="9"/>
      <c r="G234" s="341"/>
      <c r="H234" s="7"/>
      <c r="I234" s="7"/>
      <c r="J234" s="7"/>
      <c r="K234" s="7"/>
      <c r="L234" s="26" t="str">
        <f t="shared" si="1"/>
        <v/>
      </c>
      <c r="M234" s="28" t="str">
        <f>IFERROR(__xludf.DUMMYFUNCTION("IF(Account!$F234&lt;&gt;"""", VALUE(REGEXREPLACE($I234, ""\,"", ""."")), """")"),"")</f>
        <v/>
      </c>
      <c r="N234" s="31" t="str">
        <f>IF(Account!$F234&lt;&gt;"", DATEVALUE(MID($A234,4,3) &amp; LEFT($A234,3) &amp; RIGHT($A234,4)) + TIMEVALUE($B234), "")</f>
        <v/>
      </c>
      <c r="O234" s="33" t="str">
        <f>IF(Account!$F234&lt;&gt;"", DATEVALUE(MID($A234,4,3) &amp; LEFT($A234,3) &amp; RIGHT($A234,4)), "")</f>
        <v/>
      </c>
      <c r="P234" s="34" t="str">
        <f>IFERROR(VLOOKUP($Q234,Selection!$F:$G,2,false))</f>
        <v/>
      </c>
      <c r="Q234" s="36" t="str">
        <f>IF(AND($X234="change",$H234="EUR"),IF(AND($Z234="Crédit",$N234=$N235),$Q235,IF(AND($Z234="Débit",$N234=$N233),$Q233)),IF(OR(AND(OR($E234&lt;&gt;"",$L234=""),$M234&lt;&gt;0),$A234=""),IFERROR(VLOOKUP($E234,Selection!$E:$F,2,false)),IFERROR(VLOOKUP(SUBSTITUTE($I234,"-","",1),$K235:$Q1119,7,false),VLOOKUP($K234,$K235:$Q1119,7,false))))</f>
        <v/>
      </c>
      <c r="R234" s="34" t="str">
        <f t="shared" si="2"/>
        <v/>
      </c>
      <c r="S234" s="37" t="str">
        <f t="shared" si="3"/>
        <v/>
      </c>
      <c r="T234" s="38" t="str">
        <f t="shared" si="4"/>
        <v/>
      </c>
      <c r="U234" s="28" t="str">
        <f t="shared" si="5"/>
        <v/>
      </c>
      <c r="V234" s="39" t="str">
        <f>IFERROR(__xludf.DUMMYFUNCTION(" IF(Account!$F234&lt;&gt;"""", SPLIT(Account!$F234, "" ""), """")"),"")</f>
        <v/>
      </c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>
      <c r="A235" s="7"/>
      <c r="B235" s="7"/>
      <c r="C235" s="7"/>
      <c r="D235" s="7"/>
      <c r="E235" s="7"/>
      <c r="F235" s="9"/>
      <c r="G235" s="7"/>
      <c r="H235" s="7"/>
      <c r="I235" s="7"/>
      <c r="J235" s="7"/>
      <c r="K235" s="7"/>
      <c r="L235" s="26" t="str">
        <f t="shared" si="1"/>
        <v/>
      </c>
      <c r="M235" s="28" t="str">
        <f>IFERROR(__xludf.DUMMYFUNCTION("IF(Account!$F235&lt;&gt;"""", VALUE(REGEXREPLACE($I235, ""\,"", ""."")), """")"),"")</f>
        <v/>
      </c>
      <c r="N235" s="31" t="str">
        <f>IF(Account!$F235&lt;&gt;"", DATEVALUE(MID($A235,4,3) &amp; LEFT($A235,3) &amp; RIGHT($A235,4)) + TIMEVALUE($B235), "")</f>
        <v/>
      </c>
      <c r="O235" s="33" t="str">
        <f>IF(Account!$F235&lt;&gt;"", DATEVALUE(MID($A235,4,3) &amp; LEFT($A235,3) &amp; RIGHT($A235,4)), "")</f>
        <v/>
      </c>
      <c r="P235" s="34" t="str">
        <f>IFERROR(VLOOKUP($Q235,Selection!$F:$G,2,false))</f>
        <v/>
      </c>
      <c r="Q235" s="36" t="str">
        <f>IF(AND($X235="change",$H235="EUR"),IF(AND($Z235="Crédit",$N235=$N236),$Q236,IF(AND($Z235="Débit",$N235=$N234),$Q234)),IF(OR(AND(OR($E235&lt;&gt;"",$L235=""),$M235&lt;&gt;0),$A235=""),IFERROR(VLOOKUP($E235,Selection!$E:$F,2,false)),IFERROR(VLOOKUP(SUBSTITUTE($I235,"-","",1),$K236:$Q1119,7,false),VLOOKUP($K235,$K236:$Q1119,7,false))))</f>
        <v/>
      </c>
      <c r="R235" s="34" t="str">
        <f t="shared" si="2"/>
        <v/>
      </c>
      <c r="S235" s="37" t="str">
        <f t="shared" si="3"/>
        <v/>
      </c>
      <c r="T235" s="38" t="str">
        <f t="shared" si="4"/>
        <v/>
      </c>
      <c r="U235" s="28" t="str">
        <f t="shared" si="5"/>
        <v/>
      </c>
      <c r="V235" s="39" t="str">
        <f>IFERROR(__xludf.DUMMYFUNCTION(" IF(Account!$F235&lt;&gt;"""", SPLIT(Account!$F235, "" ""), """")"),"")</f>
        <v/>
      </c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</row>
    <row r="236">
      <c r="A236" s="7"/>
      <c r="B236" s="7"/>
      <c r="C236" s="7"/>
      <c r="D236" s="7"/>
      <c r="E236" s="7"/>
      <c r="F236" s="9"/>
      <c r="G236" s="7"/>
      <c r="H236" s="7"/>
      <c r="I236" s="7"/>
      <c r="J236" s="7"/>
      <c r="K236" s="7"/>
      <c r="L236" s="26" t="str">
        <f t="shared" si="1"/>
        <v/>
      </c>
      <c r="M236" s="28" t="str">
        <f>IFERROR(__xludf.DUMMYFUNCTION("IF(Account!$F236&lt;&gt;"""", VALUE(REGEXREPLACE($I236, ""\,"", ""."")), """")"),"")</f>
        <v/>
      </c>
      <c r="N236" s="31" t="str">
        <f>IF(Account!$F236&lt;&gt;"", DATEVALUE(MID($A236,4,3) &amp; LEFT($A236,3) &amp; RIGHT($A236,4)) + TIMEVALUE($B236), "")</f>
        <v/>
      </c>
      <c r="O236" s="33" t="str">
        <f>IF(Account!$F236&lt;&gt;"", DATEVALUE(MID($A236,4,3) &amp; LEFT($A236,3) &amp; RIGHT($A236,4)), "")</f>
        <v/>
      </c>
      <c r="P236" s="34" t="str">
        <f>IFERROR(VLOOKUP($Q236,Selection!$F:$G,2,false))</f>
        <v/>
      </c>
      <c r="Q236" s="36" t="str">
        <f>IF(AND($X236="change",$H236="EUR"),IF(AND($Z236="Crédit",$N236=$N237),$Q237,IF(AND($Z236="Débit",$N236=$N235),$Q235)),IF(OR(AND(OR($E236&lt;&gt;"",$L236=""),$M236&lt;&gt;0),$A236=""),IFERROR(VLOOKUP($E236,Selection!$E:$F,2,false)),IFERROR(VLOOKUP(SUBSTITUTE($I236,"-","",1),$K237:$Q1119,7,false),VLOOKUP($K236,$K237:$Q1119,7,false))))</f>
        <v/>
      </c>
      <c r="R236" s="34" t="str">
        <f t="shared" si="2"/>
        <v/>
      </c>
      <c r="S236" s="37" t="str">
        <f t="shared" si="3"/>
        <v/>
      </c>
      <c r="T236" s="38" t="str">
        <f t="shared" si="4"/>
        <v/>
      </c>
      <c r="U236" s="28" t="str">
        <f t="shared" si="5"/>
        <v/>
      </c>
      <c r="V236" s="39" t="str">
        <f>IFERROR(__xludf.DUMMYFUNCTION(" IF(Account!$F236&lt;&gt;"""", SPLIT(Account!$F236, "" ""), """")"),"")</f>
        <v/>
      </c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</row>
    <row r="237">
      <c r="A237" s="7"/>
      <c r="B237" s="7"/>
      <c r="C237" s="7"/>
      <c r="D237" s="7"/>
      <c r="E237" s="7"/>
      <c r="F237" s="9"/>
      <c r="G237" s="7"/>
      <c r="H237" s="7"/>
      <c r="I237" s="7"/>
      <c r="J237" s="7"/>
      <c r="K237" s="7"/>
      <c r="L237" s="26" t="str">
        <f t="shared" si="1"/>
        <v/>
      </c>
      <c r="M237" s="28" t="str">
        <f>IFERROR(__xludf.DUMMYFUNCTION("IF(Account!$F237&lt;&gt;"""", VALUE(REGEXREPLACE($I237, ""\,"", ""."")), """")"),"")</f>
        <v/>
      </c>
      <c r="N237" s="31" t="str">
        <f>IF(Account!$F237&lt;&gt;"", DATEVALUE(MID($A237,4,3) &amp; LEFT($A237,3) &amp; RIGHT($A237,4)) + TIMEVALUE($B237), "")</f>
        <v/>
      </c>
      <c r="O237" s="33" t="str">
        <f>IF(Account!$F237&lt;&gt;"", DATEVALUE(MID($A237,4,3) &amp; LEFT($A237,3) &amp; RIGHT($A237,4)), "")</f>
        <v/>
      </c>
      <c r="P237" s="34" t="str">
        <f>IFERROR(VLOOKUP($Q237,Selection!$F:$G,2,false))</f>
        <v/>
      </c>
      <c r="Q237" s="36" t="str">
        <f>IF(AND($X237="change",$H237="EUR"),IF(AND($Z237="Crédit",$N237=$N238),$Q238,IF(AND($Z237="Débit",$N237=$N236),$Q236)),IF(OR(AND(OR($E237&lt;&gt;"",$L237=""),$M237&lt;&gt;0),$A237=""),IFERROR(VLOOKUP($E237,Selection!$E:$F,2,false)),IFERROR(VLOOKUP(SUBSTITUTE($I237,"-","",1),$K238:$Q1119,7,false),VLOOKUP($K237,$K238:$Q1119,7,false))))</f>
        <v/>
      </c>
      <c r="R237" s="34" t="str">
        <f t="shared" si="2"/>
        <v/>
      </c>
      <c r="S237" s="37" t="str">
        <f t="shared" si="3"/>
        <v/>
      </c>
      <c r="T237" s="38" t="str">
        <f t="shared" si="4"/>
        <v/>
      </c>
      <c r="U237" s="28" t="str">
        <f t="shared" si="5"/>
        <v/>
      </c>
      <c r="V237" s="39" t="str">
        <f>IFERROR(__xludf.DUMMYFUNCTION(" IF(Account!$F237&lt;&gt;"""", SPLIT(Account!$F237, "" ""), """")"),"")</f>
        <v/>
      </c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</row>
    <row r="238">
      <c r="A238" s="7"/>
      <c r="B238" s="7"/>
      <c r="C238" s="7"/>
      <c r="D238" s="7"/>
      <c r="E238" s="7"/>
      <c r="F238" s="9"/>
      <c r="G238" s="341"/>
      <c r="H238" s="7"/>
      <c r="I238" s="7"/>
      <c r="J238" s="7"/>
      <c r="K238" s="7"/>
      <c r="L238" s="26" t="str">
        <f t="shared" si="1"/>
        <v/>
      </c>
      <c r="M238" s="28" t="str">
        <f>IFERROR(__xludf.DUMMYFUNCTION("IF(Account!$F238&lt;&gt;"""", VALUE(REGEXREPLACE($I238, ""\,"", ""."")), """")"),"")</f>
        <v/>
      </c>
      <c r="N238" s="31" t="str">
        <f>IF(Account!$F238&lt;&gt;"", DATEVALUE(MID($A238,4,3) &amp; LEFT($A238,3) &amp; RIGHT($A238,4)) + TIMEVALUE($B238), "")</f>
        <v/>
      </c>
      <c r="O238" s="33" t="str">
        <f>IF(Account!$F238&lt;&gt;"", DATEVALUE(MID($A238,4,3) &amp; LEFT($A238,3) &amp; RIGHT($A238,4)), "")</f>
        <v/>
      </c>
      <c r="P238" s="34" t="str">
        <f>IFERROR(VLOOKUP($Q238,Selection!$F:$G,2,false))</f>
        <v/>
      </c>
      <c r="Q238" s="36" t="str">
        <f>IF(AND($X238="change",$H238="EUR"),IF(AND($Z238="Crédit",$N238=$N239),$Q239,IF(AND($Z238="Débit",$N238=$N237),$Q237)),IF(OR(AND(OR($E238&lt;&gt;"",$L238=""),$M238&lt;&gt;0),$A238=""),IFERROR(VLOOKUP($E238,Selection!$E:$F,2,false)),IFERROR(VLOOKUP(SUBSTITUTE($I238,"-","",1),$K239:$Q1119,7,false),VLOOKUP($K238,$K239:$Q1119,7,false))))</f>
        <v/>
      </c>
      <c r="R238" s="34" t="str">
        <f t="shared" si="2"/>
        <v/>
      </c>
      <c r="S238" s="37" t="str">
        <f t="shared" si="3"/>
        <v/>
      </c>
      <c r="T238" s="38" t="str">
        <f t="shared" si="4"/>
        <v/>
      </c>
      <c r="U238" s="28" t="str">
        <f t="shared" si="5"/>
        <v/>
      </c>
      <c r="V238" s="39" t="str">
        <f>IFERROR(__xludf.DUMMYFUNCTION(" IF(Account!$F238&lt;&gt;"""", SPLIT(Account!$F238, "" ""), """")"),"")</f>
        <v/>
      </c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>
      <c r="A239" s="7"/>
      <c r="B239" s="7"/>
      <c r="C239" s="7"/>
      <c r="D239" s="7"/>
      <c r="E239" s="7"/>
      <c r="F239" s="9"/>
      <c r="G239" s="7"/>
      <c r="H239" s="7"/>
      <c r="I239" s="7"/>
      <c r="J239" s="7"/>
      <c r="K239" s="7"/>
      <c r="L239" s="26" t="str">
        <f t="shared" si="1"/>
        <v/>
      </c>
      <c r="M239" s="28" t="str">
        <f>IFERROR(__xludf.DUMMYFUNCTION("IF(Account!$F239&lt;&gt;"""", VALUE(REGEXREPLACE($I239, ""\,"", ""."")), """")"),"")</f>
        <v/>
      </c>
      <c r="N239" s="31" t="str">
        <f>IF(Account!$F239&lt;&gt;"", DATEVALUE(MID($A239,4,3) &amp; LEFT($A239,3) &amp; RIGHT($A239,4)) + TIMEVALUE($B239), "")</f>
        <v/>
      </c>
      <c r="O239" s="33" t="str">
        <f>IF(Account!$F239&lt;&gt;"", DATEVALUE(MID($A239,4,3) &amp; LEFT($A239,3) &amp; RIGHT($A239,4)), "")</f>
        <v/>
      </c>
      <c r="P239" s="34" t="str">
        <f>IFERROR(VLOOKUP($Q239,Selection!$F:$G,2,false))</f>
        <v/>
      </c>
      <c r="Q239" s="36" t="str">
        <f>IF(AND($X239="change",$H239="EUR"),IF(AND($Z239="Crédit",$N239=$N240),$Q240,IF(AND($Z239="Débit",$N239=$N238),$Q238)),IF(OR(AND(OR($E239&lt;&gt;"",$L239=""),$M239&lt;&gt;0),$A239=""),IFERROR(VLOOKUP($E239,Selection!$E:$F,2,false)),IFERROR(VLOOKUP(SUBSTITUTE($I239,"-","",1),$K240:$Q1119,7,false),VLOOKUP($K239,$K240:$Q1119,7,false))))</f>
        <v/>
      </c>
      <c r="R239" s="34" t="str">
        <f t="shared" si="2"/>
        <v/>
      </c>
      <c r="S239" s="37" t="str">
        <f t="shared" si="3"/>
        <v/>
      </c>
      <c r="T239" s="38" t="str">
        <f t="shared" si="4"/>
        <v/>
      </c>
      <c r="U239" s="28" t="str">
        <f t="shared" si="5"/>
        <v/>
      </c>
      <c r="V239" s="39" t="str">
        <f>IFERROR(__xludf.DUMMYFUNCTION(" IF(Account!$F239&lt;&gt;"""", SPLIT(Account!$F239, "" ""), """")"),"")</f>
        <v/>
      </c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>
      <c r="A240" s="7"/>
      <c r="B240" s="7"/>
      <c r="C240" s="7"/>
      <c r="D240" s="7"/>
      <c r="E240" s="7"/>
      <c r="F240" s="9"/>
      <c r="G240" s="341"/>
      <c r="H240" s="7"/>
      <c r="I240" s="7"/>
      <c r="J240" s="7"/>
      <c r="K240" s="7"/>
      <c r="L240" s="26" t="str">
        <f t="shared" si="1"/>
        <v/>
      </c>
      <c r="M240" s="28" t="str">
        <f>IFERROR(__xludf.DUMMYFUNCTION("IF(Account!$F240&lt;&gt;"""", VALUE(REGEXREPLACE($I240, ""\,"", ""."")), """")"),"")</f>
        <v/>
      </c>
      <c r="N240" s="31" t="str">
        <f>IF(Account!$F240&lt;&gt;"", DATEVALUE(MID($A240,4,3) &amp; LEFT($A240,3) &amp; RIGHT($A240,4)) + TIMEVALUE($B240), "")</f>
        <v/>
      </c>
      <c r="O240" s="33" t="str">
        <f>IF(Account!$F240&lt;&gt;"", DATEVALUE(MID($A240,4,3) &amp; LEFT($A240,3) &amp; RIGHT($A240,4)), "")</f>
        <v/>
      </c>
      <c r="P240" s="34" t="str">
        <f>IFERROR(VLOOKUP($Q240,Selection!$F:$G,2,false))</f>
        <v/>
      </c>
      <c r="Q240" s="36" t="str">
        <f>IF(AND($X240="change",$H240="EUR"),IF(AND($Z240="Crédit",$N240=$N241),$Q241,IF(AND($Z240="Débit",$N240=$N239),$Q239)),IF(OR(AND(OR($E240&lt;&gt;"",$L240=""),$M240&lt;&gt;0),$A240=""),IFERROR(VLOOKUP($E240,Selection!$E:$F,2,false)),IFERROR(VLOOKUP(SUBSTITUTE($I240,"-","",1),$K241:$Q1119,7,false),VLOOKUP($K240,$K241:$Q1119,7,false))))</f>
        <v/>
      </c>
      <c r="R240" s="34" t="str">
        <f t="shared" si="2"/>
        <v/>
      </c>
      <c r="S240" s="37" t="str">
        <f t="shared" si="3"/>
        <v/>
      </c>
      <c r="T240" s="38" t="str">
        <f t="shared" si="4"/>
        <v/>
      </c>
      <c r="U240" s="28" t="str">
        <f t="shared" si="5"/>
        <v/>
      </c>
      <c r="V240" s="39" t="str">
        <f>IFERROR(__xludf.DUMMYFUNCTION(" IF(Account!$F240&lt;&gt;"""", SPLIT(Account!$F240, "" ""), """")"),"")</f>
        <v/>
      </c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>
      <c r="A241" s="7"/>
      <c r="B241" s="7"/>
      <c r="C241" s="7"/>
      <c r="D241" s="7"/>
      <c r="E241" s="7"/>
      <c r="F241" s="9"/>
      <c r="G241" s="7"/>
      <c r="H241" s="7"/>
      <c r="I241" s="7"/>
      <c r="J241" s="7"/>
      <c r="K241" s="7"/>
      <c r="L241" s="26" t="str">
        <f t="shared" si="1"/>
        <v/>
      </c>
      <c r="M241" s="28" t="str">
        <f>IFERROR(__xludf.DUMMYFUNCTION("IF(Account!$F241&lt;&gt;"""", VALUE(REGEXREPLACE($I241, ""\,"", ""."")), """")"),"")</f>
        <v/>
      </c>
      <c r="N241" s="31" t="str">
        <f>IF(Account!$F241&lt;&gt;"", DATEVALUE(MID($A241,4,3) &amp; LEFT($A241,3) &amp; RIGHT($A241,4)) + TIMEVALUE($B241), "")</f>
        <v/>
      </c>
      <c r="O241" s="33" t="str">
        <f>IF(Account!$F241&lt;&gt;"", DATEVALUE(MID($A241,4,3) &amp; LEFT($A241,3) &amp; RIGHT($A241,4)), "")</f>
        <v/>
      </c>
      <c r="P241" s="34" t="str">
        <f>IFERROR(VLOOKUP($Q241,Selection!$F:$G,2,false))</f>
        <v/>
      </c>
      <c r="Q241" s="36" t="str">
        <f>IF(AND($X241="change",$H241="EUR"),IF(AND($Z241="Crédit",$N241=$N242),$Q242,IF(AND($Z241="Débit",$N241=$N240),$Q240)),IF(OR(AND(OR($E241&lt;&gt;"",$L241=""),$M241&lt;&gt;0),$A241=""),IFERROR(VLOOKUP($E241,Selection!$E:$F,2,false)),IFERROR(VLOOKUP(SUBSTITUTE($I241,"-","",1),$K242:$Q1119,7,false),VLOOKUP($K241,$K242:$Q1119,7,false))))</f>
        <v/>
      </c>
      <c r="R241" s="34" t="str">
        <f t="shared" si="2"/>
        <v/>
      </c>
      <c r="S241" s="37" t="str">
        <f t="shared" si="3"/>
        <v/>
      </c>
      <c r="T241" s="38" t="str">
        <f t="shared" si="4"/>
        <v/>
      </c>
      <c r="U241" s="28" t="str">
        <f t="shared" si="5"/>
        <v/>
      </c>
      <c r="V241" s="39" t="str">
        <f>IFERROR(__xludf.DUMMYFUNCTION(" IF(Account!$F241&lt;&gt;"""", SPLIT(Account!$F241, "" ""), """")"),"")</f>
        <v/>
      </c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>
      <c r="A242" s="7"/>
      <c r="B242" s="7"/>
      <c r="C242" s="7"/>
      <c r="D242" s="7"/>
      <c r="E242" s="7"/>
      <c r="F242" s="9"/>
      <c r="G242" s="7"/>
      <c r="H242" s="7"/>
      <c r="I242" s="7"/>
      <c r="J242" s="7"/>
      <c r="K242" s="7"/>
      <c r="L242" s="26" t="str">
        <f t="shared" si="1"/>
        <v/>
      </c>
      <c r="M242" s="28" t="str">
        <f>IFERROR(__xludf.DUMMYFUNCTION("IF(Account!$F242&lt;&gt;"""", VALUE(REGEXREPLACE($I242, ""\,"", ""."")), """")"),"")</f>
        <v/>
      </c>
      <c r="N242" s="31" t="str">
        <f>IF(Account!$F242&lt;&gt;"", DATEVALUE(MID($A242,4,3) &amp; LEFT($A242,3) &amp; RIGHT($A242,4)) + TIMEVALUE($B242), "")</f>
        <v/>
      </c>
      <c r="O242" s="33" t="str">
        <f>IF(Account!$F242&lt;&gt;"", DATEVALUE(MID($A242,4,3) &amp; LEFT($A242,3) &amp; RIGHT($A242,4)), "")</f>
        <v/>
      </c>
      <c r="P242" s="34" t="str">
        <f>IFERROR(VLOOKUP($Q242,Selection!$F:$G,2,false))</f>
        <v/>
      </c>
      <c r="Q242" s="36" t="str">
        <f>IF(AND($X242="change",$H242="EUR"),IF(AND($Z242="Crédit",$N242=$N243),$Q243,IF(AND($Z242="Débit",$N242=$N241),$Q241)),IF(OR(AND(OR($E242&lt;&gt;"",$L242=""),$M242&lt;&gt;0),$A242=""),IFERROR(VLOOKUP($E242,Selection!$E:$F,2,false)),IFERROR(VLOOKUP(SUBSTITUTE($I242,"-","",1),$K243:$Q1119,7,false),VLOOKUP($K242,$K243:$Q1119,7,false))))</f>
        <v/>
      </c>
      <c r="R242" s="34" t="str">
        <f t="shared" si="2"/>
        <v/>
      </c>
      <c r="S242" s="37" t="str">
        <f t="shared" si="3"/>
        <v/>
      </c>
      <c r="T242" s="38" t="str">
        <f t="shared" si="4"/>
        <v/>
      </c>
      <c r="U242" s="28" t="str">
        <f t="shared" si="5"/>
        <v/>
      </c>
      <c r="V242" s="39" t="str">
        <f>IFERROR(__xludf.DUMMYFUNCTION(" IF(Account!$F242&lt;&gt;"""", SPLIT(Account!$F242, "" ""), """")"),"")</f>
        <v/>
      </c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>
      <c r="A243" s="7"/>
      <c r="B243" s="7"/>
      <c r="C243" s="7"/>
      <c r="D243" s="7"/>
      <c r="E243" s="7"/>
      <c r="F243" s="9"/>
      <c r="G243" s="7"/>
      <c r="H243" s="7"/>
      <c r="I243" s="7"/>
      <c r="J243" s="7"/>
      <c r="K243" s="7"/>
      <c r="L243" s="26" t="str">
        <f t="shared" si="1"/>
        <v/>
      </c>
      <c r="M243" s="28" t="str">
        <f>IFERROR(__xludf.DUMMYFUNCTION("IF(Account!$F243&lt;&gt;"""", VALUE(REGEXREPLACE($I243, ""\,"", ""."")), """")"),"")</f>
        <v/>
      </c>
      <c r="N243" s="31" t="str">
        <f>IF(Account!$F243&lt;&gt;"", DATEVALUE(MID($A243,4,3) &amp; LEFT($A243,3) &amp; RIGHT($A243,4)) + TIMEVALUE($B243), "")</f>
        <v/>
      </c>
      <c r="O243" s="33" t="str">
        <f>IF(Account!$F243&lt;&gt;"", DATEVALUE(MID($A243,4,3) &amp; LEFT($A243,3) &amp; RIGHT($A243,4)), "")</f>
        <v/>
      </c>
      <c r="P243" s="34" t="str">
        <f>IFERROR(VLOOKUP($Q243,Selection!$F:$G,2,false))</f>
        <v/>
      </c>
      <c r="Q243" s="36" t="str">
        <f>IF(AND($X243="change",$H243="EUR"),IF(AND($Z243="Crédit",$N243=$N244),$Q244,IF(AND($Z243="Débit",$N243=$N242),$Q242)),IF(OR(AND(OR($E243&lt;&gt;"",$L243=""),$M243&lt;&gt;0),$A243=""),IFERROR(VLOOKUP($E243,Selection!$E:$F,2,false)),IFERROR(VLOOKUP(SUBSTITUTE($I243,"-","",1),$K244:$Q1119,7,false),VLOOKUP($K243,$K244:$Q1119,7,false))))</f>
        <v/>
      </c>
      <c r="R243" s="34" t="str">
        <f t="shared" si="2"/>
        <v/>
      </c>
      <c r="S243" s="37" t="str">
        <f t="shared" si="3"/>
        <v/>
      </c>
      <c r="T243" s="38" t="str">
        <f t="shared" si="4"/>
        <v/>
      </c>
      <c r="U243" s="28" t="str">
        <f t="shared" si="5"/>
        <v/>
      </c>
      <c r="V243" s="39" t="str">
        <f>IFERROR(__xludf.DUMMYFUNCTION(" IF(Account!$F243&lt;&gt;"""", SPLIT(Account!$F243, "" ""), """")"),"")</f>
        <v/>
      </c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>
      <c r="A244" s="7"/>
      <c r="B244" s="7"/>
      <c r="C244" s="7"/>
      <c r="D244" s="7"/>
      <c r="E244" s="7"/>
      <c r="F244" s="9"/>
      <c r="G244" s="341"/>
      <c r="H244" s="7"/>
      <c r="I244" s="7"/>
      <c r="J244" s="7"/>
      <c r="K244" s="7"/>
      <c r="L244" s="26" t="str">
        <f t="shared" si="1"/>
        <v/>
      </c>
      <c r="M244" s="28" t="str">
        <f>IFERROR(__xludf.DUMMYFUNCTION("IF(Account!$F244&lt;&gt;"""", VALUE(REGEXREPLACE($I244, ""\,"", ""."")), """")"),"")</f>
        <v/>
      </c>
      <c r="N244" s="31" t="str">
        <f>IF(Account!$F244&lt;&gt;"", DATEVALUE(MID($A244,4,3) &amp; LEFT($A244,3) &amp; RIGHT($A244,4)) + TIMEVALUE($B244), "")</f>
        <v/>
      </c>
      <c r="O244" s="33" t="str">
        <f>IF(Account!$F244&lt;&gt;"", DATEVALUE(MID($A244,4,3) &amp; LEFT($A244,3) &amp; RIGHT($A244,4)), "")</f>
        <v/>
      </c>
      <c r="P244" s="34" t="str">
        <f>IFERROR(VLOOKUP($Q244,Selection!$F:$G,2,false))</f>
        <v/>
      </c>
      <c r="Q244" s="36" t="str">
        <f>IF(AND($X244="change",$H244="EUR"),IF(AND($Z244="Crédit",$N244=$N245),$Q245,IF(AND($Z244="Débit",$N244=$N243),$Q243)),IF(OR(AND(OR($E244&lt;&gt;"",$L244=""),$M244&lt;&gt;0),$A244=""),IFERROR(VLOOKUP($E244,Selection!$E:$F,2,false)),IFERROR(VLOOKUP(SUBSTITUTE($I244,"-","",1),$K245:$Q1119,7,false),VLOOKUP($K244,$K245:$Q1119,7,false))))</f>
        <v/>
      </c>
      <c r="R244" s="34" t="str">
        <f t="shared" si="2"/>
        <v/>
      </c>
      <c r="S244" s="37" t="str">
        <f t="shared" si="3"/>
        <v/>
      </c>
      <c r="T244" s="38" t="str">
        <f t="shared" si="4"/>
        <v/>
      </c>
      <c r="U244" s="28" t="str">
        <f t="shared" si="5"/>
        <v/>
      </c>
      <c r="V244" s="39" t="str">
        <f>IFERROR(__xludf.DUMMYFUNCTION(" IF(Account!$F244&lt;&gt;"""", SPLIT(Account!$F244, "" ""), """")"),"")</f>
        <v/>
      </c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</row>
    <row r="245">
      <c r="A245" s="7"/>
      <c r="B245" s="7"/>
      <c r="C245" s="7"/>
      <c r="D245" s="7"/>
      <c r="E245" s="7"/>
      <c r="F245" s="9"/>
      <c r="G245" s="7"/>
      <c r="H245" s="7"/>
      <c r="I245" s="7"/>
      <c r="J245" s="7"/>
      <c r="K245" s="7"/>
      <c r="L245" s="26" t="str">
        <f t="shared" si="1"/>
        <v/>
      </c>
      <c r="M245" s="28" t="str">
        <f>IFERROR(__xludf.DUMMYFUNCTION("IF(Account!$F245&lt;&gt;"""", VALUE(REGEXREPLACE($I245, ""\,"", ""."")), """")"),"")</f>
        <v/>
      </c>
      <c r="N245" s="31" t="str">
        <f>IF(Account!$F245&lt;&gt;"", DATEVALUE(MID($A245,4,3) &amp; LEFT($A245,3) &amp; RIGHT($A245,4)) + TIMEVALUE($B245), "")</f>
        <v/>
      </c>
      <c r="O245" s="33" t="str">
        <f>IF(Account!$F245&lt;&gt;"", DATEVALUE(MID($A245,4,3) &amp; LEFT($A245,3) &amp; RIGHT($A245,4)), "")</f>
        <v/>
      </c>
      <c r="P245" s="34" t="str">
        <f>IFERROR(VLOOKUP($Q245,Selection!$F:$G,2,false))</f>
        <v/>
      </c>
      <c r="Q245" s="36" t="str">
        <f>IF(AND($X245="change",$H245="EUR"),IF(AND($Z245="Crédit",$N245=$N246),$Q246,IF(AND($Z245="Débit",$N245=$N244),$Q244)),IF(OR(AND(OR($E245&lt;&gt;"",$L245=""),$M245&lt;&gt;0),$A245=""),IFERROR(VLOOKUP($E245,Selection!$E:$F,2,false)),IFERROR(VLOOKUP(SUBSTITUTE($I245,"-","",1),$K246:$Q1119,7,false),VLOOKUP($K245,$K246:$Q1119,7,false))))</f>
        <v/>
      </c>
      <c r="R245" s="34" t="str">
        <f t="shared" si="2"/>
        <v/>
      </c>
      <c r="S245" s="37" t="str">
        <f t="shared" si="3"/>
        <v/>
      </c>
      <c r="T245" s="38" t="str">
        <f t="shared" si="4"/>
        <v/>
      </c>
      <c r="U245" s="28" t="str">
        <f t="shared" si="5"/>
        <v/>
      </c>
      <c r="V245" s="39" t="str">
        <f>IFERROR(__xludf.DUMMYFUNCTION(" IF(Account!$F245&lt;&gt;"""", SPLIT(Account!$F245, "" ""), """")"),"")</f>
        <v/>
      </c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>
      <c r="A246" s="7"/>
      <c r="B246" s="7"/>
      <c r="C246" s="7"/>
      <c r="D246" s="7"/>
      <c r="E246" s="7"/>
      <c r="F246" s="9"/>
      <c r="G246" s="341"/>
      <c r="H246" s="7"/>
      <c r="I246" s="7"/>
      <c r="J246" s="7"/>
      <c r="K246" s="7"/>
      <c r="L246" s="26" t="str">
        <f t="shared" si="1"/>
        <v/>
      </c>
      <c r="M246" s="28" t="str">
        <f>IFERROR(__xludf.DUMMYFUNCTION("IF(Account!$F246&lt;&gt;"""", VALUE(REGEXREPLACE($I246, ""\,"", ""."")), """")"),"")</f>
        <v/>
      </c>
      <c r="N246" s="31" t="str">
        <f>IF(Account!$F246&lt;&gt;"", DATEVALUE(MID($A246,4,3) &amp; LEFT($A246,3) &amp; RIGHT($A246,4)) + TIMEVALUE($B246), "")</f>
        <v/>
      </c>
      <c r="O246" s="33" t="str">
        <f>IF(Account!$F246&lt;&gt;"", DATEVALUE(MID($A246,4,3) &amp; LEFT($A246,3) &amp; RIGHT($A246,4)), "")</f>
        <v/>
      </c>
      <c r="P246" s="34" t="str">
        <f>IFERROR(VLOOKUP($Q246,Selection!$F:$G,2,false))</f>
        <v/>
      </c>
      <c r="Q246" s="36" t="str">
        <f>IF(AND($X246="change",$H246="EUR"),IF(AND($Z246="Crédit",$N246=$N247),$Q247,IF(AND($Z246="Débit",$N246=$N245),$Q245)),IF(OR(AND(OR($E246&lt;&gt;"",$L246=""),$M246&lt;&gt;0),$A246=""),IFERROR(VLOOKUP($E246,Selection!$E:$F,2,false)),IFERROR(VLOOKUP(SUBSTITUTE($I246,"-","",1),$K247:$Q1119,7,false),VLOOKUP($K246,$K247:$Q1119,7,false))))</f>
        <v/>
      </c>
      <c r="R246" s="34" t="str">
        <f t="shared" si="2"/>
        <v/>
      </c>
      <c r="S246" s="37" t="str">
        <f t="shared" si="3"/>
        <v/>
      </c>
      <c r="T246" s="38" t="str">
        <f t="shared" si="4"/>
        <v/>
      </c>
      <c r="U246" s="28" t="str">
        <f t="shared" si="5"/>
        <v/>
      </c>
      <c r="V246" s="39" t="str">
        <f>IFERROR(__xludf.DUMMYFUNCTION(" IF(Account!$F246&lt;&gt;"""", SPLIT(Account!$F246, "" ""), """")"),"")</f>
        <v/>
      </c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</row>
    <row r="247">
      <c r="A247" s="7"/>
      <c r="B247" s="7"/>
      <c r="C247" s="7"/>
      <c r="D247" s="7"/>
      <c r="E247" s="7"/>
      <c r="F247" s="9"/>
      <c r="G247" s="7"/>
      <c r="H247" s="7"/>
      <c r="I247" s="7"/>
      <c r="J247" s="7"/>
      <c r="K247" s="7"/>
      <c r="L247" s="26" t="str">
        <f t="shared" si="1"/>
        <v/>
      </c>
      <c r="M247" s="28" t="str">
        <f>IFERROR(__xludf.DUMMYFUNCTION("IF(Account!$F247&lt;&gt;"""", VALUE(REGEXREPLACE($I247, ""\,"", ""."")), """")"),"")</f>
        <v/>
      </c>
      <c r="N247" s="31" t="str">
        <f>IF(Account!$F247&lt;&gt;"", DATEVALUE(MID($A247,4,3) &amp; LEFT($A247,3) &amp; RIGHT($A247,4)) + TIMEVALUE($B247), "")</f>
        <v/>
      </c>
      <c r="O247" s="33" t="str">
        <f>IF(Account!$F247&lt;&gt;"", DATEVALUE(MID($A247,4,3) &amp; LEFT($A247,3) &amp; RIGHT($A247,4)), "")</f>
        <v/>
      </c>
      <c r="P247" s="34" t="str">
        <f>IFERROR(VLOOKUP($Q247,Selection!$F:$G,2,false))</f>
        <v/>
      </c>
      <c r="Q247" s="36" t="str">
        <f>IF(AND($X247="change",$H247="EUR"),IF(AND($Z247="Crédit",$N247=$N248),$Q248,IF(AND($Z247="Débit",$N247=$N246),$Q246)),IF(OR(AND(OR($E247&lt;&gt;"",$L247=""),$M247&lt;&gt;0),$A247=""),IFERROR(VLOOKUP($E247,Selection!$E:$F,2,false)),IFERROR(VLOOKUP(SUBSTITUTE($I247,"-","",1),$K248:$Q1119,7,false),VLOOKUP($K247,$K248:$Q1119,7,false))))</f>
        <v/>
      </c>
      <c r="R247" s="34" t="str">
        <f t="shared" si="2"/>
        <v/>
      </c>
      <c r="S247" s="37" t="str">
        <f t="shared" si="3"/>
        <v/>
      </c>
      <c r="T247" s="38" t="str">
        <f t="shared" si="4"/>
        <v/>
      </c>
      <c r="U247" s="28" t="str">
        <f t="shared" si="5"/>
        <v/>
      </c>
      <c r="V247" s="39" t="str">
        <f>IFERROR(__xludf.DUMMYFUNCTION(" IF(Account!$F247&lt;&gt;"""", SPLIT(Account!$F247, "" ""), """")"),"")</f>
        <v/>
      </c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>
      <c r="A248" s="7"/>
      <c r="B248" s="7"/>
      <c r="C248" s="7"/>
      <c r="D248" s="7"/>
      <c r="E248" s="7"/>
      <c r="F248" s="9"/>
      <c r="G248" s="341"/>
      <c r="H248" s="7"/>
      <c r="I248" s="7"/>
      <c r="J248" s="7"/>
      <c r="K248" s="7"/>
      <c r="L248" s="26" t="str">
        <f t="shared" si="1"/>
        <v/>
      </c>
      <c r="M248" s="28" t="str">
        <f>IFERROR(__xludf.DUMMYFUNCTION("IF(Account!$F248&lt;&gt;"""", VALUE(REGEXREPLACE($I248, ""\,"", ""."")), """")"),"")</f>
        <v/>
      </c>
      <c r="N248" s="31" t="str">
        <f>IF(Account!$F248&lt;&gt;"", DATEVALUE(MID($A248,4,3) &amp; LEFT($A248,3) &amp; RIGHT($A248,4)) + TIMEVALUE($B248), "")</f>
        <v/>
      </c>
      <c r="O248" s="33" t="str">
        <f>IF(Account!$F248&lt;&gt;"", DATEVALUE(MID($A248,4,3) &amp; LEFT($A248,3) &amp; RIGHT($A248,4)), "")</f>
        <v/>
      </c>
      <c r="P248" s="34" t="str">
        <f>IFERROR(VLOOKUP($Q248,Selection!$F:$G,2,false))</f>
        <v/>
      </c>
      <c r="Q248" s="36" t="str">
        <f>IF(AND($X248="change",$H248="EUR"),IF(AND($Z248="Crédit",$N248=$N249),$Q249,IF(AND($Z248="Débit",$N248=$N247),$Q247)),IF(OR(AND(OR($E248&lt;&gt;"",$L248=""),$M248&lt;&gt;0),$A248=""),IFERROR(VLOOKUP($E248,Selection!$E:$F,2,false)),IFERROR(VLOOKUP(SUBSTITUTE($I248,"-","",1),$K249:$Q1119,7,false),VLOOKUP($K248,$K249:$Q1119,7,false))))</f>
        <v/>
      </c>
      <c r="R248" s="34" t="str">
        <f t="shared" si="2"/>
        <v/>
      </c>
      <c r="S248" s="37" t="str">
        <f t="shared" si="3"/>
        <v/>
      </c>
      <c r="T248" s="38" t="str">
        <f t="shared" si="4"/>
        <v/>
      </c>
      <c r="U248" s="28" t="str">
        <f t="shared" si="5"/>
        <v/>
      </c>
      <c r="V248" s="39" t="str">
        <f>IFERROR(__xludf.DUMMYFUNCTION(" IF(Account!$F248&lt;&gt;"""", SPLIT(Account!$F248, "" ""), """")"),"")</f>
        <v/>
      </c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>
      <c r="A249" s="7"/>
      <c r="B249" s="7"/>
      <c r="C249" s="7"/>
      <c r="D249" s="7"/>
      <c r="E249" s="7"/>
      <c r="F249" s="9"/>
      <c r="G249" s="7"/>
      <c r="H249" s="7"/>
      <c r="I249" s="7"/>
      <c r="J249" s="7"/>
      <c r="K249" s="7"/>
      <c r="L249" s="26" t="str">
        <f t="shared" si="1"/>
        <v/>
      </c>
      <c r="M249" s="28" t="str">
        <f>IFERROR(__xludf.DUMMYFUNCTION("IF(Account!$F249&lt;&gt;"""", VALUE(REGEXREPLACE($I249, ""\,"", ""."")), """")"),"")</f>
        <v/>
      </c>
      <c r="N249" s="31" t="str">
        <f>IF(Account!$F249&lt;&gt;"", DATEVALUE(MID($A249,4,3) &amp; LEFT($A249,3) &amp; RIGHT($A249,4)) + TIMEVALUE($B249), "")</f>
        <v/>
      </c>
      <c r="O249" s="33" t="str">
        <f>IF(Account!$F249&lt;&gt;"", DATEVALUE(MID($A249,4,3) &amp; LEFT($A249,3) &amp; RIGHT($A249,4)), "")</f>
        <v/>
      </c>
      <c r="P249" s="34" t="str">
        <f>IFERROR(VLOOKUP($Q249,Selection!$F:$G,2,false))</f>
        <v/>
      </c>
      <c r="Q249" s="36" t="str">
        <f>IF(AND($X249="change",$H249="EUR"),IF(AND($Z249="Crédit",$N249=$N250),$Q250,IF(AND($Z249="Débit",$N249=$N248),$Q248)),IF(OR(AND(OR($E249&lt;&gt;"",$L249=""),$M249&lt;&gt;0),$A249=""),IFERROR(VLOOKUP($E249,Selection!$E:$F,2,false)),IFERROR(VLOOKUP(SUBSTITUTE($I249,"-","",1),$K250:$Q1119,7,false),VLOOKUP($K249,$K250:$Q1119,7,false))))</f>
        <v/>
      </c>
      <c r="R249" s="34" t="str">
        <f t="shared" si="2"/>
        <v/>
      </c>
      <c r="S249" s="37" t="str">
        <f t="shared" si="3"/>
        <v/>
      </c>
      <c r="T249" s="38" t="str">
        <f t="shared" si="4"/>
        <v/>
      </c>
      <c r="U249" s="28" t="str">
        <f t="shared" si="5"/>
        <v/>
      </c>
      <c r="V249" s="39" t="str">
        <f>IFERROR(__xludf.DUMMYFUNCTION(" IF(Account!$F249&lt;&gt;"""", SPLIT(Account!$F249, "" ""), """")"),"")</f>
        <v/>
      </c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>
      <c r="A250" s="7"/>
      <c r="B250" s="7"/>
      <c r="C250" s="7"/>
      <c r="D250" s="7"/>
      <c r="E250" s="7"/>
      <c r="F250" s="9"/>
      <c r="G250" s="341"/>
      <c r="H250" s="7"/>
      <c r="I250" s="7"/>
      <c r="J250" s="7"/>
      <c r="K250" s="7"/>
      <c r="L250" s="26" t="str">
        <f t="shared" si="1"/>
        <v/>
      </c>
      <c r="M250" s="28" t="str">
        <f>IFERROR(__xludf.DUMMYFUNCTION("IF(Account!$F250&lt;&gt;"""", VALUE(REGEXREPLACE($I250, ""\,"", ""."")), """")"),"")</f>
        <v/>
      </c>
      <c r="N250" s="31" t="str">
        <f>IF(Account!$F250&lt;&gt;"", DATEVALUE(MID($A250,4,3) &amp; LEFT($A250,3) &amp; RIGHT($A250,4)) + TIMEVALUE($B250), "")</f>
        <v/>
      </c>
      <c r="O250" s="33" t="str">
        <f>IF(Account!$F250&lt;&gt;"", DATEVALUE(MID($A250,4,3) &amp; LEFT($A250,3) &amp; RIGHT($A250,4)), "")</f>
        <v/>
      </c>
      <c r="P250" s="34" t="str">
        <f>IFERROR(VLOOKUP($Q250,Selection!$F:$G,2,false))</f>
        <v/>
      </c>
      <c r="Q250" s="36" t="str">
        <f>IF(AND($X250="change",$H250="EUR"),IF(AND($Z250="Crédit",$N250=$N251),$Q251,IF(AND($Z250="Débit",$N250=$N249),$Q249)),IF(OR(AND(OR($E250&lt;&gt;"",$L250=""),$M250&lt;&gt;0),$A250=""),IFERROR(VLOOKUP($E250,Selection!$E:$F,2,false)),IFERROR(VLOOKUP(SUBSTITUTE($I250,"-","",1),$K251:$Q1119,7,false),VLOOKUP($K250,$K251:$Q1119,7,false))))</f>
        <v/>
      </c>
      <c r="R250" s="34" t="str">
        <f t="shared" si="2"/>
        <v/>
      </c>
      <c r="S250" s="37" t="str">
        <f t="shared" si="3"/>
        <v/>
      </c>
      <c r="T250" s="38" t="str">
        <f t="shared" si="4"/>
        <v/>
      </c>
      <c r="U250" s="28" t="str">
        <f t="shared" si="5"/>
        <v/>
      </c>
      <c r="V250" s="39" t="str">
        <f>IFERROR(__xludf.DUMMYFUNCTION(" IF(Account!$F250&lt;&gt;"""", SPLIT(Account!$F250, "" ""), """")"),"")</f>
        <v/>
      </c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>
      <c r="A251" s="7"/>
      <c r="B251" s="7"/>
      <c r="C251" s="7"/>
      <c r="D251" s="7"/>
      <c r="E251" s="7"/>
      <c r="F251" s="9"/>
      <c r="G251" s="7"/>
      <c r="H251" s="7"/>
      <c r="I251" s="7"/>
      <c r="J251" s="7"/>
      <c r="K251" s="7"/>
      <c r="L251" s="26" t="str">
        <f t="shared" si="1"/>
        <v/>
      </c>
      <c r="M251" s="28" t="str">
        <f>IFERROR(__xludf.DUMMYFUNCTION("IF(Account!$F251&lt;&gt;"""", VALUE(REGEXREPLACE($I251, ""\,"", ""."")), """")"),"")</f>
        <v/>
      </c>
      <c r="N251" s="31" t="str">
        <f>IF(Account!$F251&lt;&gt;"", DATEVALUE(MID($A251,4,3) &amp; LEFT($A251,3) &amp; RIGHT($A251,4)) + TIMEVALUE($B251), "")</f>
        <v/>
      </c>
      <c r="O251" s="33" t="str">
        <f>IF(Account!$F251&lt;&gt;"", DATEVALUE(MID($A251,4,3) &amp; LEFT($A251,3) &amp; RIGHT($A251,4)), "")</f>
        <v/>
      </c>
      <c r="P251" s="34" t="str">
        <f>IFERROR(VLOOKUP($Q251,Selection!$F:$G,2,false))</f>
        <v/>
      </c>
      <c r="Q251" s="36" t="str">
        <f>IF(AND($X251="change",$H251="EUR"),IF(AND($Z251="Crédit",$N251=$N252),$Q252,IF(AND($Z251="Débit",$N251=$N250),$Q250)),IF(OR(AND(OR($E251&lt;&gt;"",$L251=""),$M251&lt;&gt;0),$A251=""),IFERROR(VLOOKUP($E251,Selection!$E:$F,2,false)),IFERROR(VLOOKUP(SUBSTITUTE($I251,"-","",1),$K252:$Q1119,7,false),VLOOKUP($K251,$K252:$Q1119,7,false))))</f>
        <v/>
      </c>
      <c r="R251" s="34" t="str">
        <f t="shared" si="2"/>
        <v/>
      </c>
      <c r="S251" s="37" t="str">
        <f t="shared" si="3"/>
        <v/>
      </c>
      <c r="T251" s="38" t="str">
        <f t="shared" si="4"/>
        <v/>
      </c>
      <c r="U251" s="28" t="str">
        <f t="shared" si="5"/>
        <v/>
      </c>
      <c r="V251" s="39" t="str">
        <f>IFERROR(__xludf.DUMMYFUNCTION(" IF(Account!$F251&lt;&gt;"""", SPLIT(Account!$F251, "" ""), """")"),"")</f>
        <v/>
      </c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>
      <c r="A252" s="7"/>
      <c r="B252" s="7"/>
      <c r="C252" s="7"/>
      <c r="D252" s="7"/>
      <c r="E252" s="7"/>
      <c r="F252" s="9"/>
      <c r="G252" s="341"/>
      <c r="H252" s="7"/>
      <c r="I252" s="7"/>
      <c r="J252" s="7"/>
      <c r="K252" s="7"/>
      <c r="L252" s="26" t="str">
        <f t="shared" si="1"/>
        <v/>
      </c>
      <c r="M252" s="28" t="str">
        <f>IFERROR(__xludf.DUMMYFUNCTION("IF(Account!$F252&lt;&gt;"""", VALUE(REGEXREPLACE($I252, ""\,"", ""."")), """")"),"")</f>
        <v/>
      </c>
      <c r="N252" s="31" t="str">
        <f>IF(Account!$F252&lt;&gt;"", DATEVALUE(MID($A252,4,3) &amp; LEFT($A252,3) &amp; RIGHT($A252,4)) + TIMEVALUE($B252), "")</f>
        <v/>
      </c>
      <c r="O252" s="33" t="str">
        <f>IF(Account!$F252&lt;&gt;"", DATEVALUE(MID($A252,4,3) &amp; LEFT($A252,3) &amp; RIGHT($A252,4)), "")</f>
        <v/>
      </c>
      <c r="P252" s="34" t="str">
        <f>IFERROR(VLOOKUP($Q252,Selection!$F:$G,2,false))</f>
        <v/>
      </c>
      <c r="Q252" s="36" t="str">
        <f>IF(AND($X252="change",$H252="EUR"),IF(AND($Z252="Crédit",$N252=$N253),$Q253,IF(AND($Z252="Débit",$N252=$N251),$Q251)),IF(OR(AND(OR($E252&lt;&gt;"",$L252=""),$M252&lt;&gt;0),$A252=""),IFERROR(VLOOKUP($E252,Selection!$E:$F,2,false)),IFERROR(VLOOKUP(SUBSTITUTE($I252,"-","",1),$K253:$Q1119,7,false),VLOOKUP($K252,$K253:$Q1119,7,false))))</f>
        <v/>
      </c>
      <c r="R252" s="34" t="str">
        <f t="shared" si="2"/>
        <v/>
      </c>
      <c r="S252" s="37" t="str">
        <f t="shared" si="3"/>
        <v/>
      </c>
      <c r="T252" s="38" t="str">
        <f t="shared" si="4"/>
        <v/>
      </c>
      <c r="U252" s="28" t="str">
        <f t="shared" si="5"/>
        <v/>
      </c>
      <c r="V252" s="39" t="str">
        <f>IFERROR(__xludf.DUMMYFUNCTION(" IF(Account!$F252&lt;&gt;"""", SPLIT(Account!$F252, "" ""), """")"),"")</f>
        <v/>
      </c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>
      <c r="A253" s="7"/>
      <c r="B253" s="7"/>
      <c r="C253" s="7"/>
      <c r="D253" s="7"/>
      <c r="E253" s="7"/>
      <c r="F253" s="9"/>
      <c r="G253" s="7"/>
      <c r="H253" s="7"/>
      <c r="I253" s="7"/>
      <c r="J253" s="7"/>
      <c r="K253" s="7"/>
      <c r="L253" s="26" t="str">
        <f t="shared" si="1"/>
        <v/>
      </c>
      <c r="M253" s="28" t="str">
        <f>IFERROR(__xludf.DUMMYFUNCTION("IF(Account!$F253&lt;&gt;"""", VALUE(REGEXREPLACE($I253, ""\,"", ""."")), """")"),"")</f>
        <v/>
      </c>
      <c r="N253" s="31" t="str">
        <f>IF(Account!$F253&lt;&gt;"", DATEVALUE(MID($A253,4,3) &amp; LEFT($A253,3) &amp; RIGHT($A253,4)) + TIMEVALUE($B253), "")</f>
        <v/>
      </c>
      <c r="O253" s="33" t="str">
        <f>IF(Account!$F253&lt;&gt;"", DATEVALUE(MID($A253,4,3) &amp; LEFT($A253,3) &amp; RIGHT($A253,4)), "")</f>
        <v/>
      </c>
      <c r="P253" s="34" t="str">
        <f>IFERROR(VLOOKUP($Q253,Selection!$F:$G,2,false))</f>
        <v/>
      </c>
      <c r="Q253" s="36" t="str">
        <f>IF(AND($X253="change",$H253="EUR"),IF(AND($Z253="Crédit",$N253=$N254),$Q254,IF(AND($Z253="Débit",$N253=$N252),$Q252)),IF(OR(AND(OR($E253&lt;&gt;"",$L253=""),$M253&lt;&gt;0),$A253=""),IFERROR(VLOOKUP($E253,Selection!$E:$F,2,false)),IFERROR(VLOOKUP(SUBSTITUTE($I253,"-","",1),$K254:$Q1119,7,false),VLOOKUP($K253,$K254:$Q1119,7,false))))</f>
        <v/>
      </c>
      <c r="R253" s="34" t="str">
        <f t="shared" si="2"/>
        <v/>
      </c>
      <c r="S253" s="37" t="str">
        <f t="shared" si="3"/>
        <v/>
      </c>
      <c r="T253" s="38" t="str">
        <f t="shared" si="4"/>
        <v/>
      </c>
      <c r="U253" s="28" t="str">
        <f t="shared" si="5"/>
        <v/>
      </c>
      <c r="V253" s="39" t="str">
        <f>IFERROR(__xludf.DUMMYFUNCTION(" IF(Account!$F253&lt;&gt;"""", SPLIT(Account!$F253, "" ""), """")"),"")</f>
        <v/>
      </c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>
      <c r="A254" s="7"/>
      <c r="B254" s="7"/>
      <c r="C254" s="7"/>
      <c r="D254" s="7"/>
      <c r="E254" s="7"/>
      <c r="F254" s="9"/>
      <c r="G254" s="7"/>
      <c r="H254" s="7"/>
      <c r="I254" s="7"/>
      <c r="J254" s="7"/>
      <c r="K254" s="7"/>
      <c r="L254" s="26" t="str">
        <f t="shared" si="1"/>
        <v/>
      </c>
      <c r="M254" s="28" t="str">
        <f>IFERROR(__xludf.DUMMYFUNCTION("IF(Account!$F254&lt;&gt;"""", VALUE(REGEXREPLACE($I254, ""\,"", ""."")), """")"),"")</f>
        <v/>
      </c>
      <c r="N254" s="31" t="str">
        <f>IF(Account!$F254&lt;&gt;"", DATEVALUE(MID($A254,4,3) &amp; LEFT($A254,3) &amp; RIGHT($A254,4)) + TIMEVALUE($B254), "")</f>
        <v/>
      </c>
      <c r="O254" s="33" t="str">
        <f>IF(Account!$F254&lt;&gt;"", DATEVALUE(MID($A254,4,3) &amp; LEFT($A254,3) &amp; RIGHT($A254,4)), "")</f>
        <v/>
      </c>
      <c r="P254" s="34" t="str">
        <f>IFERROR(VLOOKUP($Q254,Selection!$F:$G,2,false))</f>
        <v/>
      </c>
      <c r="Q254" s="36" t="str">
        <f>IF(AND($X254="change",$H254="EUR"),IF(AND($Z254="Crédit",$N254=$N255),$Q255,IF(AND($Z254="Débit",$N254=$N253),$Q253)),IF(OR(AND(OR($E254&lt;&gt;"",$L254=""),$M254&lt;&gt;0),$A254=""),IFERROR(VLOOKUP($E254,Selection!$E:$F,2,false)),IFERROR(VLOOKUP(SUBSTITUTE($I254,"-","",1),$K255:$Q1119,7,false),VLOOKUP($K254,$K255:$Q1119,7,false))))</f>
        <v/>
      </c>
      <c r="R254" s="34" t="str">
        <f t="shared" si="2"/>
        <v/>
      </c>
      <c r="S254" s="37" t="str">
        <f t="shared" si="3"/>
        <v/>
      </c>
      <c r="T254" s="38" t="str">
        <f t="shared" si="4"/>
        <v/>
      </c>
      <c r="U254" s="28" t="str">
        <f t="shared" si="5"/>
        <v/>
      </c>
      <c r="V254" s="39" t="str">
        <f>IFERROR(__xludf.DUMMYFUNCTION(" IF(Account!$F254&lt;&gt;"""", SPLIT(Account!$F254, "" ""), """")"),"")</f>
        <v/>
      </c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</row>
    <row r="255">
      <c r="A255" s="7"/>
      <c r="B255" s="7"/>
      <c r="C255" s="7"/>
      <c r="D255" s="7"/>
      <c r="E255" s="7"/>
      <c r="F255" s="9"/>
      <c r="G255" s="7"/>
      <c r="H255" s="7"/>
      <c r="I255" s="7"/>
      <c r="J255" s="7"/>
      <c r="K255" s="7"/>
      <c r="L255" s="26" t="str">
        <f t="shared" si="1"/>
        <v/>
      </c>
      <c r="M255" s="28" t="str">
        <f>IFERROR(__xludf.DUMMYFUNCTION("IF(Account!$F255&lt;&gt;"""", VALUE(REGEXREPLACE($I255, ""\,"", ""."")), """")"),"")</f>
        <v/>
      </c>
      <c r="N255" s="31" t="str">
        <f>IF(Account!$F255&lt;&gt;"", DATEVALUE(MID($A255,4,3) &amp; LEFT($A255,3) &amp; RIGHT($A255,4)) + TIMEVALUE($B255), "")</f>
        <v/>
      </c>
      <c r="O255" s="33" t="str">
        <f>IF(Account!$F255&lt;&gt;"", DATEVALUE(MID($A255,4,3) &amp; LEFT($A255,3) &amp; RIGHT($A255,4)), "")</f>
        <v/>
      </c>
      <c r="P255" s="34" t="str">
        <f>IFERROR(VLOOKUP($Q255,Selection!$F:$G,2,false))</f>
        <v/>
      </c>
      <c r="Q255" s="36" t="str">
        <f>IF(AND($X255="change",$H255="EUR"),IF(AND($Z255="Crédit",$N255=$N256),$Q256,IF(AND($Z255="Débit",$N255=$N254),$Q254)),IF(OR(AND(OR($E255&lt;&gt;"",$L255=""),$M255&lt;&gt;0),$A255=""),IFERROR(VLOOKUP($E255,Selection!$E:$F,2,false)),IFERROR(VLOOKUP(SUBSTITUTE($I255,"-","",1),$K256:$Q1119,7,false),VLOOKUP($K255,$K256:$Q1119,7,false))))</f>
        <v/>
      </c>
      <c r="R255" s="34" t="str">
        <f t="shared" si="2"/>
        <v/>
      </c>
      <c r="S255" s="37" t="str">
        <f t="shared" si="3"/>
        <v/>
      </c>
      <c r="T255" s="38" t="str">
        <f t="shared" si="4"/>
        <v/>
      </c>
      <c r="U255" s="28" t="str">
        <f t="shared" si="5"/>
        <v/>
      </c>
      <c r="V255" s="39" t="str">
        <f>IFERROR(__xludf.DUMMYFUNCTION(" IF(Account!$F255&lt;&gt;"""", SPLIT(Account!$F255, "" ""), """")"),"")</f>
        <v/>
      </c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</row>
    <row r="256">
      <c r="A256" s="7"/>
      <c r="B256" s="7"/>
      <c r="C256" s="7"/>
      <c r="D256" s="7"/>
      <c r="E256" s="7"/>
      <c r="F256" s="9"/>
      <c r="G256" s="341"/>
      <c r="H256" s="7"/>
      <c r="I256" s="7"/>
      <c r="J256" s="7"/>
      <c r="K256" s="7"/>
      <c r="L256" s="26" t="str">
        <f t="shared" si="1"/>
        <v/>
      </c>
      <c r="M256" s="28" t="str">
        <f>IFERROR(__xludf.DUMMYFUNCTION("IF(Account!$F256&lt;&gt;"""", VALUE(REGEXREPLACE($I256, ""\,"", ""."")), """")"),"")</f>
        <v/>
      </c>
      <c r="N256" s="31" t="str">
        <f>IF(Account!$F256&lt;&gt;"", DATEVALUE(MID($A256,4,3) &amp; LEFT($A256,3) &amp; RIGHT($A256,4)) + TIMEVALUE($B256), "")</f>
        <v/>
      </c>
      <c r="O256" s="33" t="str">
        <f>IF(Account!$F256&lt;&gt;"", DATEVALUE(MID($A256,4,3) &amp; LEFT($A256,3) &amp; RIGHT($A256,4)), "")</f>
        <v/>
      </c>
      <c r="P256" s="34" t="str">
        <f>IFERROR(VLOOKUP($Q256,Selection!$F:$G,2,false))</f>
        <v/>
      </c>
      <c r="Q256" s="36" t="str">
        <f>IF(AND($X256="change",$H256="EUR"),IF(AND($Z256="Crédit",$N256=$N257),$Q257,IF(AND($Z256="Débit",$N256=$N255),$Q255)),IF(OR(AND(OR($E256&lt;&gt;"",$L256=""),$M256&lt;&gt;0),$A256=""),IFERROR(VLOOKUP($E256,Selection!$E:$F,2,false)),IFERROR(VLOOKUP(SUBSTITUTE($I256,"-","",1),$K257:$Q1119,7,false),VLOOKUP($K256,$K257:$Q1119,7,false))))</f>
        <v/>
      </c>
      <c r="R256" s="34" t="str">
        <f t="shared" si="2"/>
        <v/>
      </c>
      <c r="S256" s="37" t="str">
        <f t="shared" si="3"/>
        <v/>
      </c>
      <c r="T256" s="38" t="str">
        <f t="shared" si="4"/>
        <v/>
      </c>
      <c r="U256" s="28" t="str">
        <f t="shared" si="5"/>
        <v/>
      </c>
      <c r="V256" s="39" t="str">
        <f>IFERROR(__xludf.DUMMYFUNCTION(" IF(Account!$F256&lt;&gt;"""", SPLIT(Account!$F256, "" ""), """")"),"")</f>
        <v/>
      </c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</row>
    <row r="257">
      <c r="A257" s="7"/>
      <c r="B257" s="7"/>
      <c r="C257" s="7"/>
      <c r="D257" s="7"/>
      <c r="E257" s="7"/>
      <c r="F257" s="9"/>
      <c r="G257" s="7"/>
      <c r="H257" s="7"/>
      <c r="I257" s="7"/>
      <c r="J257" s="7"/>
      <c r="K257" s="7"/>
      <c r="L257" s="26" t="str">
        <f t="shared" si="1"/>
        <v/>
      </c>
      <c r="M257" s="28" t="str">
        <f>IFERROR(__xludf.DUMMYFUNCTION("IF(Account!$F257&lt;&gt;"""", VALUE(REGEXREPLACE($I257, ""\,"", ""."")), """")"),"")</f>
        <v/>
      </c>
      <c r="N257" s="31" t="str">
        <f>IF(Account!$F257&lt;&gt;"", DATEVALUE(MID($A257,4,3) &amp; LEFT($A257,3) &amp; RIGHT($A257,4)) + TIMEVALUE($B257), "")</f>
        <v/>
      </c>
      <c r="O257" s="33" t="str">
        <f>IF(Account!$F257&lt;&gt;"", DATEVALUE(MID($A257,4,3) &amp; LEFT($A257,3) &amp; RIGHT($A257,4)), "")</f>
        <v/>
      </c>
      <c r="P257" s="34" t="str">
        <f>IFERROR(VLOOKUP($Q257,Selection!$F:$G,2,false))</f>
        <v/>
      </c>
      <c r="Q257" s="36" t="str">
        <f>IF(AND($X257="change",$H257="EUR"),IF(AND($Z257="Crédit",$N257=$N258),$Q258,IF(AND($Z257="Débit",$N257=$N256),$Q256)),IF(OR(AND(OR($E257&lt;&gt;"",$L257=""),$M257&lt;&gt;0),$A257=""),IFERROR(VLOOKUP($E257,Selection!$E:$F,2,false)),IFERROR(VLOOKUP(SUBSTITUTE($I257,"-","",1),$K258:$Q1119,7,false),VLOOKUP($K257,$K258:$Q1119,7,false))))</f>
        <v/>
      </c>
      <c r="R257" s="34" t="str">
        <f t="shared" si="2"/>
        <v/>
      </c>
      <c r="S257" s="37" t="str">
        <f t="shared" si="3"/>
        <v/>
      </c>
      <c r="T257" s="38" t="str">
        <f t="shared" si="4"/>
        <v/>
      </c>
      <c r="U257" s="28" t="str">
        <f t="shared" si="5"/>
        <v/>
      </c>
      <c r="V257" s="39" t="str">
        <f>IFERROR(__xludf.DUMMYFUNCTION(" IF(Account!$F257&lt;&gt;"""", SPLIT(Account!$F257, "" ""), """")"),"")</f>
        <v/>
      </c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>
      <c r="A258" s="7"/>
      <c r="B258" s="7"/>
      <c r="C258" s="7"/>
      <c r="D258" s="7"/>
      <c r="E258" s="7"/>
      <c r="F258" s="9"/>
      <c r="G258" s="341"/>
      <c r="H258" s="7"/>
      <c r="I258" s="7"/>
      <c r="J258" s="7"/>
      <c r="K258" s="7"/>
      <c r="L258" s="26" t="str">
        <f t="shared" si="1"/>
        <v/>
      </c>
      <c r="M258" s="28" t="str">
        <f>IFERROR(__xludf.DUMMYFUNCTION("IF(Account!$F258&lt;&gt;"""", VALUE(REGEXREPLACE($I258, ""\,"", ""."")), """")"),"")</f>
        <v/>
      </c>
      <c r="N258" s="31" t="str">
        <f>IF(Account!$F258&lt;&gt;"", DATEVALUE(MID($A258,4,3) &amp; LEFT($A258,3) &amp; RIGHT($A258,4)) + TIMEVALUE($B258), "")</f>
        <v/>
      </c>
      <c r="O258" s="33" t="str">
        <f>IF(Account!$F258&lt;&gt;"", DATEVALUE(MID($A258,4,3) &amp; LEFT($A258,3) &amp; RIGHT($A258,4)), "")</f>
        <v/>
      </c>
      <c r="P258" s="34" t="str">
        <f>IFERROR(VLOOKUP($Q258,Selection!$F:$G,2,false))</f>
        <v/>
      </c>
      <c r="Q258" s="36" t="str">
        <f>IF(AND($X258="change",$H258="EUR"),IF(AND($Z258="Crédit",$N258=$N259),$Q259,IF(AND($Z258="Débit",$N258=$N257),$Q257)),IF(OR(AND(OR($E258&lt;&gt;"",$L258=""),$M258&lt;&gt;0),$A258=""),IFERROR(VLOOKUP($E258,Selection!$E:$F,2,false)),IFERROR(VLOOKUP(SUBSTITUTE($I258,"-","",1),$K259:$Q1119,7,false),VLOOKUP($K258,$K259:$Q1119,7,false))))</f>
        <v/>
      </c>
      <c r="R258" s="34" t="str">
        <f t="shared" si="2"/>
        <v/>
      </c>
      <c r="S258" s="37" t="str">
        <f t="shared" si="3"/>
        <v/>
      </c>
      <c r="T258" s="38" t="str">
        <f t="shared" si="4"/>
        <v/>
      </c>
      <c r="U258" s="28" t="str">
        <f t="shared" si="5"/>
        <v/>
      </c>
      <c r="V258" s="39" t="str">
        <f>IFERROR(__xludf.DUMMYFUNCTION(" IF(Account!$F258&lt;&gt;"""", SPLIT(Account!$F258, "" ""), """")"),"")</f>
        <v/>
      </c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>
      <c r="A259" s="7"/>
      <c r="B259" s="7"/>
      <c r="C259" s="7"/>
      <c r="D259" s="7"/>
      <c r="E259" s="7"/>
      <c r="F259" s="9"/>
      <c r="G259" s="341"/>
      <c r="H259" s="7"/>
      <c r="I259" s="7"/>
      <c r="J259" s="7"/>
      <c r="K259" s="7"/>
      <c r="L259" s="26" t="str">
        <f t="shared" si="1"/>
        <v/>
      </c>
      <c r="M259" s="28" t="str">
        <f>IFERROR(__xludf.DUMMYFUNCTION("IF(Account!$F259&lt;&gt;"""", VALUE(REGEXREPLACE($I259, ""\,"", ""."")), """")"),"")</f>
        <v/>
      </c>
      <c r="N259" s="31" t="str">
        <f>IF(Account!$F259&lt;&gt;"", DATEVALUE(MID($A259,4,3) &amp; LEFT($A259,3) &amp; RIGHT($A259,4)) + TIMEVALUE($B259), "")</f>
        <v/>
      </c>
      <c r="O259" s="33" t="str">
        <f>IF(Account!$F259&lt;&gt;"", DATEVALUE(MID($A259,4,3) &amp; LEFT($A259,3) &amp; RIGHT($A259,4)), "")</f>
        <v/>
      </c>
      <c r="P259" s="34" t="str">
        <f>IFERROR(VLOOKUP($Q259,Selection!$F:$G,2,false))</f>
        <v/>
      </c>
      <c r="Q259" s="36" t="str">
        <f>IF(AND($X259="change",$H259="EUR"),IF(AND($Z259="Crédit",$N259=$N260),$Q260,IF(AND($Z259="Débit",$N259=$N258),$Q258)),IF(OR(AND(OR($E259&lt;&gt;"",$L259=""),$M259&lt;&gt;0),$A259=""),IFERROR(VLOOKUP($E259,Selection!$E:$F,2,false)),IFERROR(VLOOKUP(SUBSTITUTE($I259,"-","",1),$K260:$Q1119,7,false),VLOOKUP($K259,$K260:$Q1119,7,false))))</f>
        <v/>
      </c>
      <c r="R259" s="34" t="str">
        <f t="shared" si="2"/>
        <v/>
      </c>
      <c r="S259" s="37" t="str">
        <f t="shared" si="3"/>
        <v/>
      </c>
      <c r="T259" s="38" t="str">
        <f t="shared" si="4"/>
        <v/>
      </c>
      <c r="U259" s="28" t="str">
        <f t="shared" si="5"/>
        <v/>
      </c>
      <c r="V259" s="39" t="str">
        <f>IFERROR(__xludf.DUMMYFUNCTION(" IF(Account!$F259&lt;&gt;"""", SPLIT(Account!$F259, "" ""), """")"),"")</f>
        <v/>
      </c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>
      <c r="A260" s="7"/>
      <c r="B260" s="7"/>
      <c r="C260" s="7"/>
      <c r="D260" s="7"/>
      <c r="E260" s="7"/>
      <c r="F260" s="9"/>
      <c r="G260" s="7"/>
      <c r="H260" s="7"/>
      <c r="I260" s="7"/>
      <c r="J260" s="7"/>
      <c r="K260" s="7"/>
      <c r="L260" s="26" t="str">
        <f t="shared" si="1"/>
        <v/>
      </c>
      <c r="M260" s="28" t="str">
        <f>IFERROR(__xludf.DUMMYFUNCTION("IF(Account!$F260&lt;&gt;"""", VALUE(REGEXREPLACE($I260, ""\,"", ""."")), """")"),"")</f>
        <v/>
      </c>
      <c r="N260" s="31" t="str">
        <f>IF(Account!$F260&lt;&gt;"", DATEVALUE(MID($A260,4,3) &amp; LEFT($A260,3) &amp; RIGHT($A260,4)) + TIMEVALUE($B260), "")</f>
        <v/>
      </c>
      <c r="O260" s="33" t="str">
        <f>IF(Account!$F260&lt;&gt;"", DATEVALUE(MID($A260,4,3) &amp; LEFT($A260,3) &amp; RIGHT($A260,4)), "")</f>
        <v/>
      </c>
      <c r="P260" s="34" t="str">
        <f>IFERROR(VLOOKUP($Q260,Selection!$F:$G,2,false))</f>
        <v/>
      </c>
      <c r="Q260" s="36" t="str">
        <f>IF(AND($X260="change",$H260="EUR"),IF(AND($Z260="Crédit",$N260=$N261),$Q261,IF(AND($Z260="Débit",$N260=$N259),$Q259)),IF(OR(AND(OR($E260&lt;&gt;"",$L260=""),$M260&lt;&gt;0),$A260=""),IFERROR(VLOOKUP($E260,Selection!$E:$F,2,false)),IFERROR(VLOOKUP(SUBSTITUTE($I260,"-","",1),$K261:$Q1119,7,false),VLOOKUP($K260,$K261:$Q1119,7,false))))</f>
        <v/>
      </c>
      <c r="R260" s="34" t="str">
        <f t="shared" si="2"/>
        <v/>
      </c>
      <c r="S260" s="37" t="str">
        <f t="shared" si="3"/>
        <v/>
      </c>
      <c r="T260" s="38" t="str">
        <f t="shared" si="4"/>
        <v/>
      </c>
      <c r="U260" s="28" t="str">
        <f t="shared" si="5"/>
        <v/>
      </c>
      <c r="V260" s="39" t="str">
        <f>IFERROR(__xludf.DUMMYFUNCTION(" IF(Account!$F260&lt;&gt;"""", SPLIT(Account!$F260, "" ""), """")"),"")</f>
        <v/>
      </c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>
      <c r="A261" s="7"/>
      <c r="B261" s="7"/>
      <c r="C261" s="7"/>
      <c r="D261" s="7"/>
      <c r="E261" s="7"/>
      <c r="F261" s="9"/>
      <c r="G261" s="341"/>
      <c r="H261" s="7"/>
      <c r="I261" s="7"/>
      <c r="J261" s="7"/>
      <c r="K261" s="7"/>
      <c r="L261" s="26" t="str">
        <f t="shared" si="1"/>
        <v/>
      </c>
      <c r="M261" s="28" t="str">
        <f>IFERROR(__xludf.DUMMYFUNCTION("IF(Account!$F261&lt;&gt;"""", VALUE(REGEXREPLACE($I261, ""\,"", ""."")), """")"),"")</f>
        <v/>
      </c>
      <c r="N261" s="31" t="str">
        <f>IF(Account!$F261&lt;&gt;"", DATEVALUE(MID($A261,4,3) &amp; LEFT($A261,3) &amp; RIGHT($A261,4)) + TIMEVALUE($B261), "")</f>
        <v/>
      </c>
      <c r="O261" s="33" t="str">
        <f>IF(Account!$F261&lt;&gt;"", DATEVALUE(MID($A261,4,3) &amp; LEFT($A261,3) &amp; RIGHT($A261,4)), "")</f>
        <v/>
      </c>
      <c r="P261" s="34" t="str">
        <f>IFERROR(VLOOKUP($Q261,Selection!$F:$G,2,false))</f>
        <v/>
      </c>
      <c r="Q261" s="36" t="str">
        <f>IF(AND($X261="change",$H261="EUR"),IF(AND($Z261="Crédit",$N261=$N262),$Q262,IF(AND($Z261="Débit",$N261=$N260),$Q260)),IF(OR(AND(OR($E261&lt;&gt;"",$L261=""),$M261&lt;&gt;0),$A261=""),IFERROR(VLOOKUP($E261,Selection!$E:$F,2,false)),IFERROR(VLOOKUP(SUBSTITUTE($I261,"-","",1),$K262:$Q1119,7,false),VLOOKUP($K261,$K262:$Q1119,7,false))))</f>
        <v/>
      </c>
      <c r="R261" s="34" t="str">
        <f t="shared" si="2"/>
        <v/>
      </c>
      <c r="S261" s="37" t="str">
        <f t="shared" si="3"/>
        <v/>
      </c>
      <c r="T261" s="38" t="str">
        <f t="shared" si="4"/>
        <v/>
      </c>
      <c r="U261" s="28" t="str">
        <f t="shared" si="5"/>
        <v/>
      </c>
      <c r="V261" s="39" t="str">
        <f>IFERROR(__xludf.DUMMYFUNCTION(" IF(Account!$F261&lt;&gt;"""", SPLIT(Account!$F261, "" ""), """")"),"")</f>
        <v/>
      </c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>
      <c r="A262" s="7"/>
      <c r="B262" s="7"/>
      <c r="C262" s="7"/>
      <c r="D262" s="7"/>
      <c r="E262" s="7"/>
      <c r="F262" s="9"/>
      <c r="G262" s="341"/>
      <c r="H262" s="7"/>
      <c r="I262" s="7"/>
      <c r="J262" s="7"/>
      <c r="K262" s="7"/>
      <c r="L262" s="26" t="str">
        <f t="shared" si="1"/>
        <v/>
      </c>
      <c r="M262" s="28" t="str">
        <f>IFERROR(__xludf.DUMMYFUNCTION("IF(Account!$F262&lt;&gt;"""", VALUE(REGEXREPLACE($I262, ""\,"", ""."")), """")"),"")</f>
        <v/>
      </c>
      <c r="N262" s="31" t="str">
        <f>IF(Account!$F262&lt;&gt;"", DATEVALUE(MID($A262,4,3) &amp; LEFT($A262,3) &amp; RIGHT($A262,4)) + TIMEVALUE($B262), "")</f>
        <v/>
      </c>
      <c r="O262" s="33" t="str">
        <f>IF(Account!$F262&lt;&gt;"", DATEVALUE(MID($A262,4,3) &amp; LEFT($A262,3) &amp; RIGHT($A262,4)), "")</f>
        <v/>
      </c>
      <c r="P262" s="34" t="str">
        <f>IFERROR(VLOOKUP($Q262,Selection!$F:$G,2,false))</f>
        <v/>
      </c>
      <c r="Q262" s="36" t="str">
        <f>IF(AND($X262="change",$H262="EUR"),IF(AND($Z262="Crédit",$N262=$N263),$Q263,IF(AND($Z262="Débit",$N262=$N261),$Q261)),IF(OR(AND(OR($E262&lt;&gt;"",$L262=""),$M262&lt;&gt;0),$A262=""),IFERROR(VLOOKUP($E262,Selection!$E:$F,2,false)),IFERROR(VLOOKUP(SUBSTITUTE($I262,"-","",1),$K263:$Q1119,7,false),VLOOKUP($K262,$K263:$Q1119,7,false))))</f>
        <v/>
      </c>
      <c r="R262" s="34" t="str">
        <f t="shared" si="2"/>
        <v/>
      </c>
      <c r="S262" s="37" t="str">
        <f t="shared" si="3"/>
        <v/>
      </c>
      <c r="T262" s="38" t="str">
        <f t="shared" si="4"/>
        <v/>
      </c>
      <c r="U262" s="28" t="str">
        <f t="shared" si="5"/>
        <v/>
      </c>
      <c r="V262" s="39" t="str">
        <f>IFERROR(__xludf.DUMMYFUNCTION(" IF(Account!$F262&lt;&gt;"""", SPLIT(Account!$F262, "" ""), """")"),"")</f>
        <v/>
      </c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>
      <c r="A263" s="7"/>
      <c r="B263" s="7"/>
      <c r="C263" s="7"/>
      <c r="D263" s="7"/>
      <c r="E263" s="7"/>
      <c r="F263" s="9"/>
      <c r="G263" s="341"/>
      <c r="H263" s="7"/>
      <c r="I263" s="7"/>
      <c r="J263" s="7"/>
      <c r="K263" s="7"/>
      <c r="L263" s="26" t="str">
        <f t="shared" si="1"/>
        <v/>
      </c>
      <c r="M263" s="28" t="str">
        <f>IFERROR(__xludf.DUMMYFUNCTION("IF(Account!$F263&lt;&gt;"""", VALUE(REGEXREPLACE($I263, ""\,"", ""."")), """")"),"")</f>
        <v/>
      </c>
      <c r="N263" s="31" t="str">
        <f>IF(Account!$F263&lt;&gt;"", DATEVALUE(MID($A263,4,3) &amp; LEFT($A263,3) &amp; RIGHT($A263,4)) + TIMEVALUE($B263), "")</f>
        <v/>
      </c>
      <c r="O263" s="33" t="str">
        <f>IF(Account!$F263&lt;&gt;"", DATEVALUE(MID($A263,4,3) &amp; LEFT($A263,3) &amp; RIGHT($A263,4)), "")</f>
        <v/>
      </c>
      <c r="P263" s="34" t="str">
        <f>IFERROR(VLOOKUP($Q263,Selection!$F:$G,2,false))</f>
        <v/>
      </c>
      <c r="Q263" s="36" t="str">
        <f>IF(AND($X263="change",$H263="EUR"),IF(AND($Z263="Crédit",$N263=$N264),$Q264,IF(AND($Z263="Débit",$N263=$N262),$Q262)),IF(OR(AND(OR($E263&lt;&gt;"",$L263=""),$M263&lt;&gt;0),$A263=""),IFERROR(VLOOKUP($E263,Selection!$E:$F,2,false)),IFERROR(VLOOKUP(SUBSTITUTE($I263,"-","",1),$K264:$Q1119,7,false),VLOOKUP($K263,$K264:$Q1119,7,false))))</f>
        <v/>
      </c>
      <c r="R263" s="34" t="str">
        <f t="shared" si="2"/>
        <v/>
      </c>
      <c r="S263" s="37" t="str">
        <f t="shared" si="3"/>
        <v/>
      </c>
      <c r="T263" s="38" t="str">
        <f t="shared" si="4"/>
        <v/>
      </c>
      <c r="U263" s="28" t="str">
        <f t="shared" si="5"/>
        <v/>
      </c>
      <c r="V263" s="39" t="str">
        <f>IFERROR(__xludf.DUMMYFUNCTION(" IF(Account!$F263&lt;&gt;"""", SPLIT(Account!$F263, "" ""), """")"),"")</f>
        <v/>
      </c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</row>
    <row r="264">
      <c r="A264" s="7"/>
      <c r="B264" s="7"/>
      <c r="C264" s="7"/>
      <c r="D264" s="7"/>
      <c r="E264" s="7"/>
      <c r="F264" s="9"/>
      <c r="G264" s="7"/>
      <c r="H264" s="7"/>
      <c r="I264" s="7"/>
      <c r="J264" s="7"/>
      <c r="K264" s="7"/>
      <c r="L264" s="26" t="str">
        <f t="shared" si="1"/>
        <v/>
      </c>
      <c r="M264" s="28" t="str">
        <f>IFERROR(__xludf.DUMMYFUNCTION("IF(Account!$F264&lt;&gt;"""", VALUE(REGEXREPLACE($I264, ""\,"", ""."")), """")"),"")</f>
        <v/>
      </c>
      <c r="N264" s="31" t="str">
        <f>IF(Account!$F264&lt;&gt;"", DATEVALUE(MID($A264,4,3) &amp; LEFT($A264,3) &amp; RIGHT($A264,4)) + TIMEVALUE($B264), "")</f>
        <v/>
      </c>
      <c r="O264" s="33" t="str">
        <f>IF(Account!$F264&lt;&gt;"", DATEVALUE(MID($A264,4,3) &amp; LEFT($A264,3) &amp; RIGHT($A264,4)), "")</f>
        <v/>
      </c>
      <c r="P264" s="34" t="str">
        <f>IFERROR(VLOOKUP($Q264,Selection!$F:$G,2,false))</f>
        <v/>
      </c>
      <c r="Q264" s="36" t="str">
        <f>IF(AND($X264="change",$H264="EUR"),IF(AND($Z264="Crédit",$N264=$N265),$Q265,IF(AND($Z264="Débit",$N264=$N263),$Q263)),IF(OR(AND(OR($E264&lt;&gt;"",$L264=""),$M264&lt;&gt;0),$A264=""),IFERROR(VLOOKUP($E264,Selection!$E:$F,2,false)),IFERROR(VLOOKUP(SUBSTITUTE($I264,"-","",1),$K265:$Q1119,7,false),VLOOKUP($K264,$K265:$Q1119,7,false))))</f>
        <v/>
      </c>
      <c r="R264" s="34" t="str">
        <f t="shared" si="2"/>
        <v/>
      </c>
      <c r="S264" s="37" t="str">
        <f t="shared" si="3"/>
        <v/>
      </c>
      <c r="T264" s="38" t="str">
        <f t="shared" si="4"/>
        <v/>
      </c>
      <c r="U264" s="28" t="str">
        <f t="shared" si="5"/>
        <v/>
      </c>
      <c r="V264" s="39" t="str">
        <f>IFERROR(__xludf.DUMMYFUNCTION(" IF(Account!$F264&lt;&gt;"""", SPLIT(Account!$F264, "" ""), """")"),"")</f>
        <v/>
      </c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</row>
    <row r="265">
      <c r="A265" s="7"/>
      <c r="B265" s="7"/>
      <c r="C265" s="7"/>
      <c r="D265" s="7"/>
      <c r="E265" s="7"/>
      <c r="F265" s="9"/>
      <c r="G265" s="341"/>
      <c r="H265" s="7"/>
      <c r="I265" s="7"/>
      <c r="J265" s="7"/>
      <c r="K265" s="7"/>
      <c r="L265" s="26" t="str">
        <f t="shared" si="1"/>
        <v/>
      </c>
      <c r="M265" s="28" t="str">
        <f>IFERROR(__xludf.DUMMYFUNCTION("IF(Account!$F265&lt;&gt;"""", VALUE(REGEXREPLACE($I265, ""\,"", ""."")), """")"),"")</f>
        <v/>
      </c>
      <c r="N265" s="31" t="str">
        <f>IF(Account!$F265&lt;&gt;"", DATEVALUE(MID($A265,4,3) &amp; LEFT($A265,3) &amp; RIGHT($A265,4)) + TIMEVALUE($B265), "")</f>
        <v/>
      </c>
      <c r="O265" s="33" t="str">
        <f>IF(Account!$F265&lt;&gt;"", DATEVALUE(MID($A265,4,3) &amp; LEFT($A265,3) &amp; RIGHT($A265,4)), "")</f>
        <v/>
      </c>
      <c r="P265" s="34" t="str">
        <f>IFERROR(VLOOKUP($Q265,Selection!$F:$G,2,false))</f>
        <v/>
      </c>
      <c r="Q265" s="36" t="str">
        <f>IF(AND($X265="change",$H265="EUR"),IF(AND($Z265="Crédit",$N265=$N266),$Q266,IF(AND($Z265="Débit",$N265=$N264),$Q264)),IF(OR(AND(OR($E265&lt;&gt;"",$L265=""),$M265&lt;&gt;0),$A265=""),IFERROR(VLOOKUP($E265,Selection!$E:$F,2,false)),IFERROR(VLOOKUP(SUBSTITUTE($I265,"-","",1),$K266:$Q1119,7,false),VLOOKUP($K265,$K266:$Q1119,7,false))))</f>
        <v/>
      </c>
      <c r="R265" s="34" t="str">
        <f t="shared" si="2"/>
        <v/>
      </c>
      <c r="S265" s="37" t="str">
        <f t="shared" si="3"/>
        <v/>
      </c>
      <c r="T265" s="38" t="str">
        <f t="shared" si="4"/>
        <v/>
      </c>
      <c r="U265" s="28" t="str">
        <f t="shared" si="5"/>
        <v/>
      </c>
      <c r="V265" s="39" t="str">
        <f>IFERROR(__xludf.DUMMYFUNCTION(" IF(Account!$F265&lt;&gt;"""", SPLIT(Account!$F265, "" ""), """")"),"")</f>
        <v/>
      </c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</row>
    <row r="266">
      <c r="A266" s="7"/>
      <c r="B266" s="7"/>
      <c r="C266" s="7"/>
      <c r="D266" s="7"/>
      <c r="E266" s="7"/>
      <c r="F266" s="9"/>
      <c r="G266" s="341"/>
      <c r="H266" s="7"/>
      <c r="I266" s="7"/>
      <c r="J266" s="7"/>
      <c r="K266" s="7"/>
      <c r="L266" s="26" t="str">
        <f t="shared" si="1"/>
        <v/>
      </c>
      <c r="M266" s="28" t="str">
        <f>IFERROR(__xludf.DUMMYFUNCTION("IF(Account!$F266&lt;&gt;"""", VALUE(REGEXREPLACE($I266, ""\,"", ""."")), """")"),"")</f>
        <v/>
      </c>
      <c r="N266" s="31" t="str">
        <f>IF(Account!$F266&lt;&gt;"", DATEVALUE(MID($A266,4,3) &amp; LEFT($A266,3) &amp; RIGHT($A266,4)) + TIMEVALUE($B266), "")</f>
        <v/>
      </c>
      <c r="O266" s="33" t="str">
        <f>IF(Account!$F266&lt;&gt;"", DATEVALUE(MID($A266,4,3) &amp; LEFT($A266,3) &amp; RIGHT($A266,4)), "")</f>
        <v/>
      </c>
      <c r="P266" s="34" t="str">
        <f>IFERROR(VLOOKUP($Q266,Selection!$F:$G,2,false))</f>
        <v/>
      </c>
      <c r="Q266" s="36" t="str">
        <f>IF(AND($X266="change",$H266="EUR"),IF(AND($Z266="Crédit",$N266=$N267),$Q267,IF(AND($Z266="Débit",$N266=$N265),$Q265)),IF(OR(AND(OR($E266&lt;&gt;"",$L266=""),$M266&lt;&gt;0),$A266=""),IFERROR(VLOOKUP($E266,Selection!$E:$F,2,false)),IFERROR(VLOOKUP(SUBSTITUTE($I266,"-","",1),$K267:$Q1119,7,false),VLOOKUP($K266,$K267:$Q1119,7,false))))</f>
        <v/>
      </c>
      <c r="R266" s="34" t="str">
        <f t="shared" si="2"/>
        <v/>
      </c>
      <c r="S266" s="37" t="str">
        <f t="shared" si="3"/>
        <v/>
      </c>
      <c r="T266" s="38" t="str">
        <f t="shared" si="4"/>
        <v/>
      </c>
      <c r="U266" s="28" t="str">
        <f t="shared" si="5"/>
        <v/>
      </c>
      <c r="V266" s="39" t="str">
        <f>IFERROR(__xludf.DUMMYFUNCTION(" IF(Account!$F266&lt;&gt;"""", SPLIT(Account!$F266, "" ""), """")"),"")</f>
        <v/>
      </c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>
      <c r="A267" s="7"/>
      <c r="B267" s="7"/>
      <c r="C267" s="7"/>
      <c r="D267" s="7"/>
      <c r="E267" s="7"/>
      <c r="F267" s="9"/>
      <c r="G267" s="341"/>
      <c r="H267" s="7"/>
      <c r="I267" s="7"/>
      <c r="J267" s="7"/>
      <c r="K267" s="7"/>
      <c r="L267" s="26" t="str">
        <f t="shared" si="1"/>
        <v/>
      </c>
      <c r="M267" s="28" t="str">
        <f>IFERROR(__xludf.DUMMYFUNCTION("IF(Account!$F267&lt;&gt;"""", VALUE(REGEXREPLACE($I267, ""\,"", ""."")), """")"),"")</f>
        <v/>
      </c>
      <c r="N267" s="31" t="str">
        <f>IF(Account!$F267&lt;&gt;"", DATEVALUE(MID($A267,4,3) &amp; LEFT($A267,3) &amp; RIGHT($A267,4)) + TIMEVALUE($B267), "")</f>
        <v/>
      </c>
      <c r="O267" s="33" t="str">
        <f>IF(Account!$F267&lt;&gt;"", DATEVALUE(MID($A267,4,3) &amp; LEFT($A267,3) &amp; RIGHT($A267,4)), "")</f>
        <v/>
      </c>
      <c r="P267" s="34" t="str">
        <f>IFERROR(VLOOKUP($Q267,Selection!$F:$G,2,false))</f>
        <v/>
      </c>
      <c r="Q267" s="36" t="str">
        <f>IF(AND($X267="change",$H267="EUR"),IF(AND($Z267="Crédit",$N267=$N268),$Q268,IF(AND($Z267="Débit",$N267=$N266),$Q266)),IF(OR(AND(OR($E267&lt;&gt;"",$L267=""),$M267&lt;&gt;0),$A267=""),IFERROR(VLOOKUP($E267,Selection!$E:$F,2,false)),IFERROR(VLOOKUP(SUBSTITUTE($I267,"-","",1),$K268:$Q1119,7,false),VLOOKUP($K267,$K268:$Q1119,7,false))))</f>
        <v/>
      </c>
      <c r="R267" s="34" t="str">
        <f t="shared" si="2"/>
        <v/>
      </c>
      <c r="S267" s="37" t="str">
        <f t="shared" si="3"/>
        <v/>
      </c>
      <c r="T267" s="38" t="str">
        <f t="shared" si="4"/>
        <v/>
      </c>
      <c r="U267" s="28" t="str">
        <f t="shared" si="5"/>
        <v/>
      </c>
      <c r="V267" s="39" t="str">
        <f>IFERROR(__xludf.DUMMYFUNCTION(" IF(Account!$F267&lt;&gt;"""", SPLIT(Account!$F267, "" ""), """")"),"")</f>
        <v/>
      </c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>
      <c r="A268" s="7"/>
      <c r="B268" s="7"/>
      <c r="C268" s="7"/>
      <c r="D268" s="7"/>
      <c r="E268" s="7"/>
      <c r="F268" s="9"/>
      <c r="G268" s="7"/>
      <c r="H268" s="7"/>
      <c r="I268" s="7"/>
      <c r="J268" s="7"/>
      <c r="K268" s="7"/>
      <c r="L268" s="26" t="str">
        <f t="shared" si="1"/>
        <v/>
      </c>
      <c r="M268" s="28" t="str">
        <f>IFERROR(__xludf.DUMMYFUNCTION("IF(Account!$F268&lt;&gt;"""", VALUE(REGEXREPLACE($I268, ""\,"", ""."")), """")"),"")</f>
        <v/>
      </c>
      <c r="N268" s="31" t="str">
        <f>IF(Account!$F268&lt;&gt;"", DATEVALUE(MID($A268,4,3) &amp; LEFT($A268,3) &amp; RIGHT($A268,4)) + TIMEVALUE($B268), "")</f>
        <v/>
      </c>
      <c r="O268" s="33" t="str">
        <f>IF(Account!$F268&lt;&gt;"", DATEVALUE(MID($A268,4,3) &amp; LEFT($A268,3) &amp; RIGHT($A268,4)), "")</f>
        <v/>
      </c>
      <c r="P268" s="34" t="str">
        <f>IFERROR(VLOOKUP($Q268,Selection!$F:$G,2,false))</f>
        <v/>
      </c>
      <c r="Q268" s="36" t="str">
        <f>IF(AND($X268="change",$H268="EUR"),IF(AND($Z268="Crédit",$N268=$N269),$Q269,IF(AND($Z268="Débit",$N268=$N267),$Q267)),IF(OR(AND(OR($E268&lt;&gt;"",$L268=""),$M268&lt;&gt;0),$A268=""),IFERROR(VLOOKUP($E268,Selection!$E:$F,2,false)),IFERROR(VLOOKUP(SUBSTITUTE($I268,"-","",1),$K269:$Q1119,7,false),VLOOKUP($K268,$K269:$Q1119,7,false))))</f>
        <v/>
      </c>
      <c r="R268" s="34" t="str">
        <f t="shared" si="2"/>
        <v/>
      </c>
      <c r="S268" s="37" t="str">
        <f t="shared" si="3"/>
        <v/>
      </c>
      <c r="T268" s="38" t="str">
        <f t="shared" si="4"/>
        <v/>
      </c>
      <c r="U268" s="28" t="str">
        <f t="shared" si="5"/>
        <v/>
      </c>
      <c r="V268" s="39" t="str">
        <f>IFERROR(__xludf.DUMMYFUNCTION(" IF(Account!$F268&lt;&gt;"""", SPLIT(Account!$F268, "" ""), """")"),"")</f>
        <v/>
      </c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>
      <c r="A269" s="7"/>
      <c r="B269" s="7"/>
      <c r="C269" s="7"/>
      <c r="D269" s="7"/>
      <c r="E269" s="7"/>
      <c r="F269" s="9"/>
      <c r="G269" s="341"/>
      <c r="H269" s="7"/>
      <c r="I269" s="7"/>
      <c r="J269" s="7"/>
      <c r="K269" s="7"/>
      <c r="L269" s="26" t="str">
        <f t="shared" si="1"/>
        <v/>
      </c>
      <c r="M269" s="28" t="str">
        <f>IFERROR(__xludf.DUMMYFUNCTION("IF(Account!$F269&lt;&gt;"""", VALUE(REGEXREPLACE($I269, ""\,"", ""."")), """")"),"")</f>
        <v/>
      </c>
      <c r="N269" s="31" t="str">
        <f>IF(Account!$F269&lt;&gt;"", DATEVALUE(MID($A269,4,3) &amp; LEFT($A269,3) &amp; RIGHT($A269,4)) + TIMEVALUE($B269), "")</f>
        <v/>
      </c>
      <c r="O269" s="33" t="str">
        <f>IF(Account!$F269&lt;&gt;"", DATEVALUE(MID($A269,4,3) &amp; LEFT($A269,3) &amp; RIGHT($A269,4)), "")</f>
        <v/>
      </c>
      <c r="P269" s="34" t="str">
        <f>IFERROR(VLOOKUP($Q269,Selection!$F:$G,2,false))</f>
        <v/>
      </c>
      <c r="Q269" s="36" t="str">
        <f>IF(AND($X269="change",$H269="EUR"),IF(AND($Z269="Crédit",$N269=$N270),$Q270,IF(AND($Z269="Débit",$N269=$N268),$Q268)),IF(OR(AND(OR($E269&lt;&gt;"",$L269=""),$M269&lt;&gt;0),$A269=""),IFERROR(VLOOKUP($E269,Selection!$E:$F,2,false)),IFERROR(VLOOKUP(SUBSTITUTE($I269,"-","",1),$K270:$Q1119,7,false),VLOOKUP($K269,$K270:$Q1119,7,false))))</f>
        <v/>
      </c>
      <c r="R269" s="34" t="str">
        <f t="shared" si="2"/>
        <v/>
      </c>
      <c r="S269" s="37" t="str">
        <f t="shared" si="3"/>
        <v/>
      </c>
      <c r="T269" s="38" t="str">
        <f t="shared" si="4"/>
        <v/>
      </c>
      <c r="U269" s="28" t="str">
        <f t="shared" si="5"/>
        <v/>
      </c>
      <c r="V269" s="39" t="str">
        <f>IFERROR(__xludf.DUMMYFUNCTION(" IF(Account!$F269&lt;&gt;"""", SPLIT(Account!$F269, "" ""), """")"),"")</f>
        <v/>
      </c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>
      <c r="A270" s="7"/>
      <c r="B270" s="7"/>
      <c r="C270" s="7"/>
      <c r="D270" s="7"/>
      <c r="E270" s="7"/>
      <c r="F270" s="9"/>
      <c r="G270" s="7"/>
      <c r="H270" s="7"/>
      <c r="I270" s="7"/>
      <c r="J270" s="7"/>
      <c r="K270" s="7"/>
      <c r="L270" s="26" t="str">
        <f t="shared" si="1"/>
        <v/>
      </c>
      <c r="M270" s="28" t="str">
        <f>IFERROR(__xludf.DUMMYFUNCTION("IF(Account!$F270&lt;&gt;"""", VALUE(REGEXREPLACE($I270, ""\,"", ""."")), """")"),"")</f>
        <v/>
      </c>
      <c r="N270" s="31" t="str">
        <f>IF(Account!$F270&lt;&gt;"", DATEVALUE(MID($A270,4,3) &amp; LEFT($A270,3) &amp; RIGHT($A270,4)) + TIMEVALUE($B270), "")</f>
        <v/>
      </c>
      <c r="O270" s="33" t="str">
        <f>IF(Account!$F270&lt;&gt;"", DATEVALUE(MID($A270,4,3) &amp; LEFT($A270,3) &amp; RIGHT($A270,4)), "")</f>
        <v/>
      </c>
      <c r="P270" s="34" t="str">
        <f>IFERROR(VLOOKUP($Q270,Selection!$F:$G,2,false))</f>
        <v/>
      </c>
      <c r="Q270" s="36" t="str">
        <f>IF(AND($X270="change",$H270="EUR"),IF(AND($Z270="Crédit",$N270=$N271),$Q271,IF(AND($Z270="Débit",$N270=$N269),$Q269)),IF(OR(AND(OR($E270&lt;&gt;"",$L270=""),$M270&lt;&gt;0),$A270=""),IFERROR(VLOOKUP($E270,Selection!$E:$F,2,false)),IFERROR(VLOOKUP(SUBSTITUTE($I270,"-","",1),$K271:$Q1119,7,false),VLOOKUP($K270,$K271:$Q1119,7,false))))</f>
        <v/>
      </c>
      <c r="R270" s="34" t="str">
        <f t="shared" si="2"/>
        <v/>
      </c>
      <c r="S270" s="37" t="str">
        <f t="shared" si="3"/>
        <v/>
      </c>
      <c r="T270" s="38" t="str">
        <f t="shared" si="4"/>
        <v/>
      </c>
      <c r="U270" s="28" t="str">
        <f t="shared" si="5"/>
        <v/>
      </c>
      <c r="V270" s="39" t="str">
        <f>IFERROR(__xludf.DUMMYFUNCTION(" IF(Account!$F270&lt;&gt;"""", SPLIT(Account!$F270, "" ""), """")"),"")</f>
        <v/>
      </c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>
      <c r="A271" s="7"/>
      <c r="B271" s="7"/>
      <c r="C271" s="7"/>
      <c r="D271" s="7"/>
      <c r="E271" s="7"/>
      <c r="F271" s="9"/>
      <c r="G271" s="341"/>
      <c r="H271" s="7"/>
      <c r="I271" s="7"/>
      <c r="J271" s="7"/>
      <c r="K271" s="7"/>
      <c r="L271" s="26" t="str">
        <f t="shared" si="1"/>
        <v/>
      </c>
      <c r="M271" s="28" t="str">
        <f>IFERROR(__xludf.DUMMYFUNCTION("IF(Account!$F271&lt;&gt;"""", VALUE(REGEXREPLACE($I271, ""\,"", ""."")), """")"),"")</f>
        <v/>
      </c>
      <c r="N271" s="31" t="str">
        <f>IF(Account!$F271&lt;&gt;"", DATEVALUE(MID($A271,4,3) &amp; LEFT($A271,3) &amp; RIGHT($A271,4)) + TIMEVALUE($B271), "")</f>
        <v/>
      </c>
      <c r="O271" s="33" t="str">
        <f>IF(Account!$F271&lt;&gt;"", DATEVALUE(MID($A271,4,3) &amp; LEFT($A271,3) &amp; RIGHT($A271,4)), "")</f>
        <v/>
      </c>
      <c r="P271" s="34" t="str">
        <f>IFERROR(VLOOKUP($Q271,Selection!$F:$G,2,false))</f>
        <v/>
      </c>
      <c r="Q271" s="36" t="str">
        <f>IF(AND($X271="change",$H271="EUR"),IF(AND($Z271="Crédit",$N271=$N272),$Q272,IF(AND($Z271="Débit",$N271=$N270),$Q270)),IF(OR(AND(OR($E271&lt;&gt;"",$L271=""),$M271&lt;&gt;0),$A271=""),IFERROR(VLOOKUP($E271,Selection!$E:$F,2,false)),IFERROR(VLOOKUP(SUBSTITUTE($I271,"-","",1),$K272:$Q1119,7,false),VLOOKUP($K271,$K272:$Q1119,7,false))))</f>
        <v/>
      </c>
      <c r="R271" s="34" t="str">
        <f t="shared" si="2"/>
        <v/>
      </c>
      <c r="S271" s="37" t="str">
        <f t="shared" si="3"/>
        <v/>
      </c>
      <c r="T271" s="38" t="str">
        <f t="shared" si="4"/>
        <v/>
      </c>
      <c r="U271" s="28" t="str">
        <f t="shared" si="5"/>
        <v/>
      </c>
      <c r="V271" s="39" t="str">
        <f>IFERROR(__xludf.DUMMYFUNCTION(" IF(Account!$F271&lt;&gt;"""", SPLIT(Account!$F271, "" ""), """")"),"")</f>
        <v/>
      </c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>
      <c r="A272" s="7"/>
      <c r="B272" s="7"/>
      <c r="C272" s="7"/>
      <c r="D272" s="7"/>
      <c r="E272" s="7"/>
      <c r="F272" s="9"/>
      <c r="G272" s="341"/>
      <c r="H272" s="7"/>
      <c r="I272" s="7"/>
      <c r="J272" s="7"/>
      <c r="K272" s="7"/>
      <c r="L272" s="26" t="str">
        <f t="shared" si="1"/>
        <v/>
      </c>
      <c r="M272" s="28" t="str">
        <f>IFERROR(__xludf.DUMMYFUNCTION("IF(Account!$F272&lt;&gt;"""", VALUE(REGEXREPLACE($I272, ""\,"", ""."")), """")"),"")</f>
        <v/>
      </c>
      <c r="N272" s="31" t="str">
        <f>IF(Account!$F272&lt;&gt;"", DATEVALUE(MID($A272,4,3) &amp; LEFT($A272,3) &amp; RIGHT($A272,4)) + TIMEVALUE($B272), "")</f>
        <v/>
      </c>
      <c r="O272" s="33" t="str">
        <f>IF(Account!$F272&lt;&gt;"", DATEVALUE(MID($A272,4,3) &amp; LEFT($A272,3) &amp; RIGHT($A272,4)), "")</f>
        <v/>
      </c>
      <c r="P272" s="34" t="str">
        <f>IFERROR(VLOOKUP($Q272,Selection!$F:$G,2,false))</f>
        <v/>
      </c>
      <c r="Q272" s="36" t="str">
        <f>IF(AND($X272="change",$H272="EUR"),IF(AND($Z272="Crédit",$N272=$N273),$Q273,IF(AND($Z272="Débit",$N272=$N271),$Q271)),IF(OR(AND(OR($E272&lt;&gt;"",$L272=""),$M272&lt;&gt;0),$A272=""),IFERROR(VLOOKUP($E272,Selection!$E:$F,2,false)),IFERROR(VLOOKUP(SUBSTITUTE($I272,"-","",1),$K273:$Q1119,7,false),VLOOKUP($K272,$K273:$Q1119,7,false))))</f>
        <v/>
      </c>
      <c r="R272" s="34" t="str">
        <f t="shared" si="2"/>
        <v/>
      </c>
      <c r="S272" s="37" t="str">
        <f t="shared" si="3"/>
        <v/>
      </c>
      <c r="T272" s="38" t="str">
        <f t="shared" si="4"/>
        <v/>
      </c>
      <c r="U272" s="28" t="str">
        <f t="shared" si="5"/>
        <v/>
      </c>
      <c r="V272" s="39" t="str">
        <f>IFERROR(__xludf.DUMMYFUNCTION(" IF(Account!$F272&lt;&gt;"""", SPLIT(Account!$F272, "" ""), """")"),"")</f>
        <v/>
      </c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</row>
    <row r="273">
      <c r="A273" s="7"/>
      <c r="B273" s="7"/>
      <c r="C273" s="7"/>
      <c r="D273" s="7"/>
      <c r="E273" s="7"/>
      <c r="F273" s="9"/>
      <c r="G273" s="341"/>
      <c r="H273" s="7"/>
      <c r="I273" s="7"/>
      <c r="J273" s="7"/>
      <c r="K273" s="7"/>
      <c r="L273" s="26" t="str">
        <f t="shared" si="1"/>
        <v/>
      </c>
      <c r="M273" s="28" t="str">
        <f>IFERROR(__xludf.DUMMYFUNCTION("IF(Account!$F273&lt;&gt;"""", VALUE(REGEXREPLACE($I273, ""\,"", ""."")), """")"),"")</f>
        <v/>
      </c>
      <c r="N273" s="31" t="str">
        <f>IF(Account!$F273&lt;&gt;"", DATEVALUE(MID($A273,4,3) &amp; LEFT($A273,3) &amp; RIGHT($A273,4)) + TIMEVALUE($B273), "")</f>
        <v/>
      </c>
      <c r="O273" s="33" t="str">
        <f>IF(Account!$F273&lt;&gt;"", DATEVALUE(MID($A273,4,3) &amp; LEFT($A273,3) &amp; RIGHT($A273,4)), "")</f>
        <v/>
      </c>
      <c r="P273" s="34" t="str">
        <f>IFERROR(VLOOKUP($Q273,Selection!$F:$G,2,false))</f>
        <v/>
      </c>
      <c r="Q273" s="36" t="str">
        <f>IF(AND($X273="change",$H273="EUR"),IF(AND($Z273="Crédit",$N273=$N274),$Q274,IF(AND($Z273="Débit",$N273=$N272),$Q272)),IF(OR(AND(OR($E273&lt;&gt;"",$L273=""),$M273&lt;&gt;0),$A273=""),IFERROR(VLOOKUP($E273,Selection!$E:$F,2,false)),IFERROR(VLOOKUP(SUBSTITUTE($I273,"-","",1),$K274:$Q1119,7,false),VLOOKUP($K273,$K274:$Q1119,7,false))))</f>
        <v/>
      </c>
      <c r="R273" s="34" t="str">
        <f t="shared" si="2"/>
        <v/>
      </c>
      <c r="S273" s="37" t="str">
        <f t="shared" si="3"/>
        <v/>
      </c>
      <c r="T273" s="38" t="str">
        <f t="shared" si="4"/>
        <v/>
      </c>
      <c r="U273" s="28" t="str">
        <f t="shared" si="5"/>
        <v/>
      </c>
      <c r="V273" s="39" t="str">
        <f>IFERROR(__xludf.DUMMYFUNCTION(" IF(Account!$F273&lt;&gt;"""", SPLIT(Account!$F273, "" ""), """")"),"")</f>
        <v/>
      </c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</row>
    <row r="274">
      <c r="A274" s="7"/>
      <c r="B274" s="7"/>
      <c r="C274" s="7"/>
      <c r="D274" s="7"/>
      <c r="E274" s="7"/>
      <c r="F274" s="9"/>
      <c r="G274" s="341"/>
      <c r="H274" s="7"/>
      <c r="I274" s="7"/>
      <c r="J274" s="7"/>
      <c r="K274" s="7"/>
      <c r="L274" s="26" t="str">
        <f t="shared" si="1"/>
        <v/>
      </c>
      <c r="M274" s="28" t="str">
        <f>IFERROR(__xludf.DUMMYFUNCTION("IF(Account!$F274&lt;&gt;"""", VALUE(REGEXREPLACE($I274, ""\,"", ""."")), """")"),"")</f>
        <v/>
      </c>
      <c r="N274" s="31" t="str">
        <f>IF(Account!$F274&lt;&gt;"", DATEVALUE(MID($A274,4,3) &amp; LEFT($A274,3) &amp; RIGHT($A274,4)) + TIMEVALUE($B274), "")</f>
        <v/>
      </c>
      <c r="O274" s="33" t="str">
        <f>IF(Account!$F274&lt;&gt;"", DATEVALUE(MID($A274,4,3) &amp; LEFT($A274,3) &amp; RIGHT($A274,4)), "")</f>
        <v/>
      </c>
      <c r="P274" s="34" t="str">
        <f>IFERROR(VLOOKUP($Q274,Selection!$F:$G,2,false))</f>
        <v/>
      </c>
      <c r="Q274" s="36" t="str">
        <f>IF(AND($X274="change",$H274="EUR"),IF(AND($Z274="Crédit",$N274=$N275),$Q275,IF(AND($Z274="Débit",$N274=$N273),$Q273)),IF(OR(AND(OR($E274&lt;&gt;"",$L274=""),$M274&lt;&gt;0),$A274=""),IFERROR(VLOOKUP($E274,Selection!$E:$F,2,false)),IFERROR(VLOOKUP(SUBSTITUTE($I274,"-","",1),$K275:$Q1119,7,false),VLOOKUP($K274,$K275:$Q1119,7,false))))</f>
        <v/>
      </c>
      <c r="R274" s="34" t="str">
        <f t="shared" si="2"/>
        <v/>
      </c>
      <c r="S274" s="37" t="str">
        <f t="shared" si="3"/>
        <v/>
      </c>
      <c r="T274" s="38" t="str">
        <f t="shared" si="4"/>
        <v/>
      </c>
      <c r="U274" s="28" t="str">
        <f t="shared" si="5"/>
        <v/>
      </c>
      <c r="V274" s="39" t="str">
        <f>IFERROR(__xludf.DUMMYFUNCTION(" IF(Account!$F274&lt;&gt;"""", SPLIT(Account!$F274, "" ""), """")"),"")</f>
        <v/>
      </c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</row>
    <row r="275">
      <c r="A275" s="7"/>
      <c r="B275" s="7"/>
      <c r="C275" s="7"/>
      <c r="D275" s="7"/>
      <c r="E275" s="7"/>
      <c r="F275" s="9"/>
      <c r="G275" s="7"/>
      <c r="H275" s="7"/>
      <c r="I275" s="7"/>
      <c r="J275" s="7"/>
      <c r="K275" s="7"/>
      <c r="L275" s="26" t="str">
        <f t="shared" si="1"/>
        <v/>
      </c>
      <c r="M275" s="28" t="str">
        <f>IFERROR(__xludf.DUMMYFUNCTION("IF(Account!$F275&lt;&gt;"""", VALUE(REGEXREPLACE($I275, ""\,"", ""."")), """")"),"")</f>
        <v/>
      </c>
      <c r="N275" s="31" t="str">
        <f>IF(Account!$F275&lt;&gt;"", DATEVALUE(MID($A275,4,3) &amp; LEFT($A275,3) &amp; RIGHT($A275,4)) + TIMEVALUE($B275), "")</f>
        <v/>
      </c>
      <c r="O275" s="33" t="str">
        <f>IF(Account!$F275&lt;&gt;"", DATEVALUE(MID($A275,4,3) &amp; LEFT($A275,3) &amp; RIGHT($A275,4)), "")</f>
        <v/>
      </c>
      <c r="P275" s="34" t="str">
        <f>IFERROR(VLOOKUP($Q275,Selection!$F:$G,2,false))</f>
        <v/>
      </c>
      <c r="Q275" s="36" t="str">
        <f>IF(AND($X275="change",$H275="EUR"),IF(AND($Z275="Crédit",$N275=$N276),$Q276,IF(AND($Z275="Débit",$N275=$N274),$Q274)),IF(OR(AND(OR($E275&lt;&gt;"",$L275=""),$M275&lt;&gt;0),$A275=""),IFERROR(VLOOKUP($E275,Selection!$E:$F,2,false)),IFERROR(VLOOKUP(SUBSTITUTE($I275,"-","",1),$K276:$Q1119,7,false),VLOOKUP($K275,$K276:$Q1119,7,false))))</f>
        <v/>
      </c>
      <c r="R275" s="34" t="str">
        <f t="shared" si="2"/>
        <v/>
      </c>
      <c r="S275" s="37" t="str">
        <f t="shared" si="3"/>
        <v/>
      </c>
      <c r="T275" s="38" t="str">
        <f t="shared" si="4"/>
        <v/>
      </c>
      <c r="U275" s="28" t="str">
        <f t="shared" si="5"/>
        <v/>
      </c>
      <c r="V275" s="39" t="str">
        <f>IFERROR(__xludf.DUMMYFUNCTION(" IF(Account!$F275&lt;&gt;"""", SPLIT(Account!$F275, "" ""), """")"),"")</f>
        <v/>
      </c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>
      <c r="A276" s="7"/>
      <c r="B276" s="7"/>
      <c r="C276" s="7"/>
      <c r="D276" s="7"/>
      <c r="E276" s="7"/>
      <c r="F276" s="9"/>
      <c r="G276" s="341"/>
      <c r="H276" s="7"/>
      <c r="I276" s="7"/>
      <c r="J276" s="7"/>
      <c r="K276" s="7"/>
      <c r="L276" s="26" t="str">
        <f t="shared" si="1"/>
        <v/>
      </c>
      <c r="M276" s="28" t="str">
        <f>IFERROR(__xludf.DUMMYFUNCTION("IF(Account!$F276&lt;&gt;"""", VALUE(REGEXREPLACE($I276, ""\,"", ""."")), """")"),"")</f>
        <v/>
      </c>
      <c r="N276" s="31" t="str">
        <f>IF(Account!$F276&lt;&gt;"", DATEVALUE(MID($A276,4,3) &amp; LEFT($A276,3) &amp; RIGHT($A276,4)) + TIMEVALUE($B276), "")</f>
        <v/>
      </c>
      <c r="O276" s="33" t="str">
        <f>IF(Account!$F276&lt;&gt;"", DATEVALUE(MID($A276,4,3) &amp; LEFT($A276,3) &amp; RIGHT($A276,4)), "")</f>
        <v/>
      </c>
      <c r="P276" s="34" t="str">
        <f>IFERROR(VLOOKUP($Q276,Selection!$F:$G,2,false))</f>
        <v/>
      </c>
      <c r="Q276" s="36" t="str">
        <f>IF(AND($X276="change",$H276="EUR"),IF(AND($Z276="Crédit",$N276=$N277),$Q277,IF(AND($Z276="Débit",$N276=$N275),$Q275)),IF(OR(AND(OR($E276&lt;&gt;"",$L276=""),$M276&lt;&gt;0),$A276=""),IFERROR(VLOOKUP($E276,Selection!$E:$F,2,false)),IFERROR(VLOOKUP(SUBSTITUTE($I276,"-","",1),$K277:$Q1119,7,false),VLOOKUP($K276,$K277:$Q1119,7,false))))</f>
        <v/>
      </c>
      <c r="R276" s="34" t="str">
        <f t="shared" si="2"/>
        <v/>
      </c>
      <c r="S276" s="37" t="str">
        <f t="shared" si="3"/>
        <v/>
      </c>
      <c r="T276" s="38" t="str">
        <f t="shared" si="4"/>
        <v/>
      </c>
      <c r="U276" s="28" t="str">
        <f t="shared" si="5"/>
        <v/>
      </c>
      <c r="V276" s="39" t="str">
        <f>IFERROR(__xludf.DUMMYFUNCTION(" IF(Account!$F276&lt;&gt;"""", SPLIT(Account!$F276, "" ""), """")"),"")</f>
        <v/>
      </c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>
      <c r="A277" s="7"/>
      <c r="B277" s="7"/>
      <c r="C277" s="7"/>
      <c r="D277" s="7"/>
      <c r="E277" s="7"/>
      <c r="F277" s="9"/>
      <c r="G277" s="7"/>
      <c r="H277" s="7"/>
      <c r="I277" s="7"/>
      <c r="J277" s="7"/>
      <c r="K277" s="7"/>
      <c r="L277" s="26" t="str">
        <f t="shared" si="1"/>
        <v/>
      </c>
      <c r="M277" s="28" t="str">
        <f>IFERROR(__xludf.DUMMYFUNCTION("IF(Account!$F277&lt;&gt;"""", VALUE(REGEXREPLACE($I277, ""\,"", ""."")), """")"),"")</f>
        <v/>
      </c>
      <c r="N277" s="31" t="str">
        <f>IF(Account!$F277&lt;&gt;"", DATEVALUE(MID($A277,4,3) &amp; LEFT($A277,3) &amp; RIGHT($A277,4)) + TIMEVALUE($B277), "")</f>
        <v/>
      </c>
      <c r="O277" s="33" t="str">
        <f>IF(Account!$F277&lt;&gt;"", DATEVALUE(MID($A277,4,3) &amp; LEFT($A277,3) &amp; RIGHT($A277,4)), "")</f>
        <v/>
      </c>
      <c r="P277" s="34" t="str">
        <f>IFERROR(VLOOKUP($Q277,Selection!$F:$G,2,false))</f>
        <v/>
      </c>
      <c r="Q277" s="36" t="str">
        <f>IF(AND($X277="change",$H277="EUR"),IF(AND($Z277="Crédit",$N277=$N278),$Q278,IF(AND($Z277="Débit",$N277=$N276),$Q276)),IF(OR(AND(OR($E277&lt;&gt;"",$L277=""),$M277&lt;&gt;0),$A277=""),IFERROR(VLOOKUP($E277,Selection!$E:$F,2,false)),IFERROR(VLOOKUP(SUBSTITUTE($I277,"-","",1),$K278:$Q1119,7,false),VLOOKUP($K277,$K278:$Q1119,7,false))))</f>
        <v/>
      </c>
      <c r="R277" s="34" t="str">
        <f t="shared" si="2"/>
        <v/>
      </c>
      <c r="S277" s="37" t="str">
        <f t="shared" si="3"/>
        <v/>
      </c>
      <c r="T277" s="38" t="str">
        <f t="shared" si="4"/>
        <v/>
      </c>
      <c r="U277" s="28" t="str">
        <f t="shared" si="5"/>
        <v/>
      </c>
      <c r="V277" s="39" t="str">
        <f>IFERROR(__xludf.DUMMYFUNCTION(" IF(Account!$F277&lt;&gt;"""", SPLIT(Account!$F277, "" ""), """")"),"")</f>
        <v/>
      </c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>
      <c r="A278" s="7"/>
      <c r="B278" s="7"/>
      <c r="C278" s="7"/>
      <c r="D278" s="7"/>
      <c r="E278" s="7"/>
      <c r="F278" s="9"/>
      <c r="G278" s="341"/>
      <c r="H278" s="7"/>
      <c r="I278" s="7"/>
      <c r="J278" s="7"/>
      <c r="K278" s="7"/>
      <c r="L278" s="26" t="str">
        <f t="shared" si="1"/>
        <v/>
      </c>
      <c r="M278" s="28" t="str">
        <f>IFERROR(__xludf.DUMMYFUNCTION("IF(Account!$F278&lt;&gt;"""", VALUE(REGEXREPLACE($I278, ""\,"", ""."")), """")"),"")</f>
        <v/>
      </c>
      <c r="N278" s="31" t="str">
        <f>IF(Account!$F278&lt;&gt;"", DATEVALUE(MID($A278,4,3) &amp; LEFT($A278,3) &amp; RIGHT($A278,4)) + TIMEVALUE($B278), "")</f>
        <v/>
      </c>
      <c r="O278" s="33" t="str">
        <f>IF(Account!$F278&lt;&gt;"", DATEVALUE(MID($A278,4,3) &amp; LEFT($A278,3) &amp; RIGHT($A278,4)), "")</f>
        <v/>
      </c>
      <c r="P278" s="34" t="str">
        <f>IFERROR(VLOOKUP($Q278,Selection!$F:$G,2,false))</f>
        <v/>
      </c>
      <c r="Q278" s="36" t="str">
        <f>IF(AND($X278="change",$H278="EUR"),IF(AND($Z278="Crédit",$N278=$N279),$Q279,IF(AND($Z278="Débit",$N278=$N277),$Q277)),IF(OR(AND(OR($E278&lt;&gt;"",$L278=""),$M278&lt;&gt;0),$A278=""),IFERROR(VLOOKUP($E278,Selection!$E:$F,2,false)),IFERROR(VLOOKUP(SUBSTITUTE($I278,"-","",1),$K279:$Q1119,7,false),VLOOKUP($K278,$K279:$Q1119,7,false))))</f>
        <v/>
      </c>
      <c r="R278" s="34" t="str">
        <f t="shared" si="2"/>
        <v/>
      </c>
      <c r="S278" s="37" t="str">
        <f t="shared" si="3"/>
        <v/>
      </c>
      <c r="T278" s="38" t="str">
        <f t="shared" si="4"/>
        <v/>
      </c>
      <c r="U278" s="28" t="str">
        <f t="shared" si="5"/>
        <v/>
      </c>
      <c r="V278" s="39" t="str">
        <f>IFERROR(__xludf.DUMMYFUNCTION(" IF(Account!$F278&lt;&gt;"""", SPLIT(Account!$F278, "" ""), """")"),"")</f>
        <v/>
      </c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>
      <c r="A279" s="7"/>
      <c r="B279" s="7"/>
      <c r="C279" s="7"/>
      <c r="D279" s="7"/>
      <c r="E279" s="7"/>
      <c r="F279" s="9"/>
      <c r="G279" s="7"/>
      <c r="H279" s="7"/>
      <c r="I279" s="7"/>
      <c r="J279" s="7"/>
      <c r="K279" s="7"/>
      <c r="L279" s="26" t="str">
        <f t="shared" si="1"/>
        <v/>
      </c>
      <c r="M279" s="28" t="str">
        <f>IFERROR(__xludf.DUMMYFUNCTION("IF(Account!$F279&lt;&gt;"""", VALUE(REGEXREPLACE($I279, ""\,"", ""."")), """")"),"")</f>
        <v/>
      </c>
      <c r="N279" s="31" t="str">
        <f>IF(Account!$F279&lt;&gt;"", DATEVALUE(MID($A279,4,3) &amp; LEFT($A279,3) &amp; RIGHT($A279,4)) + TIMEVALUE($B279), "")</f>
        <v/>
      </c>
      <c r="O279" s="33" t="str">
        <f>IF(Account!$F279&lt;&gt;"", DATEVALUE(MID($A279,4,3) &amp; LEFT($A279,3) &amp; RIGHT($A279,4)), "")</f>
        <v/>
      </c>
      <c r="P279" s="34" t="str">
        <f>IFERROR(VLOOKUP($Q279,Selection!$F:$G,2,false))</f>
        <v/>
      </c>
      <c r="Q279" s="36" t="str">
        <f>IF(AND($X279="change",$H279="EUR"),IF(AND($Z279="Crédit",$N279=$N280),$Q280,IF(AND($Z279="Débit",$N279=$N278),$Q278)),IF(OR(AND(OR($E279&lt;&gt;"",$L279=""),$M279&lt;&gt;0),$A279=""),IFERROR(VLOOKUP($E279,Selection!$E:$F,2,false)),IFERROR(VLOOKUP(SUBSTITUTE($I279,"-","",1),$K280:$Q1119,7,false),VLOOKUP($K279,$K280:$Q1119,7,false))))</f>
        <v/>
      </c>
      <c r="R279" s="34" t="str">
        <f t="shared" si="2"/>
        <v/>
      </c>
      <c r="S279" s="37" t="str">
        <f t="shared" si="3"/>
        <v/>
      </c>
      <c r="T279" s="38" t="str">
        <f t="shared" si="4"/>
        <v/>
      </c>
      <c r="U279" s="28" t="str">
        <f t="shared" si="5"/>
        <v/>
      </c>
      <c r="V279" s="39" t="str">
        <f>IFERROR(__xludf.DUMMYFUNCTION(" IF(Account!$F279&lt;&gt;"""", SPLIT(Account!$F279, "" ""), """")"),"")</f>
        <v/>
      </c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>
      <c r="A280" s="7"/>
      <c r="B280" s="7"/>
      <c r="C280" s="7"/>
      <c r="D280" s="7"/>
      <c r="E280" s="7"/>
      <c r="F280" s="9"/>
      <c r="G280" s="341"/>
      <c r="H280" s="7"/>
      <c r="I280" s="7"/>
      <c r="J280" s="7"/>
      <c r="K280" s="7"/>
      <c r="L280" s="26" t="str">
        <f t="shared" si="1"/>
        <v/>
      </c>
      <c r="M280" s="28" t="str">
        <f>IFERROR(__xludf.DUMMYFUNCTION("IF(Account!$F280&lt;&gt;"""", VALUE(REGEXREPLACE($I280, ""\,"", ""."")), """")"),"")</f>
        <v/>
      </c>
      <c r="N280" s="31" t="str">
        <f>IF(Account!$F280&lt;&gt;"", DATEVALUE(MID($A280,4,3) &amp; LEFT($A280,3) &amp; RIGHT($A280,4)) + TIMEVALUE($B280), "")</f>
        <v/>
      </c>
      <c r="O280" s="33" t="str">
        <f>IF(Account!$F280&lt;&gt;"", DATEVALUE(MID($A280,4,3) &amp; LEFT($A280,3) &amp; RIGHT($A280,4)), "")</f>
        <v/>
      </c>
      <c r="P280" s="34" t="str">
        <f>IFERROR(VLOOKUP($Q280,Selection!$F:$G,2,false))</f>
        <v/>
      </c>
      <c r="Q280" s="36" t="str">
        <f>IF(AND($X280="change",$H280="EUR"),IF(AND($Z280="Crédit",$N280=$N281),$Q281,IF(AND($Z280="Débit",$N280=$N279),$Q279)),IF(OR(AND(OR($E280&lt;&gt;"",$L280=""),$M280&lt;&gt;0),$A280=""),IFERROR(VLOOKUP($E280,Selection!$E:$F,2,false)),IFERROR(VLOOKUP(SUBSTITUTE($I280,"-","",1),$K281:$Q1119,7,false),VLOOKUP($K280,$K281:$Q1119,7,false))))</f>
        <v/>
      </c>
      <c r="R280" s="34" t="str">
        <f t="shared" si="2"/>
        <v/>
      </c>
      <c r="S280" s="37" t="str">
        <f t="shared" si="3"/>
        <v/>
      </c>
      <c r="T280" s="38" t="str">
        <f t="shared" si="4"/>
        <v/>
      </c>
      <c r="U280" s="28" t="str">
        <f t="shared" si="5"/>
        <v/>
      </c>
      <c r="V280" s="39" t="str">
        <f>IFERROR(__xludf.DUMMYFUNCTION(" IF(Account!$F280&lt;&gt;"""", SPLIT(Account!$F280, "" ""), """")"),"")</f>
        <v/>
      </c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>
      <c r="A281" s="7"/>
      <c r="B281" s="7"/>
      <c r="C281" s="7"/>
      <c r="D281" s="7"/>
      <c r="E281" s="7"/>
      <c r="F281" s="9"/>
      <c r="G281" s="341"/>
      <c r="H281" s="7"/>
      <c r="I281" s="7"/>
      <c r="J281" s="7"/>
      <c r="K281" s="7"/>
      <c r="L281" s="26" t="str">
        <f t="shared" si="1"/>
        <v/>
      </c>
      <c r="M281" s="28" t="str">
        <f>IFERROR(__xludf.DUMMYFUNCTION("IF(Account!$F281&lt;&gt;"""", VALUE(REGEXREPLACE($I281, ""\,"", ""."")), """")"),"")</f>
        <v/>
      </c>
      <c r="N281" s="31" t="str">
        <f>IF(Account!$F281&lt;&gt;"", DATEVALUE(MID($A281,4,3) &amp; LEFT($A281,3) &amp; RIGHT($A281,4)) + TIMEVALUE($B281), "")</f>
        <v/>
      </c>
      <c r="O281" s="33" t="str">
        <f>IF(Account!$F281&lt;&gt;"", DATEVALUE(MID($A281,4,3) &amp; LEFT($A281,3) &amp; RIGHT($A281,4)), "")</f>
        <v/>
      </c>
      <c r="P281" s="34" t="str">
        <f>IFERROR(VLOOKUP($Q281,Selection!$F:$G,2,false))</f>
        <v/>
      </c>
      <c r="Q281" s="36" t="str">
        <f>IF(AND($X281="change",$H281="EUR"),IF(AND($Z281="Crédit",$N281=$N282),$Q282,IF(AND($Z281="Débit",$N281=$N280),$Q280)),IF(OR(AND(OR($E281&lt;&gt;"",$L281=""),$M281&lt;&gt;0),$A281=""),IFERROR(VLOOKUP($E281,Selection!$E:$F,2,false)),IFERROR(VLOOKUP(SUBSTITUTE($I281,"-","",1),$K282:$Q1119,7,false),VLOOKUP($K281,$K282:$Q1119,7,false))))</f>
        <v/>
      </c>
      <c r="R281" s="34" t="str">
        <f t="shared" si="2"/>
        <v/>
      </c>
      <c r="S281" s="37" t="str">
        <f t="shared" si="3"/>
        <v/>
      </c>
      <c r="T281" s="38" t="str">
        <f t="shared" si="4"/>
        <v/>
      </c>
      <c r="U281" s="28" t="str">
        <f t="shared" si="5"/>
        <v/>
      </c>
      <c r="V281" s="39" t="str">
        <f>IFERROR(__xludf.DUMMYFUNCTION(" IF(Account!$F281&lt;&gt;"""", SPLIT(Account!$F281, "" ""), """")"),"")</f>
        <v/>
      </c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</row>
    <row r="282">
      <c r="A282" s="7"/>
      <c r="B282" s="7"/>
      <c r="C282" s="7"/>
      <c r="D282" s="7"/>
      <c r="E282" s="7"/>
      <c r="F282" s="9"/>
      <c r="G282" s="341"/>
      <c r="H282" s="7"/>
      <c r="I282" s="7"/>
      <c r="J282" s="7"/>
      <c r="K282" s="7"/>
      <c r="L282" s="26" t="str">
        <f t="shared" si="1"/>
        <v/>
      </c>
      <c r="M282" s="28" t="str">
        <f>IFERROR(__xludf.DUMMYFUNCTION("IF(Account!$F282&lt;&gt;"""", VALUE(REGEXREPLACE($I282, ""\,"", ""."")), """")"),"")</f>
        <v/>
      </c>
      <c r="N282" s="31" t="str">
        <f>IF(Account!$F282&lt;&gt;"", DATEVALUE(MID($A282,4,3) &amp; LEFT($A282,3) &amp; RIGHT($A282,4)) + TIMEVALUE($B282), "")</f>
        <v/>
      </c>
      <c r="O282" s="33" t="str">
        <f>IF(Account!$F282&lt;&gt;"", DATEVALUE(MID($A282,4,3) &amp; LEFT($A282,3) &amp; RIGHT($A282,4)), "")</f>
        <v/>
      </c>
      <c r="P282" s="34" t="str">
        <f>IFERROR(VLOOKUP($Q282,Selection!$F:$G,2,false))</f>
        <v/>
      </c>
      <c r="Q282" s="36" t="str">
        <f>IF(AND($X282="change",$H282="EUR"),IF(AND($Z282="Crédit",$N282=$N283),$Q283,IF(AND($Z282="Débit",$N282=$N281),$Q281)),IF(OR(AND(OR($E282&lt;&gt;"",$L282=""),$M282&lt;&gt;0),$A282=""),IFERROR(VLOOKUP($E282,Selection!$E:$F,2,false)),IFERROR(VLOOKUP(SUBSTITUTE($I282,"-","",1),$K283:$Q1119,7,false),VLOOKUP($K282,$K283:$Q1119,7,false))))</f>
        <v/>
      </c>
      <c r="R282" s="34" t="str">
        <f t="shared" si="2"/>
        <v/>
      </c>
      <c r="S282" s="37" t="str">
        <f t="shared" si="3"/>
        <v/>
      </c>
      <c r="T282" s="38" t="str">
        <f t="shared" si="4"/>
        <v/>
      </c>
      <c r="U282" s="28" t="str">
        <f t="shared" si="5"/>
        <v/>
      </c>
      <c r="V282" s="39" t="str">
        <f>IFERROR(__xludf.DUMMYFUNCTION(" IF(Account!$F282&lt;&gt;"""", SPLIT(Account!$F282, "" ""), """")"),"")</f>
        <v/>
      </c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</row>
    <row r="283">
      <c r="A283" s="7"/>
      <c r="B283" s="7"/>
      <c r="C283" s="7"/>
      <c r="D283" s="7"/>
      <c r="E283" s="7"/>
      <c r="F283" s="9"/>
      <c r="G283" s="341"/>
      <c r="H283" s="7"/>
      <c r="I283" s="7"/>
      <c r="J283" s="7"/>
      <c r="K283" s="7"/>
      <c r="L283" s="26" t="str">
        <f t="shared" si="1"/>
        <v/>
      </c>
      <c r="M283" s="28" t="str">
        <f>IFERROR(__xludf.DUMMYFUNCTION("IF(Account!$F283&lt;&gt;"""", VALUE(REGEXREPLACE($I283, ""\,"", ""."")), """")"),"")</f>
        <v/>
      </c>
      <c r="N283" s="31" t="str">
        <f>IF(Account!$F283&lt;&gt;"", DATEVALUE(MID($A283,4,3) &amp; LEFT($A283,3) &amp; RIGHT($A283,4)) + TIMEVALUE($B283), "")</f>
        <v/>
      </c>
      <c r="O283" s="33" t="str">
        <f>IF(Account!$F283&lt;&gt;"", DATEVALUE(MID($A283,4,3) &amp; LEFT($A283,3) &amp; RIGHT($A283,4)), "")</f>
        <v/>
      </c>
      <c r="P283" s="34" t="str">
        <f>IFERROR(VLOOKUP($Q283,Selection!$F:$G,2,false))</f>
        <v/>
      </c>
      <c r="Q283" s="36" t="str">
        <f>IF(AND($X283="change",$H283="EUR"),IF(AND($Z283="Crédit",$N283=$N284),$Q284,IF(AND($Z283="Débit",$N283=$N282),$Q282)),IF(OR(AND(OR($E283&lt;&gt;"",$L283=""),$M283&lt;&gt;0),$A283=""),IFERROR(VLOOKUP($E283,Selection!$E:$F,2,false)),IFERROR(VLOOKUP(SUBSTITUTE($I283,"-","",1),$K284:$Q1119,7,false),VLOOKUP($K283,$K284:$Q1119,7,false))))</f>
        <v/>
      </c>
      <c r="R283" s="34" t="str">
        <f t="shared" si="2"/>
        <v/>
      </c>
      <c r="S283" s="37" t="str">
        <f t="shared" si="3"/>
        <v/>
      </c>
      <c r="T283" s="38" t="str">
        <f t="shared" si="4"/>
        <v/>
      </c>
      <c r="U283" s="28" t="str">
        <f t="shared" si="5"/>
        <v/>
      </c>
      <c r="V283" s="39" t="str">
        <f>IFERROR(__xludf.DUMMYFUNCTION(" IF(Account!$F283&lt;&gt;"""", SPLIT(Account!$F283, "" ""), """")"),"")</f>
        <v/>
      </c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</row>
    <row r="284">
      <c r="A284" s="7"/>
      <c r="B284" s="7"/>
      <c r="C284" s="7"/>
      <c r="D284" s="7"/>
      <c r="E284" s="7"/>
      <c r="F284" s="9"/>
      <c r="G284" s="341"/>
      <c r="H284" s="7"/>
      <c r="I284" s="7"/>
      <c r="J284" s="7"/>
      <c r="K284" s="7"/>
      <c r="L284" s="26" t="str">
        <f t="shared" si="1"/>
        <v/>
      </c>
      <c r="M284" s="28" t="str">
        <f>IFERROR(__xludf.DUMMYFUNCTION("IF(Account!$F284&lt;&gt;"""", VALUE(REGEXREPLACE($I284, ""\,"", ""."")), """")"),"")</f>
        <v/>
      </c>
      <c r="N284" s="31" t="str">
        <f>IF(Account!$F284&lt;&gt;"", DATEVALUE(MID($A284,4,3) &amp; LEFT($A284,3) &amp; RIGHT($A284,4)) + TIMEVALUE($B284), "")</f>
        <v/>
      </c>
      <c r="O284" s="33" t="str">
        <f>IF(Account!$F284&lt;&gt;"", DATEVALUE(MID($A284,4,3) &amp; LEFT($A284,3) &amp; RIGHT($A284,4)), "")</f>
        <v/>
      </c>
      <c r="P284" s="34" t="str">
        <f>IFERROR(VLOOKUP($Q284,Selection!$F:$G,2,false))</f>
        <v/>
      </c>
      <c r="Q284" s="36" t="str">
        <f>IF(AND($X284="change",$H284="EUR"),IF(AND($Z284="Crédit",$N284=$N285),$Q285,IF(AND($Z284="Débit",$N284=$N283),$Q283)),IF(OR(AND(OR($E284&lt;&gt;"",$L284=""),$M284&lt;&gt;0),$A284=""),IFERROR(VLOOKUP($E284,Selection!$E:$F,2,false)),IFERROR(VLOOKUP(SUBSTITUTE($I284,"-","",1),$K285:$Q1119,7,false),VLOOKUP($K284,$K285:$Q1119,7,false))))</f>
        <v/>
      </c>
      <c r="R284" s="34" t="str">
        <f t="shared" si="2"/>
        <v/>
      </c>
      <c r="S284" s="37" t="str">
        <f t="shared" si="3"/>
        <v/>
      </c>
      <c r="T284" s="38" t="str">
        <f t="shared" si="4"/>
        <v/>
      </c>
      <c r="U284" s="28" t="str">
        <f t="shared" si="5"/>
        <v/>
      </c>
      <c r="V284" s="39" t="str">
        <f>IFERROR(__xludf.DUMMYFUNCTION(" IF(Account!$F284&lt;&gt;"""", SPLIT(Account!$F284, "" ""), """")"),"")</f>
        <v/>
      </c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>
      <c r="A285" s="7"/>
      <c r="B285" s="7"/>
      <c r="C285" s="7"/>
      <c r="D285" s="7"/>
      <c r="E285" s="7"/>
      <c r="F285" s="9"/>
      <c r="G285" s="341"/>
      <c r="H285" s="7"/>
      <c r="I285" s="7"/>
      <c r="J285" s="7"/>
      <c r="K285" s="7"/>
      <c r="L285" s="26" t="str">
        <f t="shared" si="1"/>
        <v/>
      </c>
      <c r="M285" s="28" t="str">
        <f>IFERROR(__xludf.DUMMYFUNCTION("IF(Account!$F285&lt;&gt;"""", VALUE(REGEXREPLACE($I285, ""\,"", ""."")), """")"),"")</f>
        <v/>
      </c>
      <c r="N285" s="31" t="str">
        <f>IF(Account!$F285&lt;&gt;"", DATEVALUE(MID($A285,4,3) &amp; LEFT($A285,3) &amp; RIGHT($A285,4)) + TIMEVALUE($B285), "")</f>
        <v/>
      </c>
      <c r="O285" s="33" t="str">
        <f>IF(Account!$F285&lt;&gt;"", DATEVALUE(MID($A285,4,3) &amp; LEFT($A285,3) &amp; RIGHT($A285,4)), "")</f>
        <v/>
      </c>
      <c r="P285" s="34" t="str">
        <f>IFERROR(VLOOKUP($Q285,Selection!$F:$G,2,false))</f>
        <v/>
      </c>
      <c r="Q285" s="36" t="str">
        <f>IF(AND($X285="change",$H285="EUR"),IF(AND($Z285="Crédit",$N285=$N286),$Q286,IF(AND($Z285="Débit",$N285=$N284),$Q284)),IF(OR(AND(OR($E285&lt;&gt;"",$L285=""),$M285&lt;&gt;0),$A285=""),IFERROR(VLOOKUP($E285,Selection!$E:$F,2,false)),IFERROR(VLOOKUP(SUBSTITUTE($I285,"-","",1),$K286:$Q1119,7,false),VLOOKUP($K285,$K286:$Q1119,7,false))))</f>
        <v/>
      </c>
      <c r="R285" s="34" t="str">
        <f t="shared" si="2"/>
        <v/>
      </c>
      <c r="S285" s="37" t="str">
        <f t="shared" si="3"/>
        <v/>
      </c>
      <c r="T285" s="38" t="str">
        <f t="shared" si="4"/>
        <v/>
      </c>
      <c r="U285" s="28" t="str">
        <f t="shared" si="5"/>
        <v/>
      </c>
      <c r="V285" s="39" t="str">
        <f>IFERROR(__xludf.DUMMYFUNCTION(" IF(Account!$F285&lt;&gt;"""", SPLIT(Account!$F285, "" ""), """")"),"")</f>
        <v/>
      </c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>
      <c r="A286" s="7"/>
      <c r="B286" s="7"/>
      <c r="C286" s="7"/>
      <c r="D286" s="7"/>
      <c r="E286" s="7"/>
      <c r="F286" s="9"/>
      <c r="G286" s="7"/>
      <c r="H286" s="7"/>
      <c r="I286" s="7"/>
      <c r="J286" s="7"/>
      <c r="K286" s="7"/>
      <c r="L286" s="26" t="str">
        <f t="shared" si="1"/>
        <v/>
      </c>
      <c r="M286" s="28" t="str">
        <f>IFERROR(__xludf.DUMMYFUNCTION("IF(Account!$F286&lt;&gt;"""", VALUE(REGEXREPLACE($I286, ""\,"", ""."")), """")"),"")</f>
        <v/>
      </c>
      <c r="N286" s="31" t="str">
        <f>IF(Account!$F286&lt;&gt;"", DATEVALUE(MID($A286,4,3) &amp; LEFT($A286,3) &amp; RIGHT($A286,4)) + TIMEVALUE($B286), "")</f>
        <v/>
      </c>
      <c r="O286" s="33" t="str">
        <f>IF(Account!$F286&lt;&gt;"", DATEVALUE(MID($A286,4,3) &amp; LEFT($A286,3) &amp; RIGHT($A286,4)), "")</f>
        <v/>
      </c>
      <c r="P286" s="34" t="str">
        <f>IFERROR(VLOOKUP($Q286,Selection!$F:$G,2,false))</f>
        <v/>
      </c>
      <c r="Q286" s="36" t="str">
        <f>IF(AND($X286="change",$H286="EUR"),IF(AND($Z286="Crédit",$N286=$N287),$Q287,IF(AND($Z286="Débit",$N286=$N285),$Q285)),IF(OR(AND(OR($E286&lt;&gt;"",$L286=""),$M286&lt;&gt;0),$A286=""),IFERROR(VLOOKUP($E286,Selection!$E:$F,2,false)),IFERROR(VLOOKUP(SUBSTITUTE($I286,"-","",1),$K287:$Q1119,7,false),VLOOKUP($K286,$K287:$Q1119,7,false))))</f>
        <v/>
      </c>
      <c r="R286" s="34" t="str">
        <f t="shared" si="2"/>
        <v/>
      </c>
      <c r="S286" s="37" t="str">
        <f t="shared" si="3"/>
        <v/>
      </c>
      <c r="T286" s="38" t="str">
        <f t="shared" si="4"/>
        <v/>
      </c>
      <c r="U286" s="28" t="str">
        <f t="shared" si="5"/>
        <v/>
      </c>
      <c r="V286" s="39" t="str">
        <f>IFERROR(__xludf.DUMMYFUNCTION(" IF(Account!$F286&lt;&gt;"""", SPLIT(Account!$F286, "" ""), """")"),"")</f>
        <v/>
      </c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>
      <c r="A287" s="7"/>
      <c r="B287" s="7"/>
      <c r="C287" s="7"/>
      <c r="D287" s="7"/>
      <c r="E287" s="7"/>
      <c r="F287" s="9"/>
      <c r="G287" s="341"/>
      <c r="H287" s="7"/>
      <c r="I287" s="7"/>
      <c r="J287" s="7"/>
      <c r="K287" s="7"/>
      <c r="L287" s="26" t="str">
        <f t="shared" si="1"/>
        <v/>
      </c>
      <c r="M287" s="28" t="str">
        <f>IFERROR(__xludf.DUMMYFUNCTION("IF(Account!$F287&lt;&gt;"""", VALUE(REGEXREPLACE($I287, ""\,"", ""."")), """")"),"")</f>
        <v/>
      </c>
      <c r="N287" s="31" t="str">
        <f>IF(Account!$F287&lt;&gt;"", DATEVALUE(MID($A287,4,3) &amp; LEFT($A287,3) &amp; RIGHT($A287,4)) + TIMEVALUE($B287), "")</f>
        <v/>
      </c>
      <c r="O287" s="33" t="str">
        <f>IF(Account!$F287&lt;&gt;"", DATEVALUE(MID($A287,4,3) &amp; LEFT($A287,3) &amp; RIGHT($A287,4)), "")</f>
        <v/>
      </c>
      <c r="P287" s="34" t="str">
        <f>IFERROR(VLOOKUP($Q287,Selection!$F:$G,2,false))</f>
        <v/>
      </c>
      <c r="Q287" s="36" t="str">
        <f>IF(AND($X287="change",$H287="EUR"),IF(AND($Z287="Crédit",$N287=$N288),$Q288,IF(AND($Z287="Débit",$N287=$N286),$Q286)),IF(OR(AND(OR($E287&lt;&gt;"",$L287=""),$M287&lt;&gt;0),$A287=""),IFERROR(VLOOKUP($E287,Selection!$E:$F,2,false)),IFERROR(VLOOKUP(SUBSTITUTE($I287,"-","",1),$K288:$Q1119,7,false),VLOOKUP($K287,$K288:$Q1119,7,false))))</f>
        <v/>
      </c>
      <c r="R287" s="34" t="str">
        <f t="shared" si="2"/>
        <v/>
      </c>
      <c r="S287" s="37" t="str">
        <f t="shared" si="3"/>
        <v/>
      </c>
      <c r="T287" s="38" t="str">
        <f t="shared" si="4"/>
        <v/>
      </c>
      <c r="U287" s="28" t="str">
        <f t="shared" si="5"/>
        <v/>
      </c>
      <c r="V287" s="39" t="str">
        <f>IFERROR(__xludf.DUMMYFUNCTION(" IF(Account!$F287&lt;&gt;"""", SPLIT(Account!$F287, "" ""), """")"),"")</f>
        <v/>
      </c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>
      <c r="A288" s="7"/>
      <c r="B288" s="7"/>
      <c r="C288" s="7"/>
      <c r="D288" s="7"/>
      <c r="E288" s="7"/>
      <c r="F288" s="9"/>
      <c r="G288" s="7"/>
      <c r="H288" s="7"/>
      <c r="I288" s="7"/>
      <c r="J288" s="7"/>
      <c r="K288" s="7"/>
      <c r="L288" s="26" t="str">
        <f t="shared" si="1"/>
        <v/>
      </c>
      <c r="M288" s="28" t="str">
        <f>IFERROR(__xludf.DUMMYFUNCTION("IF(Account!$F288&lt;&gt;"""", VALUE(REGEXREPLACE($I288, ""\,"", ""."")), """")"),"")</f>
        <v/>
      </c>
      <c r="N288" s="31" t="str">
        <f>IF(Account!$F288&lt;&gt;"", DATEVALUE(MID($A288,4,3) &amp; LEFT($A288,3) &amp; RIGHT($A288,4)) + TIMEVALUE($B288), "")</f>
        <v/>
      </c>
      <c r="O288" s="33" t="str">
        <f>IF(Account!$F288&lt;&gt;"", DATEVALUE(MID($A288,4,3) &amp; LEFT($A288,3) &amp; RIGHT($A288,4)), "")</f>
        <v/>
      </c>
      <c r="P288" s="34" t="str">
        <f>IFERROR(VLOOKUP($Q288,Selection!$F:$G,2,false))</f>
        <v/>
      </c>
      <c r="Q288" s="36" t="str">
        <f>IF(AND($X288="change",$H288="EUR"),IF(AND($Z288="Crédit",$N288=$N289),$Q289,IF(AND($Z288="Débit",$N288=$N287),$Q287)),IF(OR(AND(OR($E288&lt;&gt;"",$L288=""),$M288&lt;&gt;0),$A288=""),IFERROR(VLOOKUP($E288,Selection!$E:$F,2,false)),IFERROR(VLOOKUP(SUBSTITUTE($I288,"-","",1),$K289:$Q1119,7,false),VLOOKUP($K288,$K289:$Q1119,7,false))))</f>
        <v/>
      </c>
      <c r="R288" s="34" t="str">
        <f t="shared" si="2"/>
        <v/>
      </c>
      <c r="S288" s="37" t="str">
        <f t="shared" si="3"/>
        <v/>
      </c>
      <c r="T288" s="38" t="str">
        <f t="shared" si="4"/>
        <v/>
      </c>
      <c r="U288" s="28" t="str">
        <f t="shared" si="5"/>
        <v/>
      </c>
      <c r="V288" s="39" t="str">
        <f>IFERROR(__xludf.DUMMYFUNCTION(" IF(Account!$F288&lt;&gt;"""", SPLIT(Account!$F288, "" ""), """")"),"")</f>
        <v/>
      </c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>
      <c r="A289" s="7"/>
      <c r="B289" s="7"/>
      <c r="C289" s="7"/>
      <c r="D289" s="7"/>
      <c r="E289" s="7"/>
      <c r="F289" s="9"/>
      <c r="G289" s="7"/>
      <c r="H289" s="7"/>
      <c r="I289" s="7"/>
      <c r="J289" s="7"/>
      <c r="K289" s="7"/>
      <c r="L289" s="26" t="str">
        <f t="shared" si="1"/>
        <v/>
      </c>
      <c r="M289" s="28" t="str">
        <f>IFERROR(__xludf.DUMMYFUNCTION("IF(Account!$F289&lt;&gt;"""", VALUE(REGEXREPLACE($I289, ""\,"", ""."")), """")"),"")</f>
        <v/>
      </c>
      <c r="N289" s="31" t="str">
        <f>IF(Account!$F289&lt;&gt;"", DATEVALUE(MID($A289,4,3) &amp; LEFT($A289,3) &amp; RIGHT($A289,4)) + TIMEVALUE($B289), "")</f>
        <v/>
      </c>
      <c r="O289" s="33" t="str">
        <f>IF(Account!$F289&lt;&gt;"", DATEVALUE(MID($A289,4,3) &amp; LEFT($A289,3) &amp; RIGHT($A289,4)), "")</f>
        <v/>
      </c>
      <c r="P289" s="34" t="str">
        <f>IFERROR(VLOOKUP($Q289,Selection!$F:$G,2,false))</f>
        <v/>
      </c>
      <c r="Q289" s="36" t="str">
        <f>IF(AND($X289="change",$H289="EUR"),IF(AND($Z289="Crédit",$N289=$N290),$Q290,IF(AND($Z289="Débit",$N289=$N288),$Q288)),IF(OR(AND(OR($E289&lt;&gt;"",$L289=""),$M289&lt;&gt;0),$A289=""),IFERROR(VLOOKUP($E289,Selection!$E:$F,2,false)),IFERROR(VLOOKUP(SUBSTITUTE($I289,"-","",1),$K290:$Q1119,7,false),VLOOKUP($K289,$K290:$Q1119,7,false))))</f>
        <v/>
      </c>
      <c r="R289" s="34" t="str">
        <f t="shared" si="2"/>
        <v/>
      </c>
      <c r="S289" s="37" t="str">
        <f t="shared" si="3"/>
        <v/>
      </c>
      <c r="T289" s="38" t="str">
        <f t="shared" si="4"/>
        <v/>
      </c>
      <c r="U289" s="28" t="str">
        <f t="shared" si="5"/>
        <v/>
      </c>
      <c r="V289" s="39" t="str">
        <f>IFERROR(__xludf.DUMMYFUNCTION(" IF(Account!$F289&lt;&gt;"""", SPLIT(Account!$F289, "" ""), """")"),"")</f>
        <v/>
      </c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>
      <c r="A290" s="7"/>
      <c r="B290" s="7"/>
      <c r="C290" s="7"/>
      <c r="D290" s="7"/>
      <c r="E290" s="7"/>
      <c r="F290" s="9"/>
      <c r="G290" s="7"/>
      <c r="H290" s="7"/>
      <c r="I290" s="7"/>
      <c r="J290" s="7"/>
      <c r="K290" s="7"/>
      <c r="L290" s="26" t="str">
        <f t="shared" si="1"/>
        <v/>
      </c>
      <c r="M290" s="28" t="str">
        <f>IFERROR(__xludf.DUMMYFUNCTION("IF(Account!$F290&lt;&gt;"""", VALUE(REGEXREPLACE($I290, ""\,"", ""."")), """")"),"")</f>
        <v/>
      </c>
      <c r="N290" s="31" t="str">
        <f>IF(Account!$F290&lt;&gt;"", DATEVALUE(MID($A290,4,3) &amp; LEFT($A290,3) &amp; RIGHT($A290,4)) + TIMEVALUE($B290), "")</f>
        <v/>
      </c>
      <c r="O290" s="33" t="str">
        <f>IF(Account!$F290&lt;&gt;"", DATEVALUE(MID($A290,4,3) &amp; LEFT($A290,3) &amp; RIGHT($A290,4)), "")</f>
        <v/>
      </c>
      <c r="P290" s="34" t="str">
        <f>IFERROR(VLOOKUP($Q290,Selection!$F:$G,2,false))</f>
        <v/>
      </c>
      <c r="Q290" s="36" t="str">
        <f>IF(AND($X290="change",$H290="EUR"),IF(AND($Z290="Crédit",$N290=$N291),$Q291,IF(AND($Z290="Débit",$N290=$N289),$Q289)),IF(OR(AND(OR($E290&lt;&gt;"",$L290=""),$M290&lt;&gt;0),$A290=""),IFERROR(VLOOKUP($E290,Selection!$E:$F,2,false)),IFERROR(VLOOKUP(SUBSTITUTE($I290,"-","",1),$K291:$Q1119,7,false),VLOOKUP($K290,$K291:$Q1119,7,false))))</f>
        <v/>
      </c>
      <c r="R290" s="34" t="str">
        <f t="shared" si="2"/>
        <v/>
      </c>
      <c r="S290" s="37" t="str">
        <f t="shared" si="3"/>
        <v/>
      </c>
      <c r="T290" s="38" t="str">
        <f t="shared" si="4"/>
        <v/>
      </c>
      <c r="U290" s="28" t="str">
        <f t="shared" si="5"/>
        <v/>
      </c>
      <c r="V290" s="39" t="str">
        <f>IFERROR(__xludf.DUMMYFUNCTION(" IF(Account!$F290&lt;&gt;"""", SPLIT(Account!$F290, "" ""), """")"),"")</f>
        <v/>
      </c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</row>
    <row r="291">
      <c r="A291" s="7"/>
      <c r="B291" s="7"/>
      <c r="C291" s="7"/>
      <c r="D291" s="7"/>
      <c r="E291" s="7"/>
      <c r="F291" s="9"/>
      <c r="G291" s="341"/>
      <c r="H291" s="7"/>
      <c r="I291" s="7"/>
      <c r="J291" s="7"/>
      <c r="K291" s="7"/>
      <c r="L291" s="26" t="str">
        <f t="shared" si="1"/>
        <v/>
      </c>
      <c r="M291" s="28" t="str">
        <f>IFERROR(__xludf.DUMMYFUNCTION("IF(Account!$F291&lt;&gt;"""", VALUE(REGEXREPLACE($I291, ""\,"", ""."")), """")"),"")</f>
        <v/>
      </c>
      <c r="N291" s="31" t="str">
        <f>IF(Account!$F291&lt;&gt;"", DATEVALUE(MID($A291,4,3) &amp; LEFT($A291,3) &amp; RIGHT($A291,4)) + TIMEVALUE($B291), "")</f>
        <v/>
      </c>
      <c r="O291" s="33" t="str">
        <f>IF(Account!$F291&lt;&gt;"", DATEVALUE(MID($A291,4,3) &amp; LEFT($A291,3) &amp; RIGHT($A291,4)), "")</f>
        <v/>
      </c>
      <c r="P291" s="34" t="str">
        <f>IFERROR(VLOOKUP($Q291,Selection!$F:$G,2,false))</f>
        <v/>
      </c>
      <c r="Q291" s="36" t="str">
        <f>IF(AND($X291="change",$H291="EUR"),IF(AND($Z291="Crédit",$N291=$N292),$Q292,IF(AND($Z291="Débit",$N291=$N290),$Q290)),IF(OR(AND(OR($E291&lt;&gt;"",$L291=""),$M291&lt;&gt;0),$A291=""),IFERROR(VLOOKUP($E291,Selection!$E:$F,2,false)),IFERROR(VLOOKUP(SUBSTITUTE($I291,"-","",1),$K292:$Q1119,7,false),VLOOKUP($K291,$K292:$Q1119,7,false))))</f>
        <v/>
      </c>
      <c r="R291" s="34" t="str">
        <f t="shared" si="2"/>
        <v/>
      </c>
      <c r="S291" s="37" t="str">
        <f t="shared" si="3"/>
        <v/>
      </c>
      <c r="T291" s="38" t="str">
        <f t="shared" si="4"/>
        <v/>
      </c>
      <c r="U291" s="28" t="str">
        <f t="shared" si="5"/>
        <v/>
      </c>
      <c r="V291" s="39" t="str">
        <f>IFERROR(__xludf.DUMMYFUNCTION(" IF(Account!$F291&lt;&gt;"""", SPLIT(Account!$F291, "" ""), """")"),"")</f>
        <v/>
      </c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</row>
    <row r="292">
      <c r="A292" s="7"/>
      <c r="B292" s="7"/>
      <c r="C292" s="7"/>
      <c r="D292" s="7"/>
      <c r="E292" s="7"/>
      <c r="F292" s="9"/>
      <c r="G292" s="7"/>
      <c r="H292" s="7"/>
      <c r="I292" s="7"/>
      <c r="J292" s="7"/>
      <c r="K292" s="7"/>
      <c r="L292" s="26" t="str">
        <f t="shared" si="1"/>
        <v/>
      </c>
      <c r="M292" s="28" t="str">
        <f>IFERROR(__xludf.DUMMYFUNCTION("IF(Account!$F292&lt;&gt;"""", VALUE(REGEXREPLACE($I292, ""\,"", ""."")), """")"),"")</f>
        <v/>
      </c>
      <c r="N292" s="31" t="str">
        <f>IF(Account!$F292&lt;&gt;"", DATEVALUE(MID($A292,4,3) &amp; LEFT($A292,3) &amp; RIGHT($A292,4)) + TIMEVALUE($B292), "")</f>
        <v/>
      </c>
      <c r="O292" s="33" t="str">
        <f>IF(Account!$F292&lt;&gt;"", DATEVALUE(MID($A292,4,3) &amp; LEFT($A292,3) &amp; RIGHT($A292,4)), "")</f>
        <v/>
      </c>
      <c r="P292" s="34" t="str">
        <f>IFERROR(VLOOKUP($Q292,Selection!$F:$G,2,false))</f>
        <v/>
      </c>
      <c r="Q292" s="36" t="str">
        <f>IF(AND($X292="change",$H292="EUR"),IF(AND($Z292="Crédit",$N292=$N293),$Q293,IF(AND($Z292="Débit",$N292=$N291),$Q291)),IF(OR(AND(OR($E292&lt;&gt;"",$L292=""),$M292&lt;&gt;0),$A292=""),IFERROR(VLOOKUP($E292,Selection!$E:$F,2,false)),IFERROR(VLOOKUP(SUBSTITUTE($I292,"-","",1),$K293:$Q1119,7,false),VLOOKUP($K292,$K293:$Q1119,7,false))))</f>
        <v/>
      </c>
      <c r="R292" s="34" t="str">
        <f t="shared" si="2"/>
        <v/>
      </c>
      <c r="S292" s="37" t="str">
        <f t="shared" si="3"/>
        <v/>
      </c>
      <c r="T292" s="38" t="str">
        <f t="shared" si="4"/>
        <v/>
      </c>
      <c r="U292" s="28" t="str">
        <f t="shared" si="5"/>
        <v/>
      </c>
      <c r="V292" s="39" t="str">
        <f>IFERROR(__xludf.DUMMYFUNCTION(" IF(Account!$F292&lt;&gt;"""", SPLIT(Account!$F292, "" ""), """")"),"")</f>
        <v/>
      </c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</row>
    <row r="293">
      <c r="A293" s="7"/>
      <c r="B293" s="7"/>
      <c r="C293" s="7"/>
      <c r="D293" s="7"/>
      <c r="E293" s="7"/>
      <c r="F293" s="9"/>
      <c r="G293" s="341"/>
      <c r="H293" s="7"/>
      <c r="I293" s="7"/>
      <c r="J293" s="7"/>
      <c r="K293" s="7"/>
      <c r="L293" s="26" t="str">
        <f t="shared" si="1"/>
        <v/>
      </c>
      <c r="M293" s="28" t="str">
        <f>IFERROR(__xludf.DUMMYFUNCTION("IF(Account!$F293&lt;&gt;"""", VALUE(REGEXREPLACE($I293, ""\,"", ""."")), """")"),"")</f>
        <v/>
      </c>
      <c r="N293" s="31" t="str">
        <f>IF(Account!$F293&lt;&gt;"", DATEVALUE(MID($A293,4,3) &amp; LEFT($A293,3) &amp; RIGHT($A293,4)) + TIMEVALUE($B293), "")</f>
        <v/>
      </c>
      <c r="O293" s="33" t="str">
        <f>IF(Account!$F293&lt;&gt;"", DATEVALUE(MID($A293,4,3) &amp; LEFT($A293,3) &amp; RIGHT($A293,4)), "")</f>
        <v/>
      </c>
      <c r="P293" s="34" t="str">
        <f>IFERROR(VLOOKUP($Q293,Selection!$F:$G,2,false))</f>
        <v/>
      </c>
      <c r="Q293" s="36" t="str">
        <f>IF(AND($X293="change",$H293="EUR"),IF(AND($Z293="Crédit",$N293=$N294),$Q294,IF(AND($Z293="Débit",$N293=$N292),$Q292)),IF(OR(AND(OR($E293&lt;&gt;"",$L293=""),$M293&lt;&gt;0),$A293=""),IFERROR(VLOOKUP($E293,Selection!$E:$F,2,false)),IFERROR(VLOOKUP(SUBSTITUTE($I293,"-","",1),$K294:$Q1119,7,false),VLOOKUP($K293,$K294:$Q1119,7,false))))</f>
        <v/>
      </c>
      <c r="R293" s="34" t="str">
        <f t="shared" si="2"/>
        <v/>
      </c>
      <c r="S293" s="37" t="str">
        <f t="shared" si="3"/>
        <v/>
      </c>
      <c r="T293" s="38" t="str">
        <f t="shared" si="4"/>
        <v/>
      </c>
      <c r="U293" s="28" t="str">
        <f t="shared" si="5"/>
        <v/>
      </c>
      <c r="V293" s="39" t="str">
        <f>IFERROR(__xludf.DUMMYFUNCTION(" IF(Account!$F293&lt;&gt;"""", SPLIT(Account!$F293, "" ""), """")"),"")</f>
        <v/>
      </c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>
      <c r="A294" s="7"/>
      <c r="B294" s="7"/>
      <c r="C294" s="7"/>
      <c r="D294" s="7"/>
      <c r="E294" s="7"/>
      <c r="F294" s="9"/>
      <c r="G294" s="7"/>
      <c r="H294" s="7"/>
      <c r="I294" s="7"/>
      <c r="J294" s="7"/>
      <c r="K294" s="7"/>
      <c r="L294" s="26" t="str">
        <f t="shared" si="1"/>
        <v/>
      </c>
      <c r="M294" s="28" t="str">
        <f>IFERROR(__xludf.DUMMYFUNCTION("IF(Account!$F294&lt;&gt;"""", VALUE(REGEXREPLACE($I294, ""\,"", ""."")), """")"),"")</f>
        <v/>
      </c>
      <c r="N294" s="31" t="str">
        <f>IF(Account!$F294&lt;&gt;"", DATEVALUE(MID($A294,4,3) &amp; LEFT($A294,3) &amp; RIGHT($A294,4)) + TIMEVALUE($B294), "")</f>
        <v/>
      </c>
      <c r="O294" s="33" t="str">
        <f>IF(Account!$F294&lt;&gt;"", DATEVALUE(MID($A294,4,3) &amp; LEFT($A294,3) &amp; RIGHT($A294,4)), "")</f>
        <v/>
      </c>
      <c r="P294" s="34" t="str">
        <f>IFERROR(VLOOKUP($Q294,Selection!$F:$G,2,false))</f>
        <v/>
      </c>
      <c r="Q294" s="36" t="str">
        <f>IF(AND($X294="change",$H294="EUR"),IF(AND($Z294="Crédit",$N294=$N295),$Q295,IF(AND($Z294="Débit",$N294=$N293),$Q293)),IF(OR(AND(OR($E294&lt;&gt;"",$L294=""),$M294&lt;&gt;0),$A294=""),IFERROR(VLOOKUP($E294,Selection!$E:$F,2,false)),IFERROR(VLOOKUP(SUBSTITUTE($I294,"-","",1),$K295:$Q1119,7,false),VLOOKUP($K294,$K295:$Q1119,7,false))))</f>
        <v/>
      </c>
      <c r="R294" s="34" t="str">
        <f t="shared" si="2"/>
        <v/>
      </c>
      <c r="S294" s="37" t="str">
        <f t="shared" si="3"/>
        <v/>
      </c>
      <c r="T294" s="38" t="str">
        <f t="shared" si="4"/>
        <v/>
      </c>
      <c r="U294" s="28" t="str">
        <f t="shared" si="5"/>
        <v/>
      </c>
      <c r="V294" s="39" t="str">
        <f>IFERROR(__xludf.DUMMYFUNCTION(" IF(Account!$F294&lt;&gt;"""", SPLIT(Account!$F294, "" ""), """")"),"")</f>
        <v/>
      </c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>
      <c r="A295" s="7"/>
      <c r="B295" s="7"/>
      <c r="C295" s="7"/>
      <c r="D295" s="7"/>
      <c r="E295" s="7"/>
      <c r="F295" s="9"/>
      <c r="G295" s="7"/>
      <c r="H295" s="7"/>
      <c r="I295" s="7"/>
      <c r="J295" s="7"/>
      <c r="K295" s="7"/>
      <c r="L295" s="26" t="str">
        <f t="shared" si="1"/>
        <v/>
      </c>
      <c r="M295" s="28" t="str">
        <f>IFERROR(__xludf.DUMMYFUNCTION("IF(Account!$F295&lt;&gt;"""", VALUE(REGEXREPLACE($I295, ""\,"", ""."")), """")"),"")</f>
        <v/>
      </c>
      <c r="N295" s="31" t="str">
        <f>IF(Account!$F295&lt;&gt;"", DATEVALUE(MID($A295,4,3) &amp; LEFT($A295,3) &amp; RIGHT($A295,4)) + TIMEVALUE($B295), "")</f>
        <v/>
      </c>
      <c r="O295" s="33" t="str">
        <f>IF(Account!$F295&lt;&gt;"", DATEVALUE(MID($A295,4,3) &amp; LEFT($A295,3) &amp; RIGHT($A295,4)), "")</f>
        <v/>
      </c>
      <c r="P295" s="34" t="str">
        <f>IFERROR(VLOOKUP($Q295,Selection!$F:$G,2,false))</f>
        <v/>
      </c>
      <c r="Q295" s="36" t="str">
        <f>IF(AND($X295="change",$H295="EUR"),IF(AND($Z295="Crédit",$N295=$N296),$Q296,IF(AND($Z295="Débit",$N295=$N294),$Q294)),IF(OR(AND(OR($E295&lt;&gt;"",$L295=""),$M295&lt;&gt;0),$A295=""),IFERROR(VLOOKUP($E295,Selection!$E:$F,2,false)),IFERROR(VLOOKUP(SUBSTITUTE($I295,"-","",1),$K296:$Q1119,7,false),VLOOKUP($K295,$K296:$Q1119,7,false))))</f>
        <v/>
      </c>
      <c r="R295" s="34" t="str">
        <f t="shared" si="2"/>
        <v/>
      </c>
      <c r="S295" s="37" t="str">
        <f t="shared" si="3"/>
        <v/>
      </c>
      <c r="T295" s="38" t="str">
        <f t="shared" si="4"/>
        <v/>
      </c>
      <c r="U295" s="28" t="str">
        <f t="shared" si="5"/>
        <v/>
      </c>
      <c r="V295" s="39" t="str">
        <f>IFERROR(__xludf.DUMMYFUNCTION(" IF(Account!$F295&lt;&gt;"""", SPLIT(Account!$F295, "" ""), """")"),"")</f>
        <v/>
      </c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>
      <c r="A296" s="7"/>
      <c r="B296" s="7"/>
      <c r="C296" s="7"/>
      <c r="D296" s="7"/>
      <c r="E296" s="7"/>
      <c r="F296" s="9"/>
      <c r="G296" s="7"/>
      <c r="H296" s="7"/>
      <c r="I296" s="7"/>
      <c r="J296" s="7"/>
      <c r="K296" s="7"/>
      <c r="L296" s="26" t="str">
        <f t="shared" si="1"/>
        <v/>
      </c>
      <c r="M296" s="28" t="str">
        <f>IFERROR(__xludf.DUMMYFUNCTION("IF(Account!$F296&lt;&gt;"""", VALUE(REGEXREPLACE($I296, ""\,"", ""."")), """")"),"")</f>
        <v/>
      </c>
      <c r="N296" s="31" t="str">
        <f>IF(Account!$F296&lt;&gt;"", DATEVALUE(MID($A296,4,3) &amp; LEFT($A296,3) &amp; RIGHT($A296,4)) + TIMEVALUE($B296), "")</f>
        <v/>
      </c>
      <c r="O296" s="33" t="str">
        <f>IF(Account!$F296&lt;&gt;"", DATEVALUE(MID($A296,4,3) &amp; LEFT($A296,3) &amp; RIGHT($A296,4)), "")</f>
        <v/>
      </c>
      <c r="P296" s="34" t="str">
        <f>IFERROR(VLOOKUP($Q296,Selection!$F:$G,2,false))</f>
        <v/>
      </c>
      <c r="Q296" s="36" t="str">
        <f>IF(AND($X296="change",$H296="EUR"),IF(AND($Z296="Crédit",$N296=$N297),$Q297,IF(AND($Z296="Débit",$N296=$N295),$Q295)),IF(OR(AND(OR($E296&lt;&gt;"",$L296=""),$M296&lt;&gt;0),$A296=""),IFERROR(VLOOKUP($E296,Selection!$E:$F,2,false)),IFERROR(VLOOKUP(SUBSTITUTE($I296,"-","",1),$K297:$Q1119,7,false),VLOOKUP($K296,$K297:$Q1119,7,false))))</f>
        <v/>
      </c>
      <c r="R296" s="34" t="str">
        <f t="shared" si="2"/>
        <v/>
      </c>
      <c r="S296" s="37" t="str">
        <f t="shared" si="3"/>
        <v/>
      </c>
      <c r="T296" s="38" t="str">
        <f t="shared" si="4"/>
        <v/>
      </c>
      <c r="U296" s="28" t="str">
        <f t="shared" si="5"/>
        <v/>
      </c>
      <c r="V296" s="39" t="str">
        <f>IFERROR(__xludf.DUMMYFUNCTION(" IF(Account!$F296&lt;&gt;"""", SPLIT(Account!$F296, "" ""), """")"),"")</f>
        <v/>
      </c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>
      <c r="A297" s="7"/>
      <c r="B297" s="7"/>
      <c r="C297" s="7"/>
      <c r="D297" s="7"/>
      <c r="E297" s="7"/>
      <c r="F297" s="9"/>
      <c r="G297" s="341"/>
      <c r="H297" s="7"/>
      <c r="I297" s="7"/>
      <c r="J297" s="7"/>
      <c r="K297" s="7"/>
      <c r="L297" s="26" t="str">
        <f t="shared" si="1"/>
        <v/>
      </c>
      <c r="M297" s="28" t="str">
        <f>IFERROR(__xludf.DUMMYFUNCTION("IF(Account!$F297&lt;&gt;"""", VALUE(REGEXREPLACE($I297, ""\,"", ""."")), """")"),"")</f>
        <v/>
      </c>
      <c r="N297" s="31" t="str">
        <f>IF(Account!$F297&lt;&gt;"", DATEVALUE(MID($A297,4,3) &amp; LEFT($A297,3) &amp; RIGHT($A297,4)) + TIMEVALUE($B297), "")</f>
        <v/>
      </c>
      <c r="O297" s="33" t="str">
        <f>IF(Account!$F297&lt;&gt;"", DATEVALUE(MID($A297,4,3) &amp; LEFT($A297,3) &amp; RIGHT($A297,4)), "")</f>
        <v/>
      </c>
      <c r="P297" s="34" t="str">
        <f>IFERROR(VLOOKUP($Q297,Selection!$F:$G,2,false))</f>
        <v/>
      </c>
      <c r="Q297" s="36" t="str">
        <f>IF(AND($X297="change",$H297="EUR"),IF(AND($Z297="Crédit",$N297=$N298),$Q298,IF(AND($Z297="Débit",$N297=$N296),$Q296)),IF(OR(AND(OR($E297&lt;&gt;"",$L297=""),$M297&lt;&gt;0),$A297=""),IFERROR(VLOOKUP($E297,Selection!$E:$F,2,false)),IFERROR(VLOOKUP(SUBSTITUTE($I297,"-","",1),$K298:$Q1119,7,false),VLOOKUP($K297,$K298:$Q1119,7,false))))</f>
        <v/>
      </c>
      <c r="R297" s="34" t="str">
        <f t="shared" si="2"/>
        <v/>
      </c>
      <c r="S297" s="37" t="str">
        <f t="shared" si="3"/>
        <v/>
      </c>
      <c r="T297" s="38" t="str">
        <f t="shared" si="4"/>
        <v/>
      </c>
      <c r="U297" s="28" t="str">
        <f t="shared" si="5"/>
        <v/>
      </c>
      <c r="V297" s="39" t="str">
        <f>IFERROR(__xludf.DUMMYFUNCTION(" IF(Account!$F297&lt;&gt;"""", SPLIT(Account!$F297, "" ""), """")"),"")</f>
        <v/>
      </c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>
      <c r="A298" s="7"/>
      <c r="B298" s="7"/>
      <c r="C298" s="7"/>
      <c r="D298" s="7"/>
      <c r="E298" s="7"/>
      <c r="F298" s="9"/>
      <c r="G298" s="7"/>
      <c r="H298" s="7"/>
      <c r="I298" s="7"/>
      <c r="J298" s="7"/>
      <c r="K298" s="7"/>
      <c r="L298" s="26" t="str">
        <f t="shared" si="1"/>
        <v/>
      </c>
      <c r="M298" s="28" t="str">
        <f>IFERROR(__xludf.DUMMYFUNCTION("IF(Account!$F298&lt;&gt;"""", VALUE(REGEXREPLACE($I298, ""\,"", ""."")), """")"),"")</f>
        <v/>
      </c>
      <c r="N298" s="31" t="str">
        <f>IF(Account!$F298&lt;&gt;"", DATEVALUE(MID($A298,4,3) &amp; LEFT($A298,3) &amp; RIGHT($A298,4)) + TIMEVALUE($B298), "")</f>
        <v/>
      </c>
      <c r="O298" s="33" t="str">
        <f>IF(Account!$F298&lt;&gt;"", DATEVALUE(MID($A298,4,3) &amp; LEFT($A298,3) &amp; RIGHT($A298,4)), "")</f>
        <v/>
      </c>
      <c r="P298" s="34" t="str">
        <f>IFERROR(VLOOKUP($Q298,Selection!$F:$G,2,false))</f>
        <v/>
      </c>
      <c r="Q298" s="36" t="str">
        <f>IF(AND($X298="change",$H298="EUR"),IF(AND($Z298="Crédit",$N298=$N299),$Q299,IF(AND($Z298="Débit",$N298=$N297),$Q297)),IF(OR(AND(OR($E298&lt;&gt;"",$L298=""),$M298&lt;&gt;0),$A298=""),IFERROR(VLOOKUP($E298,Selection!$E:$F,2,false)),IFERROR(VLOOKUP(SUBSTITUTE($I298,"-","",1),$K299:$Q1119,7,false),VLOOKUP($K298,$K299:$Q1119,7,false))))</f>
        <v/>
      </c>
      <c r="R298" s="34" t="str">
        <f t="shared" si="2"/>
        <v/>
      </c>
      <c r="S298" s="37" t="str">
        <f t="shared" si="3"/>
        <v/>
      </c>
      <c r="T298" s="38" t="str">
        <f t="shared" si="4"/>
        <v/>
      </c>
      <c r="U298" s="28" t="str">
        <f t="shared" si="5"/>
        <v/>
      </c>
      <c r="V298" s="39" t="str">
        <f>IFERROR(__xludf.DUMMYFUNCTION(" IF(Account!$F298&lt;&gt;"""", SPLIT(Account!$F298, "" ""), """")"),"")</f>
        <v/>
      </c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>
      <c r="A299" s="7"/>
      <c r="B299" s="7"/>
      <c r="C299" s="7"/>
      <c r="D299" s="7"/>
      <c r="E299" s="7"/>
      <c r="F299" s="9"/>
      <c r="G299" s="341"/>
      <c r="H299" s="7"/>
      <c r="I299" s="7"/>
      <c r="J299" s="7"/>
      <c r="K299" s="7"/>
      <c r="L299" s="26" t="str">
        <f t="shared" si="1"/>
        <v/>
      </c>
      <c r="M299" s="28" t="str">
        <f>IFERROR(__xludf.DUMMYFUNCTION("IF(Account!$F299&lt;&gt;"""", VALUE(REGEXREPLACE($I299, ""\,"", ""."")), """")"),"")</f>
        <v/>
      </c>
      <c r="N299" s="31" t="str">
        <f>IF(Account!$F299&lt;&gt;"", DATEVALUE(MID($A299,4,3) &amp; LEFT($A299,3) &amp; RIGHT($A299,4)) + TIMEVALUE($B299), "")</f>
        <v/>
      </c>
      <c r="O299" s="33" t="str">
        <f>IF(Account!$F299&lt;&gt;"", DATEVALUE(MID($A299,4,3) &amp; LEFT($A299,3) &amp; RIGHT($A299,4)), "")</f>
        <v/>
      </c>
      <c r="P299" s="34" t="str">
        <f>IFERROR(VLOOKUP($Q299,Selection!$F:$G,2,false))</f>
        <v/>
      </c>
      <c r="Q299" s="36" t="str">
        <f>IF(AND($X299="change",$H299="EUR"),IF(AND($Z299="Crédit",$N299=$N300),$Q300,IF(AND($Z299="Débit",$N299=$N298),$Q298)),IF(OR(AND(OR($E299&lt;&gt;"",$L299=""),$M299&lt;&gt;0),$A299=""),IFERROR(VLOOKUP($E299,Selection!$E:$F,2,false)),IFERROR(VLOOKUP(SUBSTITUTE($I299,"-","",1),$K300:$Q1119,7,false),VLOOKUP($K299,$K300:$Q1119,7,false))))</f>
        <v/>
      </c>
      <c r="R299" s="34" t="str">
        <f t="shared" si="2"/>
        <v/>
      </c>
      <c r="S299" s="37" t="str">
        <f t="shared" si="3"/>
        <v/>
      </c>
      <c r="T299" s="38" t="str">
        <f t="shared" si="4"/>
        <v/>
      </c>
      <c r="U299" s="28" t="str">
        <f t="shared" si="5"/>
        <v/>
      </c>
      <c r="V299" s="39" t="str">
        <f>IFERROR(__xludf.DUMMYFUNCTION(" IF(Account!$F299&lt;&gt;"""", SPLIT(Account!$F299, "" ""), """")"),"")</f>
        <v/>
      </c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>
      <c r="A300" s="7"/>
      <c r="B300" s="7"/>
      <c r="C300" s="7"/>
      <c r="D300" s="7"/>
      <c r="E300" s="7"/>
      <c r="F300" s="9"/>
      <c r="G300" s="7"/>
      <c r="H300" s="7"/>
      <c r="I300" s="7"/>
      <c r="J300" s="7"/>
      <c r="K300" s="7"/>
      <c r="L300" s="26" t="str">
        <f t="shared" si="1"/>
        <v/>
      </c>
      <c r="M300" s="28" t="str">
        <f>IFERROR(__xludf.DUMMYFUNCTION("IF(Account!$F300&lt;&gt;"""", VALUE(REGEXREPLACE($I300, ""\,"", ""."")), """")"),"")</f>
        <v/>
      </c>
      <c r="N300" s="31" t="str">
        <f>IF(Account!$F300&lt;&gt;"", DATEVALUE(MID($A300,4,3) &amp; LEFT($A300,3) &amp; RIGHT($A300,4)) + TIMEVALUE($B300), "")</f>
        <v/>
      </c>
      <c r="O300" s="33" t="str">
        <f>IF(Account!$F300&lt;&gt;"", DATEVALUE(MID($A300,4,3) &amp; LEFT($A300,3) &amp; RIGHT($A300,4)), "")</f>
        <v/>
      </c>
      <c r="P300" s="34" t="str">
        <f>IFERROR(VLOOKUP($Q300,Selection!$F:$G,2,false))</f>
        <v/>
      </c>
      <c r="Q300" s="36" t="str">
        <f>IF(AND($X300="change",$H300="EUR"),IF(AND($Z300="Crédit",$N300=$N301),$Q301,IF(AND($Z300="Débit",$N300=$N299),$Q299)),IF(OR(AND(OR($E300&lt;&gt;"",$L300=""),$M300&lt;&gt;0),$A300=""),IFERROR(VLOOKUP($E300,Selection!$E:$F,2,false)),IFERROR(VLOOKUP(SUBSTITUTE($I300,"-","",1),$K301:$Q1119,7,false),VLOOKUP($K300,$K301:$Q1119,7,false))))</f>
        <v/>
      </c>
      <c r="R300" s="34" t="str">
        <f t="shared" si="2"/>
        <v/>
      </c>
      <c r="S300" s="37" t="str">
        <f t="shared" si="3"/>
        <v/>
      </c>
      <c r="T300" s="38" t="str">
        <f t="shared" si="4"/>
        <v/>
      </c>
      <c r="U300" s="28" t="str">
        <f t="shared" si="5"/>
        <v/>
      </c>
      <c r="V300" s="39" t="str">
        <f>IFERROR(__xludf.DUMMYFUNCTION(" IF(Account!$F300&lt;&gt;"""", SPLIT(Account!$F300, "" ""), """")"),"")</f>
        <v/>
      </c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>
      <c r="A301" s="7"/>
      <c r="B301" s="7"/>
      <c r="C301" s="7"/>
      <c r="D301" s="7"/>
      <c r="E301" s="7"/>
      <c r="F301" s="9"/>
      <c r="G301" s="341"/>
      <c r="H301" s="7"/>
      <c r="I301" s="7"/>
      <c r="J301" s="7"/>
      <c r="K301" s="7"/>
      <c r="L301" s="26" t="str">
        <f t="shared" si="1"/>
        <v/>
      </c>
      <c r="M301" s="28" t="str">
        <f>IFERROR(__xludf.DUMMYFUNCTION("IF(Account!$F301&lt;&gt;"""", VALUE(REGEXREPLACE($I301, ""\,"", ""."")), """")"),"")</f>
        <v/>
      </c>
      <c r="N301" s="31" t="str">
        <f>IF(Account!$F301&lt;&gt;"", DATEVALUE(MID($A301,4,3) &amp; LEFT($A301,3) &amp; RIGHT($A301,4)) + TIMEVALUE($B301), "")</f>
        <v/>
      </c>
      <c r="O301" s="33" t="str">
        <f>IF(Account!$F301&lt;&gt;"", DATEVALUE(MID($A301,4,3) &amp; LEFT($A301,3) &amp; RIGHT($A301,4)), "")</f>
        <v/>
      </c>
      <c r="P301" s="34" t="str">
        <f>IFERROR(VLOOKUP($Q301,Selection!$F:$G,2,false))</f>
        <v/>
      </c>
      <c r="Q301" s="36" t="str">
        <f>IF(AND($X301="change",$H301="EUR"),IF(AND($Z301="Crédit",$N301=$N302),$Q302,IF(AND($Z301="Débit",$N301=$N300),$Q300)),IF(OR(AND(OR($E301&lt;&gt;"",$L301=""),$M301&lt;&gt;0),$A301=""),IFERROR(VLOOKUP($E301,Selection!$E:$F,2,false)),IFERROR(VLOOKUP(SUBSTITUTE($I301,"-","",1),$K302:$Q1119,7,false),VLOOKUP($K301,$K302:$Q1119,7,false))))</f>
        <v/>
      </c>
      <c r="R301" s="34" t="str">
        <f t="shared" si="2"/>
        <v/>
      </c>
      <c r="S301" s="37" t="str">
        <f t="shared" si="3"/>
        <v/>
      </c>
      <c r="T301" s="38" t="str">
        <f t="shared" si="4"/>
        <v/>
      </c>
      <c r="U301" s="28" t="str">
        <f t="shared" si="5"/>
        <v/>
      </c>
      <c r="V301" s="39" t="str">
        <f>IFERROR(__xludf.DUMMYFUNCTION(" IF(Account!$F301&lt;&gt;"""", SPLIT(Account!$F301, "" ""), """")"),"")</f>
        <v/>
      </c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>
      <c r="A302" s="7"/>
      <c r="B302" s="7"/>
      <c r="C302" s="7"/>
      <c r="D302" s="7"/>
      <c r="E302" s="7"/>
      <c r="F302" s="9"/>
      <c r="G302" s="7"/>
      <c r="H302" s="7"/>
      <c r="I302" s="7"/>
      <c r="J302" s="7"/>
      <c r="K302" s="7"/>
      <c r="L302" s="26" t="str">
        <f t="shared" si="1"/>
        <v/>
      </c>
      <c r="M302" s="28" t="str">
        <f>IFERROR(__xludf.DUMMYFUNCTION("IF(Account!$F302&lt;&gt;"""", VALUE(REGEXREPLACE($I302, ""\,"", ""."")), """")"),"")</f>
        <v/>
      </c>
      <c r="N302" s="31" t="str">
        <f>IF(Account!$F302&lt;&gt;"", DATEVALUE(MID($A302,4,3) &amp; LEFT($A302,3) &amp; RIGHT($A302,4)) + TIMEVALUE($B302), "")</f>
        <v/>
      </c>
      <c r="O302" s="33" t="str">
        <f>IF(Account!$F302&lt;&gt;"", DATEVALUE(MID($A302,4,3) &amp; LEFT($A302,3) &amp; RIGHT($A302,4)), "")</f>
        <v/>
      </c>
      <c r="P302" s="34" t="str">
        <f>IFERROR(VLOOKUP($Q302,Selection!$F:$G,2,false))</f>
        <v/>
      </c>
      <c r="Q302" s="36" t="str">
        <f>IF(AND($X302="change",$H302="EUR"),IF(AND($Z302="Crédit",$N302=$N303),$Q303,IF(AND($Z302="Débit",$N302=$N301),$Q301)),IF(OR(AND(OR($E302&lt;&gt;"",$L302=""),$M302&lt;&gt;0),$A302=""),IFERROR(VLOOKUP($E302,Selection!$E:$F,2,false)),IFERROR(VLOOKUP(SUBSTITUTE($I302,"-","",1),$K303:$Q1119,7,false),VLOOKUP($K302,$K303:$Q1119,7,false))))</f>
        <v/>
      </c>
      <c r="R302" s="34" t="str">
        <f t="shared" si="2"/>
        <v/>
      </c>
      <c r="S302" s="37" t="str">
        <f t="shared" si="3"/>
        <v/>
      </c>
      <c r="T302" s="38" t="str">
        <f t="shared" si="4"/>
        <v/>
      </c>
      <c r="U302" s="28" t="str">
        <f t="shared" si="5"/>
        <v/>
      </c>
      <c r="V302" s="39" t="str">
        <f>IFERROR(__xludf.DUMMYFUNCTION(" IF(Account!$F302&lt;&gt;"""", SPLIT(Account!$F302, "" ""), """")"),"")</f>
        <v/>
      </c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>
      <c r="A303" s="7"/>
      <c r="B303" s="7"/>
      <c r="C303" s="7"/>
      <c r="D303" s="7"/>
      <c r="E303" s="7"/>
      <c r="F303" s="9"/>
      <c r="G303" s="341"/>
      <c r="H303" s="7"/>
      <c r="I303" s="7"/>
      <c r="J303" s="7"/>
      <c r="K303" s="7"/>
      <c r="L303" s="26" t="str">
        <f t="shared" si="1"/>
        <v/>
      </c>
      <c r="M303" s="28" t="str">
        <f>IFERROR(__xludf.DUMMYFUNCTION("IF(Account!$F303&lt;&gt;"""", VALUE(REGEXREPLACE($I303, ""\,"", ""."")), """")"),"")</f>
        <v/>
      </c>
      <c r="N303" s="31" t="str">
        <f>IF(Account!$F303&lt;&gt;"", DATEVALUE(MID($A303,4,3) &amp; LEFT($A303,3) &amp; RIGHT($A303,4)) + TIMEVALUE($B303), "")</f>
        <v/>
      </c>
      <c r="O303" s="33" t="str">
        <f>IF(Account!$F303&lt;&gt;"", DATEVALUE(MID($A303,4,3) &amp; LEFT($A303,3) &amp; RIGHT($A303,4)), "")</f>
        <v/>
      </c>
      <c r="P303" s="34" t="str">
        <f>IFERROR(VLOOKUP($Q303,Selection!$F:$G,2,false))</f>
        <v/>
      </c>
      <c r="Q303" s="36" t="str">
        <f>IF(AND($X303="change",$H303="EUR"),IF(AND($Z303="Crédit",$N303=$N304),$Q304,IF(AND($Z303="Débit",$N303=$N302),$Q302)),IF(OR(AND(OR($E303&lt;&gt;"",$L303=""),$M303&lt;&gt;0),$A303=""),IFERROR(VLOOKUP($E303,Selection!$E:$F,2,false)),IFERROR(VLOOKUP(SUBSTITUTE($I303,"-","",1),$K304:$Q1119,7,false),VLOOKUP($K303,$K304:$Q1119,7,false))))</f>
        <v/>
      </c>
      <c r="R303" s="34" t="str">
        <f t="shared" si="2"/>
        <v/>
      </c>
      <c r="S303" s="37" t="str">
        <f t="shared" si="3"/>
        <v/>
      </c>
      <c r="T303" s="38" t="str">
        <f t="shared" si="4"/>
        <v/>
      </c>
      <c r="U303" s="28" t="str">
        <f t="shared" si="5"/>
        <v/>
      </c>
      <c r="V303" s="39" t="str">
        <f>IFERROR(__xludf.DUMMYFUNCTION(" IF(Account!$F303&lt;&gt;"""", SPLIT(Account!$F303, "" ""), """")"),"")</f>
        <v/>
      </c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>
      <c r="A304" s="7"/>
      <c r="B304" s="7"/>
      <c r="C304" s="7"/>
      <c r="D304" s="7"/>
      <c r="E304" s="7"/>
      <c r="F304" s="9"/>
      <c r="G304" s="7"/>
      <c r="H304" s="7"/>
      <c r="I304" s="7"/>
      <c r="J304" s="7"/>
      <c r="K304" s="7"/>
      <c r="L304" s="26" t="str">
        <f t="shared" si="1"/>
        <v/>
      </c>
      <c r="M304" s="28" t="str">
        <f>IFERROR(__xludf.DUMMYFUNCTION("IF(Account!$F304&lt;&gt;"""", VALUE(REGEXREPLACE($I304, ""\,"", ""."")), """")"),"")</f>
        <v/>
      </c>
      <c r="N304" s="31" t="str">
        <f>IF(Account!$F304&lt;&gt;"", DATEVALUE(MID($A304,4,3) &amp; LEFT($A304,3) &amp; RIGHT($A304,4)) + TIMEVALUE($B304), "")</f>
        <v/>
      </c>
      <c r="O304" s="33" t="str">
        <f>IF(Account!$F304&lt;&gt;"", DATEVALUE(MID($A304,4,3) &amp; LEFT($A304,3) &amp; RIGHT($A304,4)), "")</f>
        <v/>
      </c>
      <c r="P304" s="34" t="str">
        <f>IFERROR(VLOOKUP($Q304,Selection!$F:$G,2,false))</f>
        <v/>
      </c>
      <c r="Q304" s="36" t="str">
        <f>IF(AND($X304="change",$H304="EUR"),IF(AND($Z304="Crédit",$N304=$N305),$Q305,IF(AND($Z304="Débit",$N304=$N303),$Q303)),IF(OR(AND(OR($E304&lt;&gt;"",$L304=""),$M304&lt;&gt;0),$A304=""),IFERROR(VLOOKUP($E304,Selection!$E:$F,2,false)),IFERROR(VLOOKUP(SUBSTITUTE($I304,"-","",1),$K305:$Q1119,7,false),VLOOKUP($K304,$K305:$Q1119,7,false))))</f>
        <v/>
      </c>
      <c r="R304" s="34" t="str">
        <f t="shared" si="2"/>
        <v/>
      </c>
      <c r="S304" s="37" t="str">
        <f t="shared" si="3"/>
        <v/>
      </c>
      <c r="T304" s="38" t="str">
        <f t="shared" si="4"/>
        <v/>
      </c>
      <c r="U304" s="28" t="str">
        <f t="shared" si="5"/>
        <v/>
      </c>
      <c r="V304" s="39" t="str">
        <f>IFERROR(__xludf.DUMMYFUNCTION(" IF(Account!$F304&lt;&gt;"""", SPLIT(Account!$F304, "" ""), """")"),"")</f>
        <v/>
      </c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>
      <c r="A305" s="7"/>
      <c r="B305" s="7"/>
      <c r="C305" s="7"/>
      <c r="D305" s="7"/>
      <c r="E305" s="7"/>
      <c r="F305" s="9"/>
      <c r="G305" s="341"/>
      <c r="H305" s="7"/>
      <c r="I305" s="7"/>
      <c r="J305" s="7"/>
      <c r="K305" s="7"/>
      <c r="L305" s="26" t="str">
        <f t="shared" si="1"/>
        <v/>
      </c>
      <c r="M305" s="28" t="str">
        <f>IFERROR(__xludf.DUMMYFUNCTION("IF(Account!$F305&lt;&gt;"""", VALUE(REGEXREPLACE($I305, ""\,"", ""."")), """")"),"")</f>
        <v/>
      </c>
      <c r="N305" s="31" t="str">
        <f>IF(Account!$F305&lt;&gt;"", DATEVALUE(MID($A305,4,3) &amp; LEFT($A305,3) &amp; RIGHT($A305,4)) + TIMEVALUE($B305), "")</f>
        <v/>
      </c>
      <c r="O305" s="33" t="str">
        <f>IF(Account!$F305&lt;&gt;"", DATEVALUE(MID($A305,4,3) &amp; LEFT($A305,3) &amp; RIGHT($A305,4)), "")</f>
        <v/>
      </c>
      <c r="P305" s="34" t="str">
        <f>IFERROR(VLOOKUP($Q305,Selection!$F:$G,2,false))</f>
        <v/>
      </c>
      <c r="Q305" s="36" t="str">
        <f>IF(AND($X305="change",$H305="EUR"),IF(AND($Z305="Crédit",$N305=$N306),$Q306,IF(AND($Z305="Débit",$N305=$N304),$Q304)),IF(OR(AND(OR($E305&lt;&gt;"",$L305=""),$M305&lt;&gt;0),$A305=""),IFERROR(VLOOKUP($E305,Selection!$E:$F,2,false)),IFERROR(VLOOKUP(SUBSTITUTE($I305,"-","",1),$K306:$Q1119,7,false),VLOOKUP($K305,$K306:$Q1119,7,false))))</f>
        <v/>
      </c>
      <c r="R305" s="34" t="str">
        <f t="shared" si="2"/>
        <v/>
      </c>
      <c r="S305" s="37" t="str">
        <f t="shared" si="3"/>
        <v/>
      </c>
      <c r="T305" s="38" t="str">
        <f t="shared" si="4"/>
        <v/>
      </c>
      <c r="U305" s="28" t="str">
        <f t="shared" si="5"/>
        <v/>
      </c>
      <c r="V305" s="39" t="str">
        <f>IFERROR(__xludf.DUMMYFUNCTION(" IF(Account!$F305&lt;&gt;"""", SPLIT(Account!$F305, "" ""), """")"),"")</f>
        <v/>
      </c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>
      <c r="A306" s="7"/>
      <c r="B306" s="7"/>
      <c r="C306" s="7"/>
      <c r="D306" s="7"/>
      <c r="E306" s="7"/>
      <c r="F306" s="9"/>
      <c r="G306" s="7"/>
      <c r="H306" s="7"/>
      <c r="I306" s="7"/>
      <c r="J306" s="7"/>
      <c r="K306" s="7"/>
      <c r="L306" s="26" t="str">
        <f t="shared" si="1"/>
        <v/>
      </c>
      <c r="M306" s="28" t="str">
        <f>IFERROR(__xludf.DUMMYFUNCTION("IF(Account!$F306&lt;&gt;"""", VALUE(REGEXREPLACE($I306, ""\,"", ""."")), """")"),"")</f>
        <v/>
      </c>
      <c r="N306" s="31" t="str">
        <f>IF(Account!$F306&lt;&gt;"", DATEVALUE(MID($A306,4,3) &amp; LEFT($A306,3) &amp; RIGHT($A306,4)) + TIMEVALUE($B306), "")</f>
        <v/>
      </c>
      <c r="O306" s="33" t="str">
        <f>IF(Account!$F306&lt;&gt;"", DATEVALUE(MID($A306,4,3) &amp; LEFT($A306,3) &amp; RIGHT($A306,4)), "")</f>
        <v/>
      </c>
      <c r="P306" s="34" t="str">
        <f>IFERROR(VLOOKUP($Q306,Selection!$F:$G,2,false))</f>
        <v/>
      </c>
      <c r="Q306" s="36" t="str">
        <f>IF(AND($X306="change",$H306="EUR"),IF(AND($Z306="Crédit",$N306=$N307),$Q307,IF(AND($Z306="Débit",$N306=$N305),$Q305)),IF(OR(AND(OR($E306&lt;&gt;"",$L306=""),$M306&lt;&gt;0),$A306=""),IFERROR(VLOOKUP($E306,Selection!$E:$F,2,false)),IFERROR(VLOOKUP(SUBSTITUTE($I306,"-","",1),$K307:$Q1119,7,false),VLOOKUP($K306,$K307:$Q1119,7,false))))</f>
        <v/>
      </c>
      <c r="R306" s="34" t="str">
        <f t="shared" si="2"/>
        <v/>
      </c>
      <c r="S306" s="37" t="str">
        <f t="shared" si="3"/>
        <v/>
      </c>
      <c r="T306" s="38" t="str">
        <f t="shared" si="4"/>
        <v/>
      </c>
      <c r="U306" s="28" t="str">
        <f t="shared" si="5"/>
        <v/>
      </c>
      <c r="V306" s="39" t="str">
        <f>IFERROR(__xludf.DUMMYFUNCTION(" IF(Account!$F306&lt;&gt;"""", SPLIT(Account!$F306, "" ""), """")"),"")</f>
        <v/>
      </c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>
      <c r="A307" s="7"/>
      <c r="B307" s="7"/>
      <c r="C307" s="7"/>
      <c r="D307" s="7"/>
      <c r="E307" s="7"/>
      <c r="F307" s="9"/>
      <c r="G307" s="7"/>
      <c r="H307" s="7"/>
      <c r="I307" s="7"/>
      <c r="J307" s="7"/>
      <c r="K307" s="7"/>
      <c r="L307" s="26" t="str">
        <f t="shared" si="1"/>
        <v/>
      </c>
      <c r="M307" s="28" t="str">
        <f>IFERROR(__xludf.DUMMYFUNCTION("IF(Account!$F307&lt;&gt;"""", VALUE(REGEXREPLACE($I307, ""\,"", ""."")), """")"),"")</f>
        <v/>
      </c>
      <c r="N307" s="31" t="str">
        <f>IF(Account!$F307&lt;&gt;"", DATEVALUE(MID($A307,4,3) &amp; LEFT($A307,3) &amp; RIGHT($A307,4)) + TIMEVALUE($B307), "")</f>
        <v/>
      </c>
      <c r="O307" s="33" t="str">
        <f>IF(Account!$F307&lt;&gt;"", DATEVALUE(MID($A307,4,3) &amp; LEFT($A307,3) &amp; RIGHT($A307,4)), "")</f>
        <v/>
      </c>
      <c r="P307" s="34" t="str">
        <f>IFERROR(VLOOKUP($Q307,Selection!$F:$G,2,false))</f>
        <v/>
      </c>
      <c r="Q307" s="36" t="str">
        <f>IF(AND($X307="change",$H307="EUR"),IF(AND($Z307="Crédit",$N307=$N308),$Q308,IF(AND($Z307="Débit",$N307=$N306),$Q306)),IF(OR(AND(OR($E307&lt;&gt;"",$L307=""),$M307&lt;&gt;0),$A307=""),IFERROR(VLOOKUP($E307,Selection!$E:$F,2,false)),IFERROR(VLOOKUP(SUBSTITUTE($I307,"-","",1),$K308:$Q1119,7,false),VLOOKUP($K307,$K308:$Q1119,7,false))))</f>
        <v/>
      </c>
      <c r="R307" s="34" t="str">
        <f t="shared" si="2"/>
        <v/>
      </c>
      <c r="S307" s="37" t="str">
        <f t="shared" si="3"/>
        <v/>
      </c>
      <c r="T307" s="38" t="str">
        <f t="shared" si="4"/>
        <v/>
      </c>
      <c r="U307" s="28" t="str">
        <f t="shared" si="5"/>
        <v/>
      </c>
      <c r="V307" s="39" t="str">
        <f>IFERROR(__xludf.DUMMYFUNCTION(" IF(Account!$F307&lt;&gt;"""", SPLIT(Account!$F307, "" ""), """")"),"")</f>
        <v/>
      </c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>
      <c r="A308" s="7"/>
      <c r="B308" s="7"/>
      <c r="C308" s="7"/>
      <c r="D308" s="7"/>
      <c r="E308" s="7"/>
      <c r="F308" s="9"/>
      <c r="G308" s="7"/>
      <c r="H308" s="7"/>
      <c r="I308" s="7"/>
      <c r="J308" s="7"/>
      <c r="K308" s="7"/>
      <c r="L308" s="26" t="str">
        <f t="shared" si="1"/>
        <v/>
      </c>
      <c r="M308" s="28" t="str">
        <f>IFERROR(__xludf.DUMMYFUNCTION("IF(Account!$F308&lt;&gt;"""", VALUE(REGEXREPLACE($I308, ""\,"", ""."")), """")"),"")</f>
        <v/>
      </c>
      <c r="N308" s="31" t="str">
        <f>IF(Account!$F308&lt;&gt;"", DATEVALUE(MID($A308,4,3) &amp; LEFT($A308,3) &amp; RIGHT($A308,4)) + TIMEVALUE($B308), "")</f>
        <v/>
      </c>
      <c r="O308" s="33" t="str">
        <f>IF(Account!$F308&lt;&gt;"", DATEVALUE(MID($A308,4,3) &amp; LEFT($A308,3) &amp; RIGHT($A308,4)), "")</f>
        <v/>
      </c>
      <c r="P308" s="34" t="str">
        <f>IFERROR(VLOOKUP($Q308,Selection!$F:$G,2,false))</f>
        <v/>
      </c>
      <c r="Q308" s="36" t="str">
        <f>IF(AND($X308="change",$H308="EUR"),IF(AND($Z308="Crédit",$N308=$N309),$Q309,IF(AND($Z308="Débit",$N308=$N307),$Q307)),IF(OR(AND(OR($E308&lt;&gt;"",$L308=""),$M308&lt;&gt;0),$A308=""),IFERROR(VLOOKUP($E308,Selection!$E:$F,2,false)),IFERROR(VLOOKUP(SUBSTITUTE($I308,"-","",1),$K309:$Q1119,7,false),VLOOKUP($K308,$K309:$Q1119,7,false))))</f>
        <v/>
      </c>
      <c r="R308" s="34" t="str">
        <f t="shared" si="2"/>
        <v/>
      </c>
      <c r="S308" s="37" t="str">
        <f t="shared" si="3"/>
        <v/>
      </c>
      <c r="T308" s="38" t="str">
        <f t="shared" si="4"/>
        <v/>
      </c>
      <c r="U308" s="28" t="str">
        <f t="shared" si="5"/>
        <v/>
      </c>
      <c r="V308" s="39" t="str">
        <f>IFERROR(__xludf.DUMMYFUNCTION(" IF(Account!$F308&lt;&gt;"""", SPLIT(Account!$F308, "" ""), """")"),"")</f>
        <v/>
      </c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>
      <c r="A309" s="7"/>
      <c r="B309" s="7"/>
      <c r="C309" s="7"/>
      <c r="D309" s="7"/>
      <c r="E309" s="7"/>
      <c r="F309" s="9"/>
      <c r="G309" s="341"/>
      <c r="H309" s="7"/>
      <c r="I309" s="7"/>
      <c r="J309" s="7"/>
      <c r="K309" s="7"/>
      <c r="L309" s="26" t="str">
        <f t="shared" si="1"/>
        <v/>
      </c>
      <c r="M309" s="28" t="str">
        <f>IFERROR(__xludf.DUMMYFUNCTION("IF(Account!$F309&lt;&gt;"""", VALUE(REGEXREPLACE($I309, ""\,"", ""."")), """")"),"")</f>
        <v/>
      </c>
      <c r="N309" s="31" t="str">
        <f>IF(Account!$F309&lt;&gt;"", DATEVALUE(MID($A309,4,3) &amp; LEFT($A309,3) &amp; RIGHT($A309,4)) + TIMEVALUE($B309), "")</f>
        <v/>
      </c>
      <c r="O309" s="33" t="str">
        <f>IF(Account!$F309&lt;&gt;"", DATEVALUE(MID($A309,4,3) &amp; LEFT($A309,3) &amp; RIGHT($A309,4)), "")</f>
        <v/>
      </c>
      <c r="P309" s="34" t="str">
        <f>IFERROR(VLOOKUP($Q309,Selection!$F:$G,2,false))</f>
        <v/>
      </c>
      <c r="Q309" s="36" t="str">
        <f>IF(AND($X309="change",$H309="EUR"),IF(AND($Z309="Crédit",$N309=$N310),$Q310,IF(AND($Z309="Débit",$N309=$N308),$Q308)),IF(OR(AND(OR($E309&lt;&gt;"",$L309=""),$M309&lt;&gt;0),$A309=""),IFERROR(VLOOKUP($E309,Selection!$E:$F,2,false)),IFERROR(VLOOKUP(SUBSTITUTE($I309,"-","",1),$K310:$Q1119,7,false),VLOOKUP($K309,$K310:$Q1119,7,false))))</f>
        <v/>
      </c>
      <c r="R309" s="34" t="str">
        <f t="shared" si="2"/>
        <v/>
      </c>
      <c r="S309" s="37" t="str">
        <f t="shared" si="3"/>
        <v/>
      </c>
      <c r="T309" s="38" t="str">
        <f t="shared" si="4"/>
        <v/>
      </c>
      <c r="U309" s="28" t="str">
        <f t="shared" si="5"/>
        <v/>
      </c>
      <c r="V309" s="39" t="str">
        <f>IFERROR(__xludf.DUMMYFUNCTION(" IF(Account!$F309&lt;&gt;"""", SPLIT(Account!$F309, "" ""), """")"),"")</f>
        <v/>
      </c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>
      <c r="A310" s="7"/>
      <c r="B310" s="7"/>
      <c r="C310" s="7"/>
      <c r="D310" s="7"/>
      <c r="E310" s="7"/>
      <c r="F310" s="9"/>
      <c r="G310" s="341"/>
      <c r="H310" s="7"/>
      <c r="I310" s="7"/>
      <c r="J310" s="7"/>
      <c r="K310" s="7"/>
      <c r="L310" s="26" t="str">
        <f t="shared" si="1"/>
        <v/>
      </c>
      <c r="M310" s="28" t="str">
        <f>IFERROR(__xludf.DUMMYFUNCTION("IF(Account!$F310&lt;&gt;"""", VALUE(REGEXREPLACE($I310, ""\,"", ""."")), """")"),"")</f>
        <v/>
      </c>
      <c r="N310" s="31" t="str">
        <f>IF(Account!$F310&lt;&gt;"", DATEVALUE(MID($A310,4,3) &amp; LEFT($A310,3) &amp; RIGHT($A310,4)) + TIMEVALUE($B310), "")</f>
        <v/>
      </c>
      <c r="O310" s="33" t="str">
        <f>IF(Account!$F310&lt;&gt;"", DATEVALUE(MID($A310,4,3) &amp; LEFT($A310,3) &amp; RIGHT($A310,4)), "")</f>
        <v/>
      </c>
      <c r="P310" s="34" t="str">
        <f>IFERROR(VLOOKUP($Q310,Selection!$F:$G,2,false))</f>
        <v/>
      </c>
      <c r="Q310" s="36" t="str">
        <f>IF(AND($X310="change",$H310="EUR"),IF(AND($Z310="Crédit",$N310=$N311),$Q311,IF(AND($Z310="Débit",$N310=$N309),$Q309)),IF(OR(AND(OR($E310&lt;&gt;"",$L310=""),$M310&lt;&gt;0),$A310=""),IFERROR(VLOOKUP($E310,Selection!$E:$F,2,false)),IFERROR(VLOOKUP(SUBSTITUTE($I310,"-","",1),$K311:$Q1119,7,false),VLOOKUP($K310,$K311:$Q1119,7,false))))</f>
        <v/>
      </c>
      <c r="R310" s="34" t="str">
        <f t="shared" si="2"/>
        <v/>
      </c>
      <c r="S310" s="37" t="str">
        <f t="shared" si="3"/>
        <v/>
      </c>
      <c r="T310" s="38" t="str">
        <f t="shared" si="4"/>
        <v/>
      </c>
      <c r="U310" s="28" t="str">
        <f t="shared" si="5"/>
        <v/>
      </c>
      <c r="V310" s="39" t="str">
        <f>IFERROR(__xludf.DUMMYFUNCTION(" IF(Account!$F310&lt;&gt;"""", SPLIT(Account!$F310, "" ""), """")"),"")</f>
        <v/>
      </c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>
      <c r="A311" s="7"/>
      <c r="B311" s="7"/>
      <c r="C311" s="7"/>
      <c r="D311" s="7"/>
      <c r="E311" s="7"/>
      <c r="F311" s="9"/>
      <c r="G311" s="7"/>
      <c r="H311" s="7"/>
      <c r="I311" s="7"/>
      <c r="J311" s="7"/>
      <c r="K311" s="7"/>
      <c r="L311" s="26" t="str">
        <f t="shared" si="1"/>
        <v/>
      </c>
      <c r="M311" s="28" t="str">
        <f>IFERROR(__xludf.DUMMYFUNCTION("IF(Account!$F311&lt;&gt;"""", VALUE(REGEXREPLACE($I311, ""\,"", ""."")), """")"),"")</f>
        <v/>
      </c>
      <c r="N311" s="31" t="str">
        <f>IF(Account!$F311&lt;&gt;"", DATEVALUE(MID($A311,4,3) &amp; LEFT($A311,3) &amp; RIGHT($A311,4)) + TIMEVALUE($B311), "")</f>
        <v/>
      </c>
      <c r="O311" s="33" t="str">
        <f>IF(Account!$F311&lt;&gt;"", DATEVALUE(MID($A311,4,3) &amp; LEFT($A311,3) &amp; RIGHT($A311,4)), "")</f>
        <v/>
      </c>
      <c r="P311" s="34" t="str">
        <f>IFERROR(VLOOKUP($Q311,Selection!$F:$G,2,false))</f>
        <v/>
      </c>
      <c r="Q311" s="36" t="str">
        <f>IF(AND($X311="change",$H311="EUR"),IF(AND($Z311="Crédit",$N311=$N312),$Q312,IF(AND($Z311="Débit",$N311=$N310),$Q310)),IF(OR(AND(OR($E311&lt;&gt;"",$L311=""),$M311&lt;&gt;0),$A311=""),IFERROR(VLOOKUP($E311,Selection!$E:$F,2,false)),IFERROR(VLOOKUP(SUBSTITUTE($I311,"-","",1),$K312:$Q1119,7,false),VLOOKUP($K311,$K312:$Q1119,7,false))))</f>
        <v/>
      </c>
      <c r="R311" s="34" t="str">
        <f t="shared" si="2"/>
        <v/>
      </c>
      <c r="S311" s="37" t="str">
        <f t="shared" si="3"/>
        <v/>
      </c>
      <c r="T311" s="38" t="str">
        <f t="shared" si="4"/>
        <v/>
      </c>
      <c r="U311" s="28" t="str">
        <f t="shared" si="5"/>
        <v/>
      </c>
      <c r="V311" s="39" t="str">
        <f>IFERROR(__xludf.DUMMYFUNCTION(" IF(Account!$F311&lt;&gt;"""", SPLIT(Account!$F311, "" ""), """")"),"")</f>
        <v/>
      </c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>
      <c r="A312" s="7"/>
      <c r="B312" s="7"/>
      <c r="C312" s="7"/>
      <c r="D312" s="7"/>
      <c r="E312" s="7"/>
      <c r="F312" s="9"/>
      <c r="G312" s="341"/>
      <c r="H312" s="7"/>
      <c r="I312" s="7"/>
      <c r="J312" s="7"/>
      <c r="K312" s="7"/>
      <c r="L312" s="26" t="str">
        <f t="shared" si="1"/>
        <v/>
      </c>
      <c r="M312" s="28" t="str">
        <f>IFERROR(__xludf.DUMMYFUNCTION("IF(Account!$F312&lt;&gt;"""", VALUE(REGEXREPLACE($I312, ""\,"", ""."")), """")"),"")</f>
        <v/>
      </c>
      <c r="N312" s="31" t="str">
        <f>IF(Account!$F312&lt;&gt;"", DATEVALUE(MID($A312,4,3) &amp; LEFT($A312,3) &amp; RIGHT($A312,4)) + TIMEVALUE($B312), "")</f>
        <v/>
      </c>
      <c r="O312" s="33" t="str">
        <f>IF(Account!$F312&lt;&gt;"", DATEVALUE(MID($A312,4,3) &amp; LEFT($A312,3) &amp; RIGHT($A312,4)), "")</f>
        <v/>
      </c>
      <c r="P312" s="34" t="str">
        <f>IFERROR(VLOOKUP($Q312,Selection!$F:$G,2,false))</f>
        <v/>
      </c>
      <c r="Q312" s="36" t="str">
        <f>IF(AND($X312="change",$H312="EUR"),IF(AND($Z312="Crédit",$N312=$N313),$Q313,IF(AND($Z312="Débit",$N312=$N311),$Q311)),IF(OR(AND(OR($E312&lt;&gt;"",$L312=""),$M312&lt;&gt;0),$A312=""),IFERROR(VLOOKUP($E312,Selection!$E:$F,2,false)),IFERROR(VLOOKUP(SUBSTITUTE($I312,"-","",1),$K313:$Q1119,7,false),VLOOKUP($K312,$K313:$Q1119,7,false))))</f>
        <v/>
      </c>
      <c r="R312" s="34" t="str">
        <f t="shared" si="2"/>
        <v/>
      </c>
      <c r="S312" s="37" t="str">
        <f t="shared" si="3"/>
        <v/>
      </c>
      <c r="T312" s="38" t="str">
        <f t="shared" si="4"/>
        <v/>
      </c>
      <c r="U312" s="28" t="str">
        <f t="shared" si="5"/>
        <v/>
      </c>
      <c r="V312" s="39" t="str">
        <f>IFERROR(__xludf.DUMMYFUNCTION(" IF(Account!$F312&lt;&gt;"""", SPLIT(Account!$F312, "" ""), """")"),"")</f>
        <v/>
      </c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>
      <c r="A313" s="7"/>
      <c r="B313" s="7"/>
      <c r="C313" s="7"/>
      <c r="D313" s="7"/>
      <c r="E313" s="7"/>
      <c r="F313" s="9"/>
      <c r="G313" s="341"/>
      <c r="H313" s="7"/>
      <c r="I313" s="7"/>
      <c r="J313" s="7"/>
      <c r="K313" s="7"/>
      <c r="L313" s="26" t="str">
        <f t="shared" si="1"/>
        <v/>
      </c>
      <c r="M313" s="28" t="str">
        <f>IFERROR(__xludf.DUMMYFUNCTION("IF(Account!$F313&lt;&gt;"""", VALUE(REGEXREPLACE($I313, ""\,"", ""."")), """")"),"")</f>
        <v/>
      </c>
      <c r="N313" s="31" t="str">
        <f>IF(Account!$F313&lt;&gt;"", DATEVALUE(MID($A313,4,3) &amp; LEFT($A313,3) &amp; RIGHT($A313,4)) + TIMEVALUE($B313), "")</f>
        <v/>
      </c>
      <c r="O313" s="33" t="str">
        <f>IF(Account!$F313&lt;&gt;"", DATEVALUE(MID($A313,4,3) &amp; LEFT($A313,3) &amp; RIGHT($A313,4)), "")</f>
        <v/>
      </c>
      <c r="P313" s="34" t="str">
        <f>IFERROR(VLOOKUP($Q313,Selection!$F:$G,2,false))</f>
        <v/>
      </c>
      <c r="Q313" s="36" t="str">
        <f>IF(AND($X313="change",$H313="EUR"),IF(AND($Z313="Crédit",$N313=$N314),$Q314,IF(AND($Z313="Débit",$N313=$N312),$Q312)),IF(OR(AND(OR($E313&lt;&gt;"",$L313=""),$M313&lt;&gt;0),$A313=""),IFERROR(VLOOKUP($E313,Selection!$E:$F,2,false)),IFERROR(VLOOKUP(SUBSTITUTE($I313,"-","",1),$K314:$Q1119,7,false),VLOOKUP($K313,$K314:$Q1119,7,false))))</f>
        <v/>
      </c>
      <c r="R313" s="34" t="str">
        <f t="shared" si="2"/>
        <v/>
      </c>
      <c r="S313" s="37" t="str">
        <f t="shared" si="3"/>
        <v/>
      </c>
      <c r="T313" s="38" t="str">
        <f t="shared" si="4"/>
        <v/>
      </c>
      <c r="U313" s="28" t="str">
        <f t="shared" si="5"/>
        <v/>
      </c>
      <c r="V313" s="39" t="str">
        <f>IFERROR(__xludf.DUMMYFUNCTION(" IF(Account!$F313&lt;&gt;"""", SPLIT(Account!$F313, "" ""), """")"),"")</f>
        <v/>
      </c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>
      <c r="A314" s="7"/>
      <c r="B314" s="7"/>
      <c r="C314" s="7"/>
      <c r="D314" s="7"/>
      <c r="E314" s="7"/>
      <c r="F314" s="9"/>
      <c r="G314" s="341"/>
      <c r="H314" s="7"/>
      <c r="I314" s="7"/>
      <c r="J314" s="7"/>
      <c r="K314" s="7"/>
      <c r="L314" s="26" t="str">
        <f t="shared" si="1"/>
        <v/>
      </c>
      <c r="M314" s="28" t="str">
        <f>IFERROR(__xludf.DUMMYFUNCTION("IF(Account!$F314&lt;&gt;"""", VALUE(REGEXREPLACE($I314, ""\,"", ""."")), """")"),"")</f>
        <v/>
      </c>
      <c r="N314" s="31" t="str">
        <f>IF(Account!$F314&lt;&gt;"", DATEVALUE(MID($A314,4,3) &amp; LEFT($A314,3) &amp; RIGHT($A314,4)) + TIMEVALUE($B314), "")</f>
        <v/>
      </c>
      <c r="O314" s="33" t="str">
        <f>IF(Account!$F314&lt;&gt;"", DATEVALUE(MID($A314,4,3) &amp; LEFT($A314,3) &amp; RIGHT($A314,4)), "")</f>
        <v/>
      </c>
      <c r="P314" s="34" t="str">
        <f>IFERROR(VLOOKUP($Q314,Selection!$F:$G,2,false))</f>
        <v/>
      </c>
      <c r="Q314" s="36" t="str">
        <f>IF(AND($X314="change",$H314="EUR"),IF(AND($Z314="Crédit",$N314=$N315),$Q315,IF(AND($Z314="Débit",$N314=$N313),$Q313)),IF(OR(AND(OR($E314&lt;&gt;"",$L314=""),$M314&lt;&gt;0),$A314=""),IFERROR(VLOOKUP($E314,Selection!$E:$F,2,false)),IFERROR(VLOOKUP(SUBSTITUTE($I314,"-","",1),$K315:$Q1119,7,false),VLOOKUP($K314,$K315:$Q1119,7,false))))</f>
        <v/>
      </c>
      <c r="R314" s="34" t="str">
        <f t="shared" si="2"/>
        <v/>
      </c>
      <c r="S314" s="37" t="str">
        <f t="shared" si="3"/>
        <v/>
      </c>
      <c r="T314" s="38" t="str">
        <f t="shared" si="4"/>
        <v/>
      </c>
      <c r="U314" s="28" t="str">
        <f t="shared" si="5"/>
        <v/>
      </c>
      <c r="V314" s="39" t="str">
        <f>IFERROR(__xludf.DUMMYFUNCTION(" IF(Account!$F314&lt;&gt;"""", SPLIT(Account!$F314, "" ""), """")"),"")</f>
        <v/>
      </c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>
      <c r="A315" s="7"/>
      <c r="B315" s="7"/>
      <c r="C315" s="7"/>
      <c r="D315" s="7"/>
      <c r="E315" s="7"/>
      <c r="F315" s="9"/>
      <c r="G315" s="341"/>
      <c r="H315" s="7"/>
      <c r="I315" s="7"/>
      <c r="J315" s="7"/>
      <c r="K315" s="7"/>
      <c r="L315" s="26" t="str">
        <f t="shared" si="1"/>
        <v/>
      </c>
      <c r="M315" s="28" t="str">
        <f>IFERROR(__xludf.DUMMYFUNCTION("IF(Account!$F315&lt;&gt;"""", VALUE(REGEXREPLACE($I315, ""\,"", ""."")), """")"),"")</f>
        <v/>
      </c>
      <c r="N315" s="31" t="str">
        <f>IF(Account!$F315&lt;&gt;"", DATEVALUE(MID($A315,4,3) &amp; LEFT($A315,3) &amp; RIGHT($A315,4)) + TIMEVALUE($B315), "")</f>
        <v/>
      </c>
      <c r="O315" s="33" t="str">
        <f>IF(Account!$F315&lt;&gt;"", DATEVALUE(MID($A315,4,3) &amp; LEFT($A315,3) &amp; RIGHT($A315,4)), "")</f>
        <v/>
      </c>
      <c r="P315" s="34" t="str">
        <f>IFERROR(VLOOKUP($Q315,Selection!$F:$G,2,false))</f>
        <v/>
      </c>
      <c r="Q315" s="36" t="str">
        <f>IF(AND($X315="change",$H315="EUR"),IF(AND($Z315="Crédit",$N315=$N316),$Q316,IF(AND($Z315="Débit",$N315=$N314),$Q314)),IF(OR(AND(OR($E315&lt;&gt;"",$L315=""),$M315&lt;&gt;0),$A315=""),IFERROR(VLOOKUP($E315,Selection!$E:$F,2,false)),IFERROR(VLOOKUP(SUBSTITUTE($I315,"-","",1),$K316:$Q1119,7,false),VLOOKUP($K315,$K316:$Q1119,7,false))))</f>
        <v/>
      </c>
      <c r="R315" s="34" t="str">
        <f t="shared" si="2"/>
        <v/>
      </c>
      <c r="S315" s="37" t="str">
        <f t="shared" si="3"/>
        <v/>
      </c>
      <c r="T315" s="38" t="str">
        <f t="shared" si="4"/>
        <v/>
      </c>
      <c r="U315" s="28" t="str">
        <f t="shared" si="5"/>
        <v/>
      </c>
      <c r="V315" s="39" t="str">
        <f>IFERROR(__xludf.DUMMYFUNCTION(" IF(Account!$F315&lt;&gt;"""", SPLIT(Account!$F315, "" ""), """")"),"")</f>
        <v/>
      </c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</row>
    <row r="316">
      <c r="A316" s="7"/>
      <c r="B316" s="7"/>
      <c r="C316" s="7"/>
      <c r="D316" s="7"/>
      <c r="E316" s="7"/>
      <c r="F316" s="9"/>
      <c r="G316" s="341"/>
      <c r="H316" s="7"/>
      <c r="I316" s="7"/>
      <c r="J316" s="7"/>
      <c r="K316" s="7"/>
      <c r="L316" s="26" t="str">
        <f t="shared" si="1"/>
        <v/>
      </c>
      <c r="M316" s="28" t="str">
        <f>IFERROR(__xludf.DUMMYFUNCTION("IF(Account!$F316&lt;&gt;"""", VALUE(REGEXREPLACE($I316, ""\,"", ""."")), """")"),"")</f>
        <v/>
      </c>
      <c r="N316" s="31" t="str">
        <f>IF(Account!$F316&lt;&gt;"", DATEVALUE(MID($A316,4,3) &amp; LEFT($A316,3) &amp; RIGHT($A316,4)) + TIMEVALUE($B316), "")</f>
        <v/>
      </c>
      <c r="O316" s="33" t="str">
        <f>IF(Account!$F316&lt;&gt;"", DATEVALUE(MID($A316,4,3) &amp; LEFT($A316,3) &amp; RIGHT($A316,4)), "")</f>
        <v/>
      </c>
      <c r="P316" s="34" t="str">
        <f>IFERROR(VLOOKUP($Q316,Selection!$F:$G,2,false))</f>
        <v/>
      </c>
      <c r="Q316" s="36" t="str">
        <f>IF(AND($X316="change",$H316="EUR"),IF(AND($Z316="Crédit",$N316=$N317),$Q317,IF(AND($Z316="Débit",$N316=$N315),$Q315)),IF(OR(AND(OR($E316&lt;&gt;"",$L316=""),$M316&lt;&gt;0),$A316=""),IFERROR(VLOOKUP($E316,Selection!$E:$F,2,false)),IFERROR(VLOOKUP(SUBSTITUTE($I316,"-","",1),$K317:$Q1119,7,false),VLOOKUP($K316,$K317:$Q1119,7,false))))</f>
        <v/>
      </c>
      <c r="R316" s="34" t="str">
        <f t="shared" si="2"/>
        <v/>
      </c>
      <c r="S316" s="37" t="str">
        <f t="shared" si="3"/>
        <v/>
      </c>
      <c r="T316" s="38" t="str">
        <f t="shared" si="4"/>
        <v/>
      </c>
      <c r="U316" s="28" t="str">
        <f t="shared" si="5"/>
        <v/>
      </c>
      <c r="V316" s="39" t="str">
        <f>IFERROR(__xludf.DUMMYFUNCTION(" IF(Account!$F316&lt;&gt;"""", SPLIT(Account!$F316, "" ""), """")"),"")</f>
        <v/>
      </c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</row>
    <row r="317">
      <c r="A317" s="7"/>
      <c r="B317" s="7"/>
      <c r="C317" s="7"/>
      <c r="D317" s="7"/>
      <c r="E317" s="7"/>
      <c r="F317" s="9"/>
      <c r="G317" s="341"/>
      <c r="H317" s="7"/>
      <c r="I317" s="7"/>
      <c r="J317" s="7"/>
      <c r="K317" s="7"/>
      <c r="L317" s="26" t="str">
        <f t="shared" si="1"/>
        <v/>
      </c>
      <c r="M317" s="28" t="str">
        <f>IFERROR(__xludf.DUMMYFUNCTION("IF(Account!$F317&lt;&gt;"""", VALUE(REGEXREPLACE($I317, ""\,"", ""."")), """")"),"")</f>
        <v/>
      </c>
      <c r="N317" s="31" t="str">
        <f>IF(Account!$F317&lt;&gt;"", DATEVALUE(MID($A317,4,3) &amp; LEFT($A317,3) &amp; RIGHT($A317,4)) + TIMEVALUE($B317), "")</f>
        <v/>
      </c>
      <c r="O317" s="33" t="str">
        <f>IF(Account!$F317&lt;&gt;"", DATEVALUE(MID($A317,4,3) &amp; LEFT($A317,3) &amp; RIGHT($A317,4)), "")</f>
        <v/>
      </c>
      <c r="P317" s="34" t="str">
        <f>IFERROR(VLOOKUP($Q317,Selection!$F:$G,2,false))</f>
        <v/>
      </c>
      <c r="Q317" s="36" t="str">
        <f>IF(AND($X317="change",$H317="EUR"),IF(AND($Z317="Crédit",$N317=$N318),$Q318,IF(AND($Z317="Débit",$N317=$N316),$Q316)),IF(OR(AND(OR($E317&lt;&gt;"",$L317=""),$M317&lt;&gt;0),$A317=""),IFERROR(VLOOKUP($E317,Selection!$E:$F,2,false)),IFERROR(VLOOKUP(SUBSTITUTE($I317,"-","",1),$K318:$Q1119,7,false),VLOOKUP($K317,$K318:$Q1119,7,false))))</f>
        <v/>
      </c>
      <c r="R317" s="34" t="str">
        <f t="shared" si="2"/>
        <v/>
      </c>
      <c r="S317" s="37" t="str">
        <f t="shared" si="3"/>
        <v/>
      </c>
      <c r="T317" s="38" t="str">
        <f t="shared" si="4"/>
        <v/>
      </c>
      <c r="U317" s="28" t="str">
        <f t="shared" si="5"/>
        <v/>
      </c>
      <c r="V317" s="39" t="str">
        <f>IFERROR(__xludf.DUMMYFUNCTION(" IF(Account!$F317&lt;&gt;"""", SPLIT(Account!$F317, "" ""), """")"),"")</f>
        <v/>
      </c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</row>
    <row r="318">
      <c r="A318" s="7"/>
      <c r="B318" s="7"/>
      <c r="C318" s="7"/>
      <c r="D318" s="7"/>
      <c r="E318" s="7"/>
      <c r="F318" s="9"/>
      <c r="G318" s="341"/>
      <c r="H318" s="7"/>
      <c r="I318" s="7"/>
      <c r="J318" s="7"/>
      <c r="K318" s="7"/>
      <c r="L318" s="26" t="str">
        <f t="shared" si="1"/>
        <v/>
      </c>
      <c r="M318" s="28" t="str">
        <f>IFERROR(__xludf.DUMMYFUNCTION("IF(Account!$F318&lt;&gt;"""", VALUE(REGEXREPLACE($I318, ""\,"", ""."")), """")"),"")</f>
        <v/>
      </c>
      <c r="N318" s="31" t="str">
        <f>IF(Account!$F318&lt;&gt;"", DATEVALUE(MID($A318,4,3) &amp; LEFT($A318,3) &amp; RIGHT($A318,4)) + TIMEVALUE($B318), "")</f>
        <v/>
      </c>
      <c r="O318" s="33" t="str">
        <f>IF(Account!$F318&lt;&gt;"", DATEVALUE(MID($A318,4,3) &amp; LEFT($A318,3) &amp; RIGHT($A318,4)), "")</f>
        <v/>
      </c>
      <c r="P318" s="34" t="str">
        <f>IFERROR(VLOOKUP($Q318,Selection!$F:$G,2,false))</f>
        <v/>
      </c>
      <c r="Q318" s="36" t="str">
        <f>IF(AND($X318="change",$H318="EUR"),IF(AND($Z318="Crédit",$N318=$N319),$Q319,IF(AND($Z318="Débit",$N318=$N317),$Q317)),IF(OR(AND(OR($E318&lt;&gt;"",$L318=""),$M318&lt;&gt;0),$A318=""),IFERROR(VLOOKUP($E318,Selection!$E:$F,2,false)),IFERROR(VLOOKUP(SUBSTITUTE($I318,"-","",1),$K319:$Q1119,7,false),VLOOKUP($K318,$K319:$Q1119,7,false))))</f>
        <v/>
      </c>
      <c r="R318" s="34" t="str">
        <f t="shared" si="2"/>
        <v/>
      </c>
      <c r="S318" s="37" t="str">
        <f t="shared" si="3"/>
        <v/>
      </c>
      <c r="T318" s="38" t="str">
        <f t="shared" si="4"/>
        <v/>
      </c>
      <c r="U318" s="28" t="str">
        <f t="shared" si="5"/>
        <v/>
      </c>
      <c r="V318" s="39" t="str">
        <f>IFERROR(__xludf.DUMMYFUNCTION(" IF(Account!$F318&lt;&gt;"""", SPLIT(Account!$F318, "" ""), """")"),"")</f>
        <v/>
      </c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</row>
    <row r="319">
      <c r="A319" s="7"/>
      <c r="B319" s="7"/>
      <c r="C319" s="7"/>
      <c r="D319" s="7"/>
      <c r="E319" s="7"/>
      <c r="F319" s="9"/>
      <c r="G319" s="341"/>
      <c r="H319" s="7"/>
      <c r="I319" s="7"/>
      <c r="J319" s="7"/>
      <c r="K319" s="7"/>
      <c r="L319" s="26" t="str">
        <f t="shared" si="1"/>
        <v/>
      </c>
      <c r="M319" s="28" t="str">
        <f>IFERROR(__xludf.DUMMYFUNCTION("IF(Account!$F319&lt;&gt;"""", VALUE(REGEXREPLACE($I319, ""\,"", ""."")), """")"),"")</f>
        <v/>
      </c>
      <c r="N319" s="31" t="str">
        <f>IF(Account!$F319&lt;&gt;"", DATEVALUE(MID($A319,4,3) &amp; LEFT($A319,3) &amp; RIGHT($A319,4)) + TIMEVALUE($B319), "")</f>
        <v/>
      </c>
      <c r="O319" s="33" t="str">
        <f>IF(Account!$F319&lt;&gt;"", DATEVALUE(MID($A319,4,3) &amp; LEFT($A319,3) &amp; RIGHT($A319,4)), "")</f>
        <v/>
      </c>
      <c r="P319" s="34" t="str">
        <f>IFERROR(VLOOKUP($Q319,Selection!$F:$G,2,false))</f>
        <v/>
      </c>
      <c r="Q319" s="36" t="str">
        <f>IF(AND($X319="change",$H319="EUR"),IF(AND($Z319="Crédit",$N319=$N320),$Q320,IF(AND($Z319="Débit",$N319=$N318),$Q318)),IF(OR(AND(OR($E319&lt;&gt;"",$L319=""),$M319&lt;&gt;0),$A319=""),IFERROR(VLOOKUP($E319,Selection!$E:$F,2,false)),IFERROR(VLOOKUP(SUBSTITUTE($I319,"-","",1),$K320:$Q1119,7,false),VLOOKUP($K319,$K320:$Q1119,7,false))))</f>
        <v/>
      </c>
      <c r="R319" s="34" t="str">
        <f t="shared" si="2"/>
        <v/>
      </c>
      <c r="S319" s="37" t="str">
        <f t="shared" si="3"/>
        <v/>
      </c>
      <c r="T319" s="38" t="str">
        <f t="shared" si="4"/>
        <v/>
      </c>
      <c r="U319" s="28" t="str">
        <f t="shared" si="5"/>
        <v/>
      </c>
      <c r="V319" s="39" t="str">
        <f>IFERROR(__xludf.DUMMYFUNCTION(" IF(Account!$F319&lt;&gt;"""", SPLIT(Account!$F319, "" ""), """")"),"")</f>
        <v/>
      </c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</row>
    <row r="320">
      <c r="A320" s="7"/>
      <c r="B320" s="7"/>
      <c r="C320" s="7"/>
      <c r="D320" s="7"/>
      <c r="E320" s="7"/>
      <c r="F320" s="9"/>
      <c r="G320" s="341"/>
      <c r="H320" s="7"/>
      <c r="I320" s="7"/>
      <c r="J320" s="7"/>
      <c r="K320" s="7"/>
      <c r="L320" s="26" t="str">
        <f t="shared" si="1"/>
        <v/>
      </c>
      <c r="M320" s="28" t="str">
        <f>IFERROR(__xludf.DUMMYFUNCTION("IF(Account!$F320&lt;&gt;"""", VALUE(REGEXREPLACE($I320, ""\,"", ""."")), """")"),"")</f>
        <v/>
      </c>
      <c r="N320" s="31" t="str">
        <f>IF(Account!$F320&lt;&gt;"", DATEVALUE(MID($A320,4,3) &amp; LEFT($A320,3) &amp; RIGHT($A320,4)) + TIMEVALUE($B320), "")</f>
        <v/>
      </c>
      <c r="O320" s="33" t="str">
        <f>IF(Account!$F320&lt;&gt;"", DATEVALUE(MID($A320,4,3) &amp; LEFT($A320,3) &amp; RIGHT($A320,4)), "")</f>
        <v/>
      </c>
      <c r="P320" s="34" t="str">
        <f>IFERROR(VLOOKUP($Q320,Selection!$F:$G,2,false))</f>
        <v/>
      </c>
      <c r="Q320" s="36" t="str">
        <f>IF(AND($X320="change",$H320="EUR"),IF(AND($Z320="Crédit",$N320=$N321),$Q321,IF(AND($Z320="Débit",$N320=$N319),$Q319)),IF(OR(AND(OR($E320&lt;&gt;"",$L320=""),$M320&lt;&gt;0),$A320=""),IFERROR(VLOOKUP($E320,Selection!$E:$F,2,false)),IFERROR(VLOOKUP(SUBSTITUTE($I320,"-","",1),$K321:$Q1119,7,false),VLOOKUP($K320,$K321:$Q1119,7,false))))</f>
        <v/>
      </c>
      <c r="R320" s="34" t="str">
        <f t="shared" si="2"/>
        <v/>
      </c>
      <c r="S320" s="37" t="str">
        <f t="shared" si="3"/>
        <v/>
      </c>
      <c r="T320" s="38" t="str">
        <f t="shared" si="4"/>
        <v/>
      </c>
      <c r="U320" s="28" t="str">
        <f t="shared" si="5"/>
        <v/>
      </c>
      <c r="V320" s="39" t="str">
        <f>IFERROR(__xludf.DUMMYFUNCTION(" IF(Account!$F320&lt;&gt;"""", SPLIT(Account!$F320, "" ""), """")"),"")</f>
        <v/>
      </c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</row>
    <row r="321">
      <c r="A321" s="7"/>
      <c r="B321" s="7"/>
      <c r="C321" s="7"/>
      <c r="D321" s="7"/>
      <c r="E321" s="7"/>
      <c r="F321" s="9"/>
      <c r="G321" s="7"/>
      <c r="H321" s="7"/>
      <c r="I321" s="7"/>
      <c r="J321" s="7"/>
      <c r="K321" s="7"/>
      <c r="L321" s="26" t="str">
        <f t="shared" si="1"/>
        <v/>
      </c>
      <c r="M321" s="28" t="str">
        <f>IFERROR(__xludf.DUMMYFUNCTION("IF(Account!$F321&lt;&gt;"""", VALUE(REGEXREPLACE($I321, ""\,"", ""."")), """")"),"")</f>
        <v/>
      </c>
      <c r="N321" s="31" t="str">
        <f>IF(Account!$F321&lt;&gt;"", DATEVALUE(MID($A321,4,3) &amp; LEFT($A321,3) &amp; RIGHT($A321,4)) + TIMEVALUE($B321), "")</f>
        <v/>
      </c>
      <c r="O321" s="33" t="str">
        <f>IF(Account!$F321&lt;&gt;"", DATEVALUE(MID($A321,4,3) &amp; LEFT($A321,3) &amp; RIGHT($A321,4)), "")</f>
        <v/>
      </c>
      <c r="P321" s="34" t="str">
        <f>IFERROR(VLOOKUP($Q321,Selection!$F:$G,2,false))</f>
        <v/>
      </c>
      <c r="Q321" s="36" t="str">
        <f>IF(AND($X321="change",$H321="EUR"),IF(AND($Z321="Crédit",$N321=$N322),$Q322,IF(AND($Z321="Débit",$N321=$N320),$Q320)),IF(OR(AND(OR($E321&lt;&gt;"",$L321=""),$M321&lt;&gt;0),$A321=""),IFERROR(VLOOKUP($E321,Selection!$E:$F,2,false)),IFERROR(VLOOKUP(SUBSTITUTE($I321,"-","",1),$K322:$Q1119,7,false),VLOOKUP($K321,$K322:$Q1119,7,false))))</f>
        <v/>
      </c>
      <c r="R321" s="34" t="str">
        <f t="shared" si="2"/>
        <v/>
      </c>
      <c r="S321" s="37" t="str">
        <f t="shared" si="3"/>
        <v/>
      </c>
      <c r="T321" s="38" t="str">
        <f t="shared" si="4"/>
        <v/>
      </c>
      <c r="U321" s="28" t="str">
        <f t="shared" si="5"/>
        <v/>
      </c>
      <c r="V321" s="39" t="str">
        <f>IFERROR(__xludf.DUMMYFUNCTION(" IF(Account!$F321&lt;&gt;"""", SPLIT(Account!$F321, "" ""), """")"),"")</f>
        <v/>
      </c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</row>
    <row r="322">
      <c r="A322" s="7"/>
      <c r="B322" s="7"/>
      <c r="C322" s="7"/>
      <c r="D322" s="7"/>
      <c r="E322" s="7"/>
      <c r="F322" s="9"/>
      <c r="G322" s="341"/>
      <c r="H322" s="7"/>
      <c r="I322" s="7"/>
      <c r="J322" s="7"/>
      <c r="K322" s="7"/>
      <c r="L322" s="26" t="str">
        <f t="shared" si="1"/>
        <v/>
      </c>
      <c r="M322" s="28" t="str">
        <f>IFERROR(__xludf.DUMMYFUNCTION("IF(Account!$F322&lt;&gt;"""", VALUE(REGEXREPLACE($I322, ""\,"", ""."")), """")"),"")</f>
        <v/>
      </c>
      <c r="N322" s="31" t="str">
        <f>IF(Account!$F322&lt;&gt;"", DATEVALUE(MID($A322,4,3) &amp; LEFT($A322,3) &amp; RIGHT($A322,4)) + TIMEVALUE($B322), "")</f>
        <v/>
      </c>
      <c r="O322" s="33" t="str">
        <f>IF(Account!$F322&lt;&gt;"", DATEVALUE(MID($A322,4,3) &amp; LEFT($A322,3) &amp; RIGHT($A322,4)), "")</f>
        <v/>
      </c>
      <c r="P322" s="34" t="str">
        <f>IFERROR(VLOOKUP($Q322,Selection!$F:$G,2,false))</f>
        <v/>
      </c>
      <c r="Q322" s="36" t="str">
        <f>IF(AND($X322="change",$H322="EUR"),IF(AND($Z322="Crédit",$N322=$N323),$Q323,IF(AND($Z322="Débit",$N322=$N321),$Q321)),IF(OR(AND(OR($E322&lt;&gt;"",$L322=""),$M322&lt;&gt;0),$A322=""),IFERROR(VLOOKUP($E322,Selection!$E:$F,2,false)),IFERROR(VLOOKUP(SUBSTITUTE($I322,"-","",1),$K323:$Q1119,7,false),VLOOKUP($K322,$K323:$Q1119,7,false))))</f>
        <v/>
      </c>
      <c r="R322" s="34" t="str">
        <f t="shared" si="2"/>
        <v/>
      </c>
      <c r="S322" s="37" t="str">
        <f t="shared" si="3"/>
        <v/>
      </c>
      <c r="T322" s="38" t="str">
        <f t="shared" si="4"/>
        <v/>
      </c>
      <c r="U322" s="28" t="str">
        <f t="shared" si="5"/>
        <v/>
      </c>
      <c r="V322" s="39" t="str">
        <f>IFERROR(__xludf.DUMMYFUNCTION(" IF(Account!$F322&lt;&gt;"""", SPLIT(Account!$F322, "" ""), """")"),"")</f>
        <v/>
      </c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</row>
    <row r="323">
      <c r="A323" s="7"/>
      <c r="B323" s="7"/>
      <c r="C323" s="7"/>
      <c r="D323" s="7"/>
      <c r="E323" s="7"/>
      <c r="F323" s="9"/>
      <c r="G323" s="7"/>
      <c r="H323" s="7"/>
      <c r="I323" s="7"/>
      <c r="J323" s="7"/>
      <c r="K323" s="7"/>
      <c r="L323" s="26" t="str">
        <f t="shared" si="1"/>
        <v/>
      </c>
      <c r="M323" s="28" t="str">
        <f>IFERROR(__xludf.DUMMYFUNCTION("IF(Account!$F323&lt;&gt;"""", VALUE(REGEXREPLACE($I323, ""\,"", ""."")), """")"),"")</f>
        <v/>
      </c>
      <c r="N323" s="31" t="str">
        <f>IF(Account!$F323&lt;&gt;"", DATEVALUE(MID($A323,4,3) &amp; LEFT($A323,3) &amp; RIGHT($A323,4)) + TIMEVALUE($B323), "")</f>
        <v/>
      </c>
      <c r="O323" s="33" t="str">
        <f>IF(Account!$F323&lt;&gt;"", DATEVALUE(MID($A323,4,3) &amp; LEFT($A323,3) &amp; RIGHT($A323,4)), "")</f>
        <v/>
      </c>
      <c r="P323" s="34" t="str">
        <f>IFERROR(VLOOKUP($Q323,Selection!$F:$G,2,false))</f>
        <v/>
      </c>
      <c r="Q323" s="36" t="str">
        <f>IF(AND($X323="change",$H323="EUR"),IF(AND($Z323="Crédit",$N323=$N324),$Q324,IF(AND($Z323="Débit",$N323=$N322),$Q322)),IF(OR(AND(OR($E323&lt;&gt;"",$L323=""),$M323&lt;&gt;0),$A323=""),IFERROR(VLOOKUP($E323,Selection!$E:$F,2,false)),IFERROR(VLOOKUP(SUBSTITUTE($I323,"-","",1),$K324:$Q1119,7,false),VLOOKUP($K323,$K324:$Q1119,7,false))))</f>
        <v/>
      </c>
      <c r="R323" s="34" t="str">
        <f t="shared" si="2"/>
        <v/>
      </c>
      <c r="S323" s="37" t="str">
        <f t="shared" si="3"/>
        <v/>
      </c>
      <c r="T323" s="38" t="str">
        <f t="shared" si="4"/>
        <v/>
      </c>
      <c r="U323" s="28" t="str">
        <f t="shared" si="5"/>
        <v/>
      </c>
      <c r="V323" s="39" t="str">
        <f>IFERROR(__xludf.DUMMYFUNCTION(" IF(Account!$F323&lt;&gt;"""", SPLIT(Account!$F323, "" ""), """")"),"")</f>
        <v/>
      </c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</row>
    <row r="324">
      <c r="A324" s="7"/>
      <c r="B324" s="7"/>
      <c r="C324" s="7"/>
      <c r="D324" s="7"/>
      <c r="E324" s="7"/>
      <c r="F324" s="9"/>
      <c r="G324" s="7"/>
      <c r="H324" s="7"/>
      <c r="I324" s="7"/>
      <c r="J324" s="7"/>
      <c r="K324" s="7"/>
      <c r="L324" s="26" t="str">
        <f t="shared" si="1"/>
        <v/>
      </c>
      <c r="M324" s="28" t="str">
        <f>IFERROR(__xludf.DUMMYFUNCTION("IF(Account!$F324&lt;&gt;"""", VALUE(REGEXREPLACE($I324, ""\,"", ""."")), """")"),"")</f>
        <v/>
      </c>
      <c r="N324" s="31" t="str">
        <f>IF(Account!$F324&lt;&gt;"", DATEVALUE(MID($A324,4,3) &amp; LEFT($A324,3) &amp; RIGHT($A324,4)) + TIMEVALUE($B324), "")</f>
        <v/>
      </c>
      <c r="O324" s="33" t="str">
        <f>IF(Account!$F324&lt;&gt;"", DATEVALUE(MID($A324,4,3) &amp; LEFT($A324,3) &amp; RIGHT($A324,4)), "")</f>
        <v/>
      </c>
      <c r="P324" s="34" t="str">
        <f>IFERROR(VLOOKUP($Q324,Selection!$F:$G,2,false))</f>
        <v/>
      </c>
      <c r="Q324" s="36" t="str">
        <f>IF(AND($X324="change",$H324="EUR"),IF(AND($Z324="Crédit",$N324=$N325),$Q325,IF(AND($Z324="Débit",$N324=$N323),$Q323)),IF(OR(AND(OR($E324&lt;&gt;"",$L324=""),$M324&lt;&gt;0),$A324=""),IFERROR(VLOOKUP($E324,Selection!$E:$F,2,false)),IFERROR(VLOOKUP(SUBSTITUTE($I324,"-","",1),$K325:$Q1119,7,false),VLOOKUP($K324,$K325:$Q1119,7,false))))</f>
        <v/>
      </c>
      <c r="R324" s="34" t="str">
        <f t="shared" si="2"/>
        <v/>
      </c>
      <c r="S324" s="37" t="str">
        <f t="shared" si="3"/>
        <v/>
      </c>
      <c r="T324" s="38" t="str">
        <f t="shared" si="4"/>
        <v/>
      </c>
      <c r="U324" s="28" t="str">
        <f t="shared" si="5"/>
        <v/>
      </c>
      <c r="V324" s="39" t="str">
        <f>IFERROR(__xludf.DUMMYFUNCTION(" IF(Account!$F324&lt;&gt;"""", SPLIT(Account!$F324, "" ""), """")"),"")</f>
        <v/>
      </c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</row>
    <row r="325">
      <c r="A325" s="7"/>
      <c r="B325" s="7"/>
      <c r="C325" s="7"/>
      <c r="D325" s="7"/>
      <c r="E325" s="7"/>
      <c r="F325" s="9"/>
      <c r="G325" s="7"/>
      <c r="H325" s="7"/>
      <c r="I325" s="7"/>
      <c r="J325" s="7"/>
      <c r="K325" s="7"/>
      <c r="L325" s="26" t="str">
        <f t="shared" si="1"/>
        <v/>
      </c>
      <c r="M325" s="28" t="str">
        <f>IFERROR(__xludf.DUMMYFUNCTION("IF(Account!$F325&lt;&gt;"""", VALUE(REGEXREPLACE($I325, ""\,"", ""."")), """")"),"")</f>
        <v/>
      </c>
      <c r="N325" s="31" t="str">
        <f>IF(Account!$F325&lt;&gt;"", DATEVALUE(MID($A325,4,3) &amp; LEFT($A325,3) &amp; RIGHT($A325,4)) + TIMEVALUE($B325), "")</f>
        <v/>
      </c>
      <c r="O325" s="33" t="str">
        <f>IF(Account!$F325&lt;&gt;"", DATEVALUE(MID($A325,4,3) &amp; LEFT($A325,3) &amp; RIGHT($A325,4)), "")</f>
        <v/>
      </c>
      <c r="P325" s="34" t="str">
        <f>IFERROR(VLOOKUP($Q325,Selection!$F:$G,2,false))</f>
        <v/>
      </c>
      <c r="Q325" s="36" t="str">
        <f>IF(AND($X325="change",$H325="EUR"),IF(AND($Z325="Crédit",$N325=$N326),$Q326,IF(AND($Z325="Débit",$N325=$N324),$Q324)),IF(OR(AND(OR($E325&lt;&gt;"",$L325=""),$M325&lt;&gt;0),$A325=""),IFERROR(VLOOKUP($E325,Selection!$E:$F,2,false)),IFERROR(VLOOKUP(SUBSTITUTE($I325,"-","",1),$K326:$Q1119,7,false),VLOOKUP($K325,$K326:$Q1119,7,false))))</f>
        <v/>
      </c>
      <c r="R325" s="34" t="str">
        <f t="shared" si="2"/>
        <v/>
      </c>
      <c r="S325" s="37" t="str">
        <f t="shared" si="3"/>
        <v/>
      </c>
      <c r="T325" s="38" t="str">
        <f t="shared" si="4"/>
        <v/>
      </c>
      <c r="U325" s="28" t="str">
        <f t="shared" si="5"/>
        <v/>
      </c>
      <c r="V325" s="39" t="str">
        <f>IFERROR(__xludf.DUMMYFUNCTION(" IF(Account!$F325&lt;&gt;"""", SPLIT(Account!$F325, "" ""), """")"),"")</f>
        <v/>
      </c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</row>
    <row r="326">
      <c r="A326" s="7"/>
      <c r="B326" s="7"/>
      <c r="C326" s="7"/>
      <c r="D326" s="7"/>
      <c r="E326" s="7"/>
      <c r="F326" s="9"/>
      <c r="G326" s="7"/>
      <c r="H326" s="7"/>
      <c r="I326" s="7"/>
      <c r="J326" s="7"/>
      <c r="K326" s="7"/>
      <c r="L326" s="26" t="str">
        <f t="shared" si="1"/>
        <v/>
      </c>
      <c r="M326" s="28" t="str">
        <f>IFERROR(__xludf.DUMMYFUNCTION("IF(Account!$F326&lt;&gt;"""", VALUE(REGEXREPLACE($I326, ""\,"", ""."")), """")"),"")</f>
        <v/>
      </c>
      <c r="N326" s="31" t="str">
        <f>IF(Account!$F326&lt;&gt;"", DATEVALUE(MID($A326,4,3) &amp; LEFT($A326,3) &amp; RIGHT($A326,4)) + TIMEVALUE($B326), "")</f>
        <v/>
      </c>
      <c r="O326" s="33" t="str">
        <f>IF(Account!$F326&lt;&gt;"", DATEVALUE(MID($A326,4,3) &amp; LEFT($A326,3) &amp; RIGHT($A326,4)), "")</f>
        <v/>
      </c>
      <c r="P326" s="34" t="str">
        <f>IFERROR(VLOOKUP($Q326,Selection!$F:$G,2,false))</f>
        <v/>
      </c>
      <c r="Q326" s="36" t="str">
        <f>IF(AND($X326="change",$H326="EUR"),IF(AND($Z326="Crédit",$N326=$N327),$Q327,IF(AND($Z326="Débit",$N326=$N325),$Q325)),IF(OR(AND(OR($E326&lt;&gt;"",$L326=""),$M326&lt;&gt;0),$A326=""),IFERROR(VLOOKUP($E326,Selection!$E:$F,2,false)),IFERROR(VLOOKUP(SUBSTITUTE($I326,"-","",1),$K327:$Q1119,7,false),VLOOKUP($K326,$K327:$Q1119,7,false))))</f>
        <v/>
      </c>
      <c r="R326" s="34" t="str">
        <f t="shared" si="2"/>
        <v/>
      </c>
      <c r="S326" s="37" t="str">
        <f t="shared" si="3"/>
        <v/>
      </c>
      <c r="T326" s="38" t="str">
        <f t="shared" si="4"/>
        <v/>
      </c>
      <c r="U326" s="28" t="str">
        <f t="shared" si="5"/>
        <v/>
      </c>
      <c r="V326" s="39" t="str">
        <f>IFERROR(__xludf.DUMMYFUNCTION(" IF(Account!$F326&lt;&gt;"""", SPLIT(Account!$F326, "" ""), """")"),"")</f>
        <v/>
      </c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</row>
    <row r="327">
      <c r="A327" s="7"/>
      <c r="B327" s="7"/>
      <c r="C327" s="7"/>
      <c r="D327" s="7"/>
      <c r="E327" s="7"/>
      <c r="F327" s="9"/>
      <c r="G327" s="7"/>
      <c r="H327" s="7"/>
      <c r="I327" s="7"/>
      <c r="J327" s="7"/>
      <c r="K327" s="7"/>
      <c r="L327" s="26" t="str">
        <f t="shared" si="1"/>
        <v/>
      </c>
      <c r="M327" s="28" t="str">
        <f>IFERROR(__xludf.DUMMYFUNCTION("IF(Account!$F327&lt;&gt;"""", VALUE(REGEXREPLACE($I327, ""\,"", ""."")), """")"),"")</f>
        <v/>
      </c>
      <c r="N327" s="31" t="str">
        <f>IF(Account!$F327&lt;&gt;"", DATEVALUE(MID($A327,4,3) &amp; LEFT($A327,3) &amp; RIGHT($A327,4)) + TIMEVALUE($B327), "")</f>
        <v/>
      </c>
      <c r="O327" s="33" t="str">
        <f>IF(Account!$F327&lt;&gt;"", DATEVALUE(MID($A327,4,3) &amp; LEFT($A327,3) &amp; RIGHT($A327,4)), "")</f>
        <v/>
      </c>
      <c r="P327" s="34" t="str">
        <f>IFERROR(VLOOKUP($Q327,Selection!$F:$G,2,false))</f>
        <v/>
      </c>
      <c r="Q327" s="36" t="str">
        <f>IF(AND($X327="change",$H327="EUR"),IF(AND($Z327="Crédit",$N327=$N328),$Q328,IF(AND($Z327="Débit",$N327=$N326),$Q326)),IF(OR(AND(OR($E327&lt;&gt;"",$L327=""),$M327&lt;&gt;0),$A327=""),IFERROR(VLOOKUP($E327,Selection!$E:$F,2,false)),IFERROR(VLOOKUP(SUBSTITUTE($I327,"-","",1),$K328:$Q1119,7,false),VLOOKUP($K327,$K328:$Q1119,7,false))))</f>
        <v/>
      </c>
      <c r="R327" s="34" t="str">
        <f t="shared" si="2"/>
        <v/>
      </c>
      <c r="S327" s="37" t="str">
        <f t="shared" si="3"/>
        <v/>
      </c>
      <c r="T327" s="38" t="str">
        <f t="shared" si="4"/>
        <v/>
      </c>
      <c r="U327" s="28" t="str">
        <f t="shared" si="5"/>
        <v/>
      </c>
      <c r="V327" s="39" t="str">
        <f>IFERROR(__xludf.DUMMYFUNCTION(" IF(Account!$F327&lt;&gt;"""", SPLIT(Account!$F327, "" ""), """")"),"")</f>
        <v/>
      </c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</row>
    <row r="328">
      <c r="A328" s="7"/>
      <c r="B328" s="7"/>
      <c r="C328" s="7"/>
      <c r="D328" s="7"/>
      <c r="E328" s="7"/>
      <c r="F328" s="9"/>
      <c r="G328" s="7"/>
      <c r="H328" s="7"/>
      <c r="I328" s="7"/>
      <c r="J328" s="7"/>
      <c r="K328" s="7"/>
      <c r="L328" s="26" t="str">
        <f t="shared" si="1"/>
        <v/>
      </c>
      <c r="M328" s="28" t="str">
        <f>IFERROR(__xludf.DUMMYFUNCTION("IF(Account!$F328&lt;&gt;"""", VALUE(REGEXREPLACE($I328, ""\,"", ""."")), """")"),"")</f>
        <v/>
      </c>
      <c r="N328" s="31" t="str">
        <f>IF(Account!$F328&lt;&gt;"", DATEVALUE(MID($A328,4,3) &amp; LEFT($A328,3) &amp; RIGHT($A328,4)) + TIMEVALUE($B328), "")</f>
        <v/>
      </c>
      <c r="O328" s="33" t="str">
        <f>IF(Account!$F328&lt;&gt;"", DATEVALUE(MID($A328,4,3) &amp; LEFT($A328,3) &amp; RIGHT($A328,4)), "")</f>
        <v/>
      </c>
      <c r="P328" s="34" t="str">
        <f>IFERROR(VLOOKUP($Q328,Selection!$F:$G,2,false))</f>
        <v/>
      </c>
      <c r="Q328" s="36" t="str">
        <f>IF(AND($X328="change",$H328="EUR"),IF(AND($Z328="Crédit",$N328=$N329),$Q329,IF(AND($Z328="Débit",$N328=$N327),$Q327)),IF(OR(AND(OR($E328&lt;&gt;"",$L328=""),$M328&lt;&gt;0),$A328=""),IFERROR(VLOOKUP($E328,Selection!$E:$F,2,false)),IFERROR(VLOOKUP(SUBSTITUTE($I328,"-","",1),$K329:$Q1119,7,false),VLOOKUP($K328,$K329:$Q1119,7,false))))</f>
        <v/>
      </c>
      <c r="R328" s="34" t="str">
        <f t="shared" si="2"/>
        <v/>
      </c>
      <c r="S328" s="37" t="str">
        <f t="shared" si="3"/>
        <v/>
      </c>
      <c r="T328" s="38" t="str">
        <f t="shared" si="4"/>
        <v/>
      </c>
      <c r="U328" s="28" t="str">
        <f t="shared" si="5"/>
        <v/>
      </c>
      <c r="V328" s="39" t="str">
        <f>IFERROR(__xludf.DUMMYFUNCTION(" IF(Account!$F328&lt;&gt;"""", SPLIT(Account!$F328, "" ""), """")"),"")</f>
        <v/>
      </c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</row>
    <row r="329">
      <c r="A329" s="7"/>
      <c r="B329" s="7"/>
      <c r="C329" s="7"/>
      <c r="D329" s="7"/>
      <c r="E329" s="7"/>
      <c r="F329" s="9"/>
      <c r="G329" s="7"/>
      <c r="H329" s="7"/>
      <c r="I329" s="7"/>
      <c r="J329" s="7"/>
      <c r="K329" s="7"/>
      <c r="L329" s="26" t="str">
        <f t="shared" si="1"/>
        <v/>
      </c>
      <c r="M329" s="28" t="str">
        <f>IFERROR(__xludf.DUMMYFUNCTION("IF(Account!$F329&lt;&gt;"""", VALUE(REGEXREPLACE($I329, ""\,"", ""."")), """")"),"")</f>
        <v/>
      </c>
      <c r="N329" s="31" t="str">
        <f>IF(Account!$F329&lt;&gt;"", DATEVALUE(MID($A329,4,3) &amp; LEFT($A329,3) &amp; RIGHT($A329,4)) + TIMEVALUE($B329), "")</f>
        <v/>
      </c>
      <c r="O329" s="33" t="str">
        <f>IF(Account!$F329&lt;&gt;"", DATEVALUE(MID($A329,4,3) &amp; LEFT($A329,3) &amp; RIGHT($A329,4)), "")</f>
        <v/>
      </c>
      <c r="P329" s="34" t="str">
        <f>IFERROR(VLOOKUP($Q329,Selection!$F:$G,2,false))</f>
        <v/>
      </c>
      <c r="Q329" s="36" t="str">
        <f>IF(AND($X329="change",$H329="EUR"),IF(AND($Z329="Crédit",$N329=$N330),$Q330,IF(AND($Z329="Débit",$N329=$N328),$Q328)),IF(OR(AND(OR($E329&lt;&gt;"",$L329=""),$M329&lt;&gt;0),$A329=""),IFERROR(VLOOKUP($E329,Selection!$E:$F,2,false)),IFERROR(VLOOKUP(SUBSTITUTE($I329,"-","",1),$K330:$Q1119,7,false),VLOOKUP($K329,$K330:$Q1119,7,false))))</f>
        <v/>
      </c>
      <c r="R329" s="34" t="str">
        <f t="shared" si="2"/>
        <v/>
      </c>
      <c r="S329" s="37" t="str">
        <f t="shared" si="3"/>
        <v/>
      </c>
      <c r="T329" s="38" t="str">
        <f t="shared" si="4"/>
        <v/>
      </c>
      <c r="U329" s="28" t="str">
        <f t="shared" si="5"/>
        <v/>
      </c>
      <c r="V329" s="39" t="str">
        <f>IFERROR(__xludf.DUMMYFUNCTION(" IF(Account!$F329&lt;&gt;"""", SPLIT(Account!$F329, "" ""), """")"),"")</f>
        <v/>
      </c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</row>
    <row r="330">
      <c r="A330" s="7"/>
      <c r="B330" s="7"/>
      <c r="C330" s="7"/>
      <c r="D330" s="7"/>
      <c r="E330" s="7"/>
      <c r="F330" s="9"/>
      <c r="G330" s="7"/>
      <c r="H330" s="7"/>
      <c r="I330" s="7"/>
      <c r="J330" s="7"/>
      <c r="K330" s="7"/>
      <c r="L330" s="26" t="str">
        <f t="shared" si="1"/>
        <v/>
      </c>
      <c r="M330" s="28" t="str">
        <f>IFERROR(__xludf.DUMMYFUNCTION("IF(Account!$F330&lt;&gt;"""", VALUE(REGEXREPLACE($I330, ""\,"", ""."")), """")"),"")</f>
        <v/>
      </c>
      <c r="N330" s="31" t="str">
        <f>IF(Account!$F330&lt;&gt;"", DATEVALUE(MID($A330,4,3) &amp; LEFT($A330,3) &amp; RIGHT($A330,4)) + TIMEVALUE($B330), "")</f>
        <v/>
      </c>
      <c r="O330" s="33" t="str">
        <f>IF(Account!$F330&lt;&gt;"", DATEVALUE(MID($A330,4,3) &amp; LEFT($A330,3) &amp; RIGHT($A330,4)), "")</f>
        <v/>
      </c>
      <c r="P330" s="34" t="str">
        <f>IFERROR(VLOOKUP($Q330,Selection!$F:$G,2,false))</f>
        <v/>
      </c>
      <c r="Q330" s="36" t="str">
        <f>IF(AND($X330="change",$H330="EUR"),IF(AND($Z330="Crédit",$N330=$N331),$Q331,IF(AND($Z330="Débit",$N330=$N329),$Q329)),IF(OR(AND(OR($E330&lt;&gt;"",$L330=""),$M330&lt;&gt;0),$A330=""),IFERROR(VLOOKUP($E330,Selection!$E:$F,2,false)),IFERROR(VLOOKUP(SUBSTITUTE($I330,"-","",1),$K331:$Q1119,7,false),VLOOKUP($K330,$K331:$Q1119,7,false))))</f>
        <v/>
      </c>
      <c r="R330" s="34" t="str">
        <f t="shared" si="2"/>
        <v/>
      </c>
      <c r="S330" s="37" t="str">
        <f t="shared" si="3"/>
        <v/>
      </c>
      <c r="T330" s="38" t="str">
        <f t="shared" si="4"/>
        <v/>
      </c>
      <c r="U330" s="28" t="str">
        <f t="shared" si="5"/>
        <v/>
      </c>
      <c r="V330" s="39" t="str">
        <f>IFERROR(__xludf.DUMMYFUNCTION(" IF(Account!$F330&lt;&gt;"""", SPLIT(Account!$F330, "" ""), """")"),"")</f>
        <v/>
      </c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</row>
    <row r="331">
      <c r="A331" s="7"/>
      <c r="B331" s="7"/>
      <c r="C331" s="7"/>
      <c r="D331" s="7"/>
      <c r="E331" s="7"/>
      <c r="F331" s="9"/>
      <c r="G331" s="7"/>
      <c r="H331" s="7"/>
      <c r="I331" s="7"/>
      <c r="J331" s="7"/>
      <c r="K331" s="7"/>
      <c r="L331" s="26" t="str">
        <f t="shared" si="1"/>
        <v/>
      </c>
      <c r="M331" s="28" t="str">
        <f>IFERROR(__xludf.DUMMYFUNCTION("IF(Account!$F331&lt;&gt;"""", VALUE(REGEXREPLACE($I331, ""\,"", ""."")), """")"),"")</f>
        <v/>
      </c>
      <c r="N331" s="31" t="str">
        <f>IF(Account!$F331&lt;&gt;"", DATEVALUE(MID($A331,4,3) &amp; LEFT($A331,3) &amp; RIGHT($A331,4)) + TIMEVALUE($B331), "")</f>
        <v/>
      </c>
      <c r="O331" s="33" t="str">
        <f>IF(Account!$F331&lt;&gt;"", DATEVALUE(MID($A331,4,3) &amp; LEFT($A331,3) &amp; RIGHT($A331,4)), "")</f>
        <v/>
      </c>
      <c r="P331" s="34" t="str">
        <f>IFERROR(VLOOKUP($Q331,Selection!$F:$G,2,false))</f>
        <v/>
      </c>
      <c r="Q331" s="36" t="str">
        <f>IF(AND($X331="change",$H331="EUR"),IF(AND($Z331="Crédit",$N331=$N332),$Q332,IF(AND($Z331="Débit",$N331=$N330),$Q330)),IF(OR(AND(OR($E331&lt;&gt;"",$L331=""),$M331&lt;&gt;0),$A331=""),IFERROR(VLOOKUP($E331,Selection!$E:$F,2,false)),IFERROR(VLOOKUP(SUBSTITUTE($I331,"-","",1),$K332:$Q1119,7,false),VLOOKUP($K331,$K332:$Q1119,7,false))))</f>
        <v/>
      </c>
      <c r="R331" s="34" t="str">
        <f t="shared" si="2"/>
        <v/>
      </c>
      <c r="S331" s="37" t="str">
        <f t="shared" si="3"/>
        <v/>
      </c>
      <c r="T331" s="38" t="str">
        <f t="shared" si="4"/>
        <v/>
      </c>
      <c r="U331" s="28" t="str">
        <f t="shared" si="5"/>
        <v/>
      </c>
      <c r="V331" s="39" t="str">
        <f>IFERROR(__xludf.DUMMYFUNCTION(" IF(Account!$F331&lt;&gt;"""", SPLIT(Account!$F331, "" ""), """")"),"")</f>
        <v/>
      </c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</row>
    <row r="332">
      <c r="A332" s="7"/>
      <c r="B332" s="7"/>
      <c r="C332" s="7"/>
      <c r="D332" s="7"/>
      <c r="E332" s="7"/>
      <c r="F332" s="9"/>
      <c r="G332" s="7"/>
      <c r="H332" s="7"/>
      <c r="I332" s="7"/>
      <c r="J332" s="7"/>
      <c r="K332" s="7"/>
      <c r="L332" s="26" t="str">
        <f t="shared" si="1"/>
        <v/>
      </c>
      <c r="M332" s="28" t="str">
        <f>IFERROR(__xludf.DUMMYFUNCTION("IF(Account!$F332&lt;&gt;"""", VALUE(REGEXREPLACE($I332, ""\,"", ""."")), """")"),"")</f>
        <v/>
      </c>
      <c r="N332" s="31" t="str">
        <f>IF(Account!$F332&lt;&gt;"", DATEVALUE(MID($A332,4,3) &amp; LEFT($A332,3) &amp; RIGHT($A332,4)) + TIMEVALUE($B332), "")</f>
        <v/>
      </c>
      <c r="O332" s="33" t="str">
        <f>IF(Account!$F332&lt;&gt;"", DATEVALUE(MID($A332,4,3) &amp; LEFT($A332,3) &amp; RIGHT($A332,4)), "")</f>
        <v/>
      </c>
      <c r="P332" s="34" t="str">
        <f>IFERROR(VLOOKUP($Q332,Selection!$F:$G,2,false))</f>
        <v/>
      </c>
      <c r="Q332" s="36" t="str">
        <f>IF(AND($X332="change",$H332="EUR"),IF(AND($Z332="Crédit",$N332=$N333),$Q333,IF(AND($Z332="Débit",$N332=$N331),$Q331)),IF(OR(AND(OR($E332&lt;&gt;"",$L332=""),$M332&lt;&gt;0),$A332=""),IFERROR(VLOOKUP($E332,Selection!$E:$F,2,false)),IFERROR(VLOOKUP(SUBSTITUTE($I332,"-","",1),$K333:$Q1119,7,false),VLOOKUP($K332,$K333:$Q1119,7,false))))</f>
        <v/>
      </c>
      <c r="R332" s="34" t="str">
        <f t="shared" si="2"/>
        <v/>
      </c>
      <c r="S332" s="37" t="str">
        <f t="shared" si="3"/>
        <v/>
      </c>
      <c r="T332" s="38" t="str">
        <f t="shared" si="4"/>
        <v/>
      </c>
      <c r="U332" s="28" t="str">
        <f t="shared" si="5"/>
        <v/>
      </c>
      <c r="V332" s="39" t="str">
        <f>IFERROR(__xludf.DUMMYFUNCTION(" IF(Account!$F332&lt;&gt;"""", SPLIT(Account!$F332, "" ""), """")"),"")</f>
        <v/>
      </c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</row>
    <row r="333">
      <c r="A333" s="7"/>
      <c r="B333" s="7"/>
      <c r="C333" s="7"/>
      <c r="D333" s="7"/>
      <c r="E333" s="7"/>
      <c r="F333" s="9"/>
      <c r="G333" s="7"/>
      <c r="H333" s="7"/>
      <c r="I333" s="7"/>
      <c r="J333" s="7"/>
      <c r="K333" s="7"/>
      <c r="L333" s="26" t="str">
        <f t="shared" si="1"/>
        <v/>
      </c>
      <c r="M333" s="28" t="str">
        <f>IFERROR(__xludf.DUMMYFUNCTION("IF(Account!$F333&lt;&gt;"""", VALUE(REGEXREPLACE($I333, ""\,"", ""."")), """")"),"")</f>
        <v/>
      </c>
      <c r="N333" s="31" t="str">
        <f>IF(Account!$F333&lt;&gt;"", DATEVALUE(MID($A333,4,3) &amp; LEFT($A333,3) &amp; RIGHT($A333,4)) + TIMEVALUE($B333), "")</f>
        <v/>
      </c>
      <c r="O333" s="33" t="str">
        <f>IF(Account!$F333&lt;&gt;"", DATEVALUE(MID($A333,4,3) &amp; LEFT($A333,3) &amp; RIGHT($A333,4)), "")</f>
        <v/>
      </c>
      <c r="P333" s="34" t="str">
        <f>IFERROR(VLOOKUP($Q333,Selection!$F:$G,2,false))</f>
        <v/>
      </c>
      <c r="Q333" s="36" t="str">
        <f>IF(AND($X333="change",$H333="EUR"),IF(AND($Z333="Crédit",$N333=$N334),$Q334,IF(AND($Z333="Débit",$N333=$N332),$Q332)),IF(OR(AND(OR($E333&lt;&gt;"",$L333=""),$M333&lt;&gt;0),$A333=""),IFERROR(VLOOKUP($E333,Selection!$E:$F,2,false)),IFERROR(VLOOKUP(SUBSTITUTE($I333,"-","",1),$K334:$Q1119,7,false),VLOOKUP($K333,$K334:$Q1119,7,false))))</f>
        <v/>
      </c>
      <c r="R333" s="34" t="str">
        <f t="shared" si="2"/>
        <v/>
      </c>
      <c r="S333" s="37" t="str">
        <f t="shared" si="3"/>
        <v/>
      </c>
      <c r="T333" s="38" t="str">
        <f t="shared" si="4"/>
        <v/>
      </c>
      <c r="U333" s="28" t="str">
        <f t="shared" si="5"/>
        <v/>
      </c>
      <c r="V333" s="39" t="str">
        <f>IFERROR(__xludf.DUMMYFUNCTION(" IF(Account!$F333&lt;&gt;"""", SPLIT(Account!$F333, "" ""), """")"),"")</f>
        <v/>
      </c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</row>
    <row r="334">
      <c r="A334" s="7"/>
      <c r="B334" s="7"/>
      <c r="C334" s="7"/>
      <c r="D334" s="7"/>
      <c r="E334" s="7"/>
      <c r="F334" s="9"/>
      <c r="G334" s="7"/>
      <c r="H334" s="7"/>
      <c r="I334" s="7"/>
      <c r="J334" s="7"/>
      <c r="K334" s="7"/>
      <c r="L334" s="26" t="str">
        <f t="shared" si="1"/>
        <v/>
      </c>
      <c r="M334" s="28" t="str">
        <f>IFERROR(__xludf.DUMMYFUNCTION("IF(Account!$F334&lt;&gt;"""", VALUE(REGEXREPLACE($I334, ""\,"", ""."")), """")"),"")</f>
        <v/>
      </c>
      <c r="N334" s="31" t="str">
        <f>IF(Account!$F334&lt;&gt;"", DATEVALUE(MID($A334,4,3) &amp; LEFT($A334,3) &amp; RIGHT($A334,4)) + TIMEVALUE($B334), "")</f>
        <v/>
      </c>
      <c r="O334" s="33" t="str">
        <f>IF(Account!$F334&lt;&gt;"", DATEVALUE(MID($A334,4,3) &amp; LEFT($A334,3) &amp; RIGHT($A334,4)), "")</f>
        <v/>
      </c>
      <c r="P334" s="34" t="str">
        <f>IFERROR(VLOOKUP($Q334,Selection!$F:$G,2,false))</f>
        <v/>
      </c>
      <c r="Q334" s="36" t="str">
        <f>IF(AND($X334="change",$H334="EUR"),IF(AND($Z334="Crédit",$N334=$N335),$Q335,IF(AND($Z334="Débit",$N334=$N333),$Q333)),IF(OR(AND(OR($E334&lt;&gt;"",$L334=""),$M334&lt;&gt;0),$A334=""),IFERROR(VLOOKUP($E334,Selection!$E:$F,2,false)),IFERROR(VLOOKUP(SUBSTITUTE($I334,"-","",1),$K335:$Q1119,7,false),VLOOKUP($K334,$K335:$Q1119,7,false))))</f>
        <v/>
      </c>
      <c r="R334" s="34" t="str">
        <f t="shared" si="2"/>
        <v/>
      </c>
      <c r="S334" s="37" t="str">
        <f t="shared" si="3"/>
        <v/>
      </c>
      <c r="T334" s="38" t="str">
        <f t="shared" si="4"/>
        <v/>
      </c>
      <c r="U334" s="28" t="str">
        <f t="shared" si="5"/>
        <v/>
      </c>
      <c r="V334" s="39" t="str">
        <f>IFERROR(__xludf.DUMMYFUNCTION(" IF(Account!$F334&lt;&gt;"""", SPLIT(Account!$F334, "" ""), """")"),"")</f>
        <v/>
      </c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</row>
    <row r="335">
      <c r="A335" s="7"/>
      <c r="B335" s="7"/>
      <c r="C335" s="7"/>
      <c r="D335" s="7"/>
      <c r="E335" s="7"/>
      <c r="F335" s="9"/>
      <c r="G335" s="7"/>
      <c r="H335" s="7"/>
      <c r="I335" s="7"/>
      <c r="J335" s="7"/>
      <c r="K335" s="7"/>
      <c r="L335" s="26" t="str">
        <f t="shared" si="1"/>
        <v/>
      </c>
      <c r="M335" s="28" t="str">
        <f>IFERROR(__xludf.DUMMYFUNCTION("IF(Account!$F335&lt;&gt;"""", VALUE(REGEXREPLACE($I335, ""\,"", ""."")), """")"),"")</f>
        <v/>
      </c>
      <c r="N335" s="31" t="str">
        <f>IF(Account!$F335&lt;&gt;"", DATEVALUE(MID($A335,4,3) &amp; LEFT($A335,3) &amp; RIGHT($A335,4)) + TIMEVALUE($B335), "")</f>
        <v/>
      </c>
      <c r="O335" s="33" t="str">
        <f>IF(Account!$F335&lt;&gt;"", DATEVALUE(MID($A335,4,3) &amp; LEFT($A335,3) &amp; RIGHT($A335,4)), "")</f>
        <v/>
      </c>
      <c r="P335" s="34" t="str">
        <f>IFERROR(VLOOKUP($Q335,Selection!$F:$G,2,false))</f>
        <v/>
      </c>
      <c r="Q335" s="36" t="str">
        <f>IF(AND($X335="change",$H335="EUR"),IF(AND($Z335="Crédit",$N335=$N336),$Q336,IF(AND($Z335="Débit",$N335=$N334),$Q334)),IF(OR(AND(OR($E335&lt;&gt;"",$L335=""),$M335&lt;&gt;0),$A335=""),IFERROR(VLOOKUP($E335,Selection!$E:$F,2,false)),IFERROR(VLOOKUP(SUBSTITUTE($I335,"-","",1),$K336:$Q1119,7,false),VLOOKUP($K335,$K336:$Q1119,7,false))))</f>
        <v/>
      </c>
      <c r="R335" s="34" t="str">
        <f t="shared" si="2"/>
        <v/>
      </c>
      <c r="S335" s="37" t="str">
        <f t="shared" si="3"/>
        <v/>
      </c>
      <c r="T335" s="38" t="str">
        <f t="shared" si="4"/>
        <v/>
      </c>
      <c r="U335" s="28" t="str">
        <f t="shared" si="5"/>
        <v/>
      </c>
      <c r="V335" s="39" t="str">
        <f>IFERROR(__xludf.DUMMYFUNCTION(" IF(Account!$F335&lt;&gt;"""", SPLIT(Account!$F335, "" ""), """")"),"")</f>
        <v/>
      </c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</row>
    <row r="336">
      <c r="A336" s="7"/>
      <c r="B336" s="7"/>
      <c r="C336" s="7"/>
      <c r="D336" s="7"/>
      <c r="E336" s="7"/>
      <c r="F336" s="9"/>
      <c r="G336" s="7"/>
      <c r="H336" s="7"/>
      <c r="I336" s="7"/>
      <c r="J336" s="7"/>
      <c r="K336" s="7"/>
      <c r="L336" s="26" t="str">
        <f t="shared" si="1"/>
        <v/>
      </c>
      <c r="M336" s="28" t="str">
        <f>IFERROR(__xludf.DUMMYFUNCTION("IF(Account!$F336&lt;&gt;"""", VALUE(REGEXREPLACE($I336, ""\,"", ""."")), """")"),"")</f>
        <v/>
      </c>
      <c r="N336" s="31" t="str">
        <f>IF(Account!$F336&lt;&gt;"", DATEVALUE(MID($A336,4,3) &amp; LEFT($A336,3) &amp; RIGHT($A336,4)) + TIMEVALUE($B336), "")</f>
        <v/>
      </c>
      <c r="O336" s="33" t="str">
        <f>IF(Account!$F336&lt;&gt;"", DATEVALUE(MID($A336,4,3) &amp; LEFT($A336,3) &amp; RIGHT($A336,4)), "")</f>
        <v/>
      </c>
      <c r="P336" s="34" t="str">
        <f>IFERROR(VLOOKUP($Q336,Selection!$F:$G,2,false))</f>
        <v/>
      </c>
      <c r="Q336" s="36" t="str">
        <f>IF(AND($X336="change",$H336="EUR"),IF(AND($Z336="Crédit",$N336=$N337),$Q337,IF(AND($Z336="Débit",$N336=$N335),$Q335)),IF(OR(AND(OR($E336&lt;&gt;"",$L336=""),$M336&lt;&gt;0),$A336=""),IFERROR(VLOOKUP($E336,Selection!$E:$F,2,false)),IFERROR(VLOOKUP(SUBSTITUTE($I336,"-","",1),$K337:$Q1119,7,false),VLOOKUP($K336,$K337:$Q1119,7,false))))</f>
        <v/>
      </c>
      <c r="R336" s="34" t="str">
        <f t="shared" si="2"/>
        <v/>
      </c>
      <c r="S336" s="37" t="str">
        <f t="shared" si="3"/>
        <v/>
      </c>
      <c r="T336" s="38" t="str">
        <f t="shared" si="4"/>
        <v/>
      </c>
      <c r="U336" s="28" t="str">
        <f t="shared" si="5"/>
        <v/>
      </c>
      <c r="V336" s="39" t="str">
        <f>IFERROR(__xludf.DUMMYFUNCTION(" IF(Account!$F336&lt;&gt;"""", SPLIT(Account!$F336, "" ""), """")"),"")</f>
        <v/>
      </c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</row>
    <row r="337">
      <c r="A337" s="7"/>
      <c r="B337" s="7"/>
      <c r="C337" s="7"/>
      <c r="D337" s="7"/>
      <c r="E337" s="7"/>
      <c r="F337" s="9"/>
      <c r="G337" s="7"/>
      <c r="H337" s="7"/>
      <c r="I337" s="7"/>
      <c r="J337" s="7"/>
      <c r="K337" s="7"/>
      <c r="L337" s="26" t="str">
        <f t="shared" si="1"/>
        <v/>
      </c>
      <c r="M337" s="28" t="str">
        <f>IFERROR(__xludf.DUMMYFUNCTION("IF(Account!$F337&lt;&gt;"""", VALUE(REGEXREPLACE($I337, ""\,"", ""."")), """")"),"")</f>
        <v/>
      </c>
      <c r="N337" s="31" t="str">
        <f>IF(Account!$F337&lt;&gt;"", DATEVALUE(MID($A337,4,3) &amp; LEFT($A337,3) &amp; RIGHT($A337,4)) + TIMEVALUE($B337), "")</f>
        <v/>
      </c>
      <c r="O337" s="33" t="str">
        <f>IF(Account!$F337&lt;&gt;"", DATEVALUE(MID($A337,4,3) &amp; LEFT($A337,3) &amp; RIGHT($A337,4)), "")</f>
        <v/>
      </c>
      <c r="P337" s="34" t="str">
        <f>IFERROR(VLOOKUP($Q337,Selection!$F:$G,2,false))</f>
        <v/>
      </c>
      <c r="Q337" s="36" t="str">
        <f>IF(AND($X337="change",$H337="EUR"),IF(AND($Z337="Crédit",$N337=$N338),$Q338,IF(AND($Z337="Débit",$N337=$N336),$Q336)),IF(OR(AND(OR($E337&lt;&gt;"",$L337=""),$M337&lt;&gt;0),$A337=""),IFERROR(VLOOKUP($E337,Selection!$E:$F,2,false)),IFERROR(VLOOKUP(SUBSTITUTE($I337,"-","",1),$K338:$Q1119,7,false),VLOOKUP($K337,$K338:$Q1119,7,false))))</f>
        <v/>
      </c>
      <c r="R337" s="34" t="str">
        <f t="shared" si="2"/>
        <v/>
      </c>
      <c r="S337" s="37" t="str">
        <f t="shared" si="3"/>
        <v/>
      </c>
      <c r="T337" s="38" t="str">
        <f t="shared" si="4"/>
        <v/>
      </c>
      <c r="U337" s="28" t="str">
        <f t="shared" si="5"/>
        <v/>
      </c>
      <c r="V337" s="39" t="str">
        <f>IFERROR(__xludf.DUMMYFUNCTION(" IF(Account!$F337&lt;&gt;"""", SPLIT(Account!$F337, "" ""), """")"),"")</f>
        <v/>
      </c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</row>
    <row r="338">
      <c r="A338" s="7"/>
      <c r="B338" s="7"/>
      <c r="C338" s="7"/>
      <c r="D338" s="7"/>
      <c r="E338" s="7"/>
      <c r="F338" s="9"/>
      <c r="G338" s="7"/>
      <c r="H338" s="7"/>
      <c r="I338" s="7"/>
      <c r="J338" s="7"/>
      <c r="K338" s="7"/>
      <c r="L338" s="26" t="str">
        <f t="shared" si="1"/>
        <v/>
      </c>
      <c r="M338" s="28" t="str">
        <f>IFERROR(__xludf.DUMMYFUNCTION("IF(Account!$F338&lt;&gt;"""", VALUE(REGEXREPLACE($I338, ""\,"", ""."")), """")"),"")</f>
        <v/>
      </c>
      <c r="N338" s="31" t="str">
        <f>IF(Account!$F338&lt;&gt;"", DATEVALUE(MID($A338,4,3) &amp; LEFT($A338,3) &amp; RIGHT($A338,4)) + TIMEVALUE($B338), "")</f>
        <v/>
      </c>
      <c r="O338" s="33" t="str">
        <f>IF(Account!$F338&lt;&gt;"", DATEVALUE(MID($A338,4,3) &amp; LEFT($A338,3) &amp; RIGHT($A338,4)), "")</f>
        <v/>
      </c>
      <c r="P338" s="34" t="str">
        <f>IFERROR(VLOOKUP($Q338,Selection!$F:$G,2,false))</f>
        <v/>
      </c>
      <c r="Q338" s="36" t="str">
        <f>IF(AND($X338="change",$H338="EUR"),IF(AND($Z338="Crédit",$N338=$N339),$Q339,IF(AND($Z338="Débit",$N338=$N337),$Q337)),IF(OR(AND(OR($E338&lt;&gt;"",$L338=""),$M338&lt;&gt;0),$A338=""),IFERROR(VLOOKUP($E338,Selection!$E:$F,2,false)),IFERROR(VLOOKUP(SUBSTITUTE($I338,"-","",1),$K339:$Q1119,7,false),VLOOKUP($K338,$K339:$Q1119,7,false))))</f>
        <v/>
      </c>
      <c r="R338" s="34" t="str">
        <f t="shared" si="2"/>
        <v/>
      </c>
      <c r="S338" s="37" t="str">
        <f t="shared" si="3"/>
        <v/>
      </c>
      <c r="T338" s="38" t="str">
        <f t="shared" si="4"/>
        <v/>
      </c>
      <c r="U338" s="28" t="str">
        <f t="shared" si="5"/>
        <v/>
      </c>
      <c r="V338" s="39" t="str">
        <f>IFERROR(__xludf.DUMMYFUNCTION(" IF(Account!$F338&lt;&gt;"""", SPLIT(Account!$F338, "" ""), """")"),"")</f>
        <v/>
      </c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</row>
    <row r="339">
      <c r="A339" s="7"/>
      <c r="B339" s="7"/>
      <c r="C339" s="7"/>
      <c r="D339" s="7"/>
      <c r="E339" s="7"/>
      <c r="F339" s="9"/>
      <c r="G339" s="341"/>
      <c r="H339" s="7"/>
      <c r="I339" s="7"/>
      <c r="J339" s="7"/>
      <c r="K339" s="7"/>
      <c r="L339" s="26" t="str">
        <f t="shared" si="1"/>
        <v/>
      </c>
      <c r="M339" s="28" t="str">
        <f>IFERROR(__xludf.DUMMYFUNCTION("IF(Account!$F339&lt;&gt;"""", VALUE(REGEXREPLACE($I339, ""\,"", ""."")), """")"),"")</f>
        <v/>
      </c>
      <c r="N339" s="31" t="str">
        <f>IF(Account!$F339&lt;&gt;"", DATEVALUE(MID($A339,4,3) &amp; LEFT($A339,3) &amp; RIGHT($A339,4)) + TIMEVALUE($B339), "")</f>
        <v/>
      </c>
      <c r="O339" s="33" t="str">
        <f>IF(Account!$F339&lt;&gt;"", DATEVALUE(MID($A339,4,3) &amp; LEFT($A339,3) &amp; RIGHT($A339,4)), "")</f>
        <v/>
      </c>
      <c r="P339" s="34" t="str">
        <f>IFERROR(VLOOKUP($Q339,Selection!$F:$G,2,false))</f>
        <v/>
      </c>
      <c r="Q339" s="36" t="str">
        <f>IF(AND($X339="change",$H339="EUR"),IF(AND($Z339="Crédit",$N339=$N340),$Q340,IF(AND($Z339="Débit",$N339=$N338),$Q338)),IF(OR(AND(OR($E339&lt;&gt;"",$L339=""),$M339&lt;&gt;0),$A339=""),IFERROR(VLOOKUP($E339,Selection!$E:$F,2,false)),IFERROR(VLOOKUP(SUBSTITUTE($I339,"-","",1),$K340:$Q1119,7,false),VLOOKUP($K339,$K340:$Q1119,7,false))))</f>
        <v/>
      </c>
      <c r="R339" s="34" t="str">
        <f t="shared" si="2"/>
        <v/>
      </c>
      <c r="S339" s="37" t="str">
        <f t="shared" si="3"/>
        <v/>
      </c>
      <c r="T339" s="38" t="str">
        <f t="shared" si="4"/>
        <v/>
      </c>
      <c r="U339" s="28" t="str">
        <f t="shared" si="5"/>
        <v/>
      </c>
      <c r="V339" s="39" t="str">
        <f>IFERROR(__xludf.DUMMYFUNCTION(" IF(Account!$F339&lt;&gt;"""", SPLIT(Account!$F339, "" ""), """")"),"")</f>
        <v/>
      </c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</row>
    <row r="340">
      <c r="A340" s="7"/>
      <c r="B340" s="7"/>
      <c r="C340" s="7"/>
      <c r="D340" s="7"/>
      <c r="E340" s="7"/>
      <c r="F340" s="9"/>
      <c r="G340" s="7"/>
      <c r="H340" s="7"/>
      <c r="I340" s="7"/>
      <c r="J340" s="7"/>
      <c r="K340" s="7"/>
      <c r="L340" s="26" t="str">
        <f t="shared" si="1"/>
        <v/>
      </c>
      <c r="M340" s="28" t="str">
        <f>IFERROR(__xludf.DUMMYFUNCTION("IF(Account!$F340&lt;&gt;"""", VALUE(REGEXREPLACE($I340, ""\,"", ""."")), """")"),"")</f>
        <v/>
      </c>
      <c r="N340" s="31" t="str">
        <f>IF(Account!$F340&lt;&gt;"", DATEVALUE(MID($A340,4,3) &amp; LEFT($A340,3) &amp; RIGHT($A340,4)) + TIMEVALUE($B340), "")</f>
        <v/>
      </c>
      <c r="O340" s="33" t="str">
        <f>IF(Account!$F340&lt;&gt;"", DATEVALUE(MID($A340,4,3) &amp; LEFT($A340,3) &amp; RIGHT($A340,4)), "")</f>
        <v/>
      </c>
      <c r="P340" s="34" t="str">
        <f>IFERROR(VLOOKUP($Q340,Selection!$F:$G,2,false))</f>
        <v/>
      </c>
      <c r="Q340" s="36" t="str">
        <f>IF(AND($X340="change",$H340="EUR"),IF(AND($Z340="Crédit",$N340=$N341),$Q341,IF(AND($Z340="Débit",$N340=$N339),$Q339)),IF(OR(AND(OR($E340&lt;&gt;"",$L340=""),$M340&lt;&gt;0),$A340=""),IFERROR(VLOOKUP($E340,Selection!$E:$F,2,false)),IFERROR(VLOOKUP(SUBSTITUTE($I340,"-","",1),$K341:$Q1119,7,false),VLOOKUP($K340,$K341:$Q1119,7,false))))</f>
        <v/>
      </c>
      <c r="R340" s="34" t="str">
        <f t="shared" si="2"/>
        <v/>
      </c>
      <c r="S340" s="37" t="str">
        <f t="shared" si="3"/>
        <v/>
      </c>
      <c r="T340" s="38" t="str">
        <f t="shared" si="4"/>
        <v/>
      </c>
      <c r="U340" s="28" t="str">
        <f t="shared" si="5"/>
        <v/>
      </c>
      <c r="V340" s="39" t="str">
        <f>IFERROR(__xludf.DUMMYFUNCTION(" IF(Account!$F340&lt;&gt;"""", SPLIT(Account!$F340, "" ""), """")"),"")</f>
        <v/>
      </c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</row>
    <row r="341">
      <c r="A341" s="7"/>
      <c r="B341" s="7"/>
      <c r="C341" s="7"/>
      <c r="D341" s="7"/>
      <c r="E341" s="7"/>
      <c r="F341" s="9"/>
      <c r="G341" s="341"/>
      <c r="H341" s="7"/>
      <c r="I341" s="7"/>
      <c r="J341" s="7"/>
      <c r="K341" s="7"/>
      <c r="L341" s="26" t="str">
        <f t="shared" si="1"/>
        <v/>
      </c>
      <c r="M341" s="28" t="str">
        <f>IFERROR(__xludf.DUMMYFUNCTION("IF(Account!$F341&lt;&gt;"""", VALUE(REGEXREPLACE($I341, ""\,"", ""."")), """")"),"")</f>
        <v/>
      </c>
      <c r="N341" s="31" t="str">
        <f>IF(Account!$F341&lt;&gt;"", DATEVALUE(MID($A341,4,3) &amp; LEFT($A341,3) &amp; RIGHT($A341,4)) + TIMEVALUE($B341), "")</f>
        <v/>
      </c>
      <c r="O341" s="33" t="str">
        <f>IF(Account!$F341&lt;&gt;"", DATEVALUE(MID($A341,4,3) &amp; LEFT($A341,3) &amp; RIGHT($A341,4)), "")</f>
        <v/>
      </c>
      <c r="P341" s="34" t="str">
        <f>IFERROR(VLOOKUP($Q341,Selection!$F:$G,2,false))</f>
        <v/>
      </c>
      <c r="Q341" s="36" t="str">
        <f>IF(AND($X341="change",$H341="EUR"),IF(AND($Z341="Crédit",$N341=$N342),$Q342,IF(AND($Z341="Débit",$N341=$N340),$Q340)),IF(OR(AND(OR($E341&lt;&gt;"",$L341=""),$M341&lt;&gt;0),$A341=""),IFERROR(VLOOKUP($E341,Selection!$E:$F,2,false)),IFERROR(VLOOKUP(SUBSTITUTE($I341,"-","",1),$K342:$Q1119,7,false),VLOOKUP($K341,$K342:$Q1119,7,false))))</f>
        <v/>
      </c>
      <c r="R341" s="34" t="str">
        <f t="shared" si="2"/>
        <v/>
      </c>
      <c r="S341" s="37" t="str">
        <f t="shared" si="3"/>
        <v/>
      </c>
      <c r="T341" s="38" t="str">
        <f t="shared" si="4"/>
        <v/>
      </c>
      <c r="U341" s="28" t="str">
        <f t="shared" si="5"/>
        <v/>
      </c>
      <c r="V341" s="39" t="str">
        <f>IFERROR(__xludf.DUMMYFUNCTION(" IF(Account!$F341&lt;&gt;"""", SPLIT(Account!$F341, "" ""), """")"),"")</f>
        <v/>
      </c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</row>
    <row r="342">
      <c r="A342" s="7"/>
      <c r="B342" s="7"/>
      <c r="C342" s="7"/>
      <c r="D342" s="7"/>
      <c r="E342" s="7"/>
      <c r="F342" s="9"/>
      <c r="G342" s="7"/>
      <c r="H342" s="7"/>
      <c r="I342" s="7"/>
      <c r="J342" s="7"/>
      <c r="K342" s="7"/>
      <c r="L342" s="26" t="str">
        <f t="shared" si="1"/>
        <v/>
      </c>
      <c r="M342" s="28" t="str">
        <f>IFERROR(__xludf.DUMMYFUNCTION("IF(Account!$F342&lt;&gt;"""", VALUE(REGEXREPLACE($I342, ""\,"", ""."")), """")"),"")</f>
        <v/>
      </c>
      <c r="N342" s="31" t="str">
        <f>IF(Account!$F342&lt;&gt;"", DATEVALUE(MID($A342,4,3) &amp; LEFT($A342,3) &amp; RIGHT($A342,4)) + TIMEVALUE($B342), "")</f>
        <v/>
      </c>
      <c r="O342" s="33" t="str">
        <f>IF(Account!$F342&lt;&gt;"", DATEVALUE(MID($A342,4,3) &amp; LEFT($A342,3) &amp; RIGHT($A342,4)), "")</f>
        <v/>
      </c>
      <c r="P342" s="34" t="str">
        <f>IFERROR(VLOOKUP($Q342,Selection!$F:$G,2,false))</f>
        <v/>
      </c>
      <c r="Q342" s="36" t="str">
        <f>IF(AND($X342="change",$H342="EUR"),IF(AND($Z342="Crédit",$N342=$N343),$Q343,IF(AND($Z342="Débit",$N342=$N341),$Q341)),IF(OR(AND(OR($E342&lt;&gt;"",$L342=""),$M342&lt;&gt;0),$A342=""),IFERROR(VLOOKUP($E342,Selection!$E:$F,2,false)),IFERROR(VLOOKUP(SUBSTITUTE($I342,"-","",1),$K343:$Q1119,7,false),VLOOKUP($K342,$K343:$Q1119,7,false))))</f>
        <v/>
      </c>
      <c r="R342" s="34" t="str">
        <f t="shared" si="2"/>
        <v/>
      </c>
      <c r="S342" s="37" t="str">
        <f t="shared" si="3"/>
        <v/>
      </c>
      <c r="T342" s="38" t="str">
        <f t="shared" si="4"/>
        <v/>
      </c>
      <c r="U342" s="28" t="str">
        <f t="shared" si="5"/>
        <v/>
      </c>
      <c r="V342" s="39" t="str">
        <f>IFERROR(__xludf.DUMMYFUNCTION(" IF(Account!$F342&lt;&gt;"""", SPLIT(Account!$F342, "" ""), """")"),"")</f>
        <v/>
      </c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</row>
    <row r="343">
      <c r="A343" s="7"/>
      <c r="B343" s="7"/>
      <c r="C343" s="7"/>
      <c r="D343" s="7"/>
      <c r="E343" s="7"/>
      <c r="F343" s="9"/>
      <c r="G343" s="341"/>
      <c r="H343" s="7"/>
      <c r="I343" s="7"/>
      <c r="J343" s="7"/>
      <c r="K343" s="7"/>
      <c r="L343" s="26" t="str">
        <f t="shared" si="1"/>
        <v/>
      </c>
      <c r="M343" s="28" t="str">
        <f>IFERROR(__xludf.DUMMYFUNCTION("IF(Account!$F343&lt;&gt;"""", VALUE(REGEXREPLACE($I343, ""\,"", ""."")), """")"),"")</f>
        <v/>
      </c>
      <c r="N343" s="31" t="str">
        <f>IF(Account!$F343&lt;&gt;"", DATEVALUE(MID($A343,4,3) &amp; LEFT($A343,3) &amp; RIGHT($A343,4)) + TIMEVALUE($B343), "")</f>
        <v/>
      </c>
      <c r="O343" s="33" t="str">
        <f>IF(Account!$F343&lt;&gt;"", DATEVALUE(MID($A343,4,3) &amp; LEFT($A343,3) &amp; RIGHT($A343,4)), "")</f>
        <v/>
      </c>
      <c r="P343" s="34" t="str">
        <f>IFERROR(VLOOKUP($Q343,Selection!$F:$G,2,false))</f>
        <v/>
      </c>
      <c r="Q343" s="36" t="str">
        <f>IF(AND($X343="change",$H343="EUR"),IF(AND($Z343="Crédit",$N343=$N344),$Q344,IF(AND($Z343="Débit",$N343=$N342),$Q342)),IF(OR(AND(OR($E343&lt;&gt;"",$L343=""),$M343&lt;&gt;0),$A343=""),IFERROR(VLOOKUP($E343,Selection!$E:$F,2,false)),IFERROR(VLOOKUP(SUBSTITUTE($I343,"-","",1),$K344:$Q1119,7,false),VLOOKUP($K343,$K344:$Q1119,7,false))))</f>
        <v/>
      </c>
      <c r="R343" s="34" t="str">
        <f t="shared" si="2"/>
        <v/>
      </c>
      <c r="S343" s="37" t="str">
        <f t="shared" si="3"/>
        <v/>
      </c>
      <c r="T343" s="38" t="str">
        <f t="shared" si="4"/>
        <v/>
      </c>
      <c r="U343" s="28" t="str">
        <f t="shared" si="5"/>
        <v/>
      </c>
      <c r="V343" s="39" t="str">
        <f>IFERROR(__xludf.DUMMYFUNCTION(" IF(Account!$F343&lt;&gt;"""", SPLIT(Account!$F343, "" ""), """")"),"")</f>
        <v/>
      </c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</row>
    <row r="344">
      <c r="A344" s="7"/>
      <c r="B344" s="7"/>
      <c r="C344" s="7"/>
      <c r="D344" s="7"/>
      <c r="E344" s="7"/>
      <c r="F344" s="9"/>
      <c r="G344" s="7"/>
      <c r="H344" s="7"/>
      <c r="I344" s="7"/>
      <c r="J344" s="7"/>
      <c r="K344" s="7"/>
      <c r="L344" s="26" t="str">
        <f t="shared" si="1"/>
        <v/>
      </c>
      <c r="M344" s="28" t="str">
        <f>IFERROR(__xludf.DUMMYFUNCTION("IF(Account!$F344&lt;&gt;"""", VALUE(REGEXREPLACE($I344, ""\,"", ""."")), """")"),"")</f>
        <v/>
      </c>
      <c r="N344" s="31" t="str">
        <f>IF(Account!$F344&lt;&gt;"", DATEVALUE(MID($A344,4,3) &amp; LEFT($A344,3) &amp; RIGHT($A344,4)) + TIMEVALUE($B344), "")</f>
        <v/>
      </c>
      <c r="O344" s="33" t="str">
        <f>IF(Account!$F344&lt;&gt;"", DATEVALUE(MID($A344,4,3) &amp; LEFT($A344,3) &amp; RIGHT($A344,4)), "")</f>
        <v/>
      </c>
      <c r="P344" s="34" t="str">
        <f>IFERROR(VLOOKUP($Q344,Selection!$F:$G,2,false))</f>
        <v/>
      </c>
      <c r="Q344" s="36" t="str">
        <f>IF(AND($X344="change",$H344="EUR"),IF(AND($Z344="Crédit",$N344=$N345),$Q345,IF(AND($Z344="Débit",$N344=$N343),$Q343)),IF(OR(AND(OR($E344&lt;&gt;"",$L344=""),$M344&lt;&gt;0),$A344=""),IFERROR(VLOOKUP($E344,Selection!$E:$F,2,false)),IFERROR(VLOOKUP(SUBSTITUTE($I344,"-","",1),$K345:$Q1119,7,false),VLOOKUP($K344,$K345:$Q1119,7,false))))</f>
        <v/>
      </c>
      <c r="R344" s="34" t="str">
        <f t="shared" si="2"/>
        <v/>
      </c>
      <c r="S344" s="37" t="str">
        <f t="shared" si="3"/>
        <v/>
      </c>
      <c r="T344" s="38" t="str">
        <f t="shared" si="4"/>
        <v/>
      </c>
      <c r="U344" s="28" t="str">
        <f t="shared" si="5"/>
        <v/>
      </c>
      <c r="V344" s="39" t="str">
        <f>IFERROR(__xludf.DUMMYFUNCTION(" IF(Account!$F344&lt;&gt;"""", SPLIT(Account!$F344, "" ""), """")"),"")</f>
        <v/>
      </c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>
      <c r="A345" s="7"/>
      <c r="B345" s="7"/>
      <c r="C345" s="7"/>
      <c r="D345" s="7"/>
      <c r="E345" s="7"/>
      <c r="F345" s="9"/>
      <c r="G345" s="341"/>
      <c r="H345" s="7"/>
      <c r="I345" s="7"/>
      <c r="J345" s="7"/>
      <c r="K345" s="7"/>
      <c r="L345" s="26" t="str">
        <f t="shared" si="1"/>
        <v/>
      </c>
      <c r="M345" s="28" t="str">
        <f>IFERROR(__xludf.DUMMYFUNCTION("IF(Account!$F345&lt;&gt;"""", VALUE(REGEXREPLACE($I345, ""\,"", ""."")), """")"),"")</f>
        <v/>
      </c>
      <c r="N345" s="31" t="str">
        <f>IF(Account!$F345&lt;&gt;"", DATEVALUE(MID($A345,4,3) &amp; LEFT($A345,3) &amp; RIGHT($A345,4)) + TIMEVALUE($B345), "")</f>
        <v/>
      </c>
      <c r="O345" s="33" t="str">
        <f>IF(Account!$F345&lt;&gt;"", DATEVALUE(MID($A345,4,3) &amp; LEFT($A345,3) &amp; RIGHT($A345,4)), "")</f>
        <v/>
      </c>
      <c r="P345" s="34" t="str">
        <f>IFERROR(VLOOKUP($Q345,Selection!$F:$G,2,false))</f>
        <v/>
      </c>
      <c r="Q345" s="36" t="str">
        <f>IF(AND($X345="change",$H345="EUR"),IF(AND($Z345="Crédit",$N345=$N346),$Q346,IF(AND($Z345="Débit",$N345=$N344),$Q344)),IF(OR(AND(OR($E345&lt;&gt;"",$L345=""),$M345&lt;&gt;0),$A345=""),IFERROR(VLOOKUP($E345,Selection!$E:$F,2,false)),IFERROR(VLOOKUP(SUBSTITUTE($I345,"-","",1),$K346:$Q1119,7,false),VLOOKUP($K345,$K346:$Q1119,7,false))))</f>
        <v/>
      </c>
      <c r="R345" s="34" t="str">
        <f t="shared" si="2"/>
        <v/>
      </c>
      <c r="S345" s="37" t="str">
        <f t="shared" si="3"/>
        <v/>
      </c>
      <c r="T345" s="38" t="str">
        <f t="shared" si="4"/>
        <v/>
      </c>
      <c r="U345" s="28" t="str">
        <f t="shared" si="5"/>
        <v/>
      </c>
      <c r="V345" s="39" t="str">
        <f>IFERROR(__xludf.DUMMYFUNCTION(" IF(Account!$F345&lt;&gt;"""", SPLIT(Account!$F345, "" ""), """")"),"")</f>
        <v/>
      </c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</row>
    <row r="346">
      <c r="A346" s="7"/>
      <c r="B346" s="7"/>
      <c r="C346" s="7"/>
      <c r="D346" s="7"/>
      <c r="E346" s="7"/>
      <c r="F346" s="9"/>
      <c r="G346" s="341"/>
      <c r="H346" s="7"/>
      <c r="I346" s="7"/>
      <c r="J346" s="7"/>
      <c r="K346" s="7"/>
      <c r="L346" s="26" t="str">
        <f t="shared" si="1"/>
        <v/>
      </c>
      <c r="M346" s="28" t="str">
        <f>IFERROR(__xludf.DUMMYFUNCTION("IF(Account!$F346&lt;&gt;"""", VALUE(REGEXREPLACE($I346, ""\,"", ""."")), """")"),"")</f>
        <v/>
      </c>
      <c r="N346" s="31" t="str">
        <f>IF(Account!$F346&lt;&gt;"", DATEVALUE(MID($A346,4,3) &amp; LEFT($A346,3) &amp; RIGHT($A346,4)) + TIMEVALUE($B346), "")</f>
        <v/>
      </c>
      <c r="O346" s="33" t="str">
        <f>IF(Account!$F346&lt;&gt;"", DATEVALUE(MID($A346,4,3) &amp; LEFT($A346,3) &amp; RIGHT($A346,4)), "")</f>
        <v/>
      </c>
      <c r="P346" s="34" t="str">
        <f>IFERROR(VLOOKUP($Q346,Selection!$F:$G,2,false))</f>
        <v/>
      </c>
      <c r="Q346" s="36" t="str">
        <f>IF(AND($X346="change",$H346="EUR"),IF(AND($Z346="Crédit",$N346=$N347),$Q347,IF(AND($Z346="Débit",$N346=$N345),$Q345)),IF(OR(AND(OR($E346&lt;&gt;"",$L346=""),$M346&lt;&gt;0),$A346=""),IFERROR(VLOOKUP($E346,Selection!$E:$F,2,false)),IFERROR(VLOOKUP(SUBSTITUTE($I346,"-","",1),$K347:$Q1119,7,false),VLOOKUP($K346,$K347:$Q1119,7,false))))</f>
        <v/>
      </c>
      <c r="R346" s="34" t="str">
        <f t="shared" si="2"/>
        <v/>
      </c>
      <c r="S346" s="37" t="str">
        <f t="shared" si="3"/>
        <v/>
      </c>
      <c r="T346" s="38" t="str">
        <f t="shared" si="4"/>
        <v/>
      </c>
      <c r="U346" s="28" t="str">
        <f t="shared" si="5"/>
        <v/>
      </c>
      <c r="V346" s="39" t="str">
        <f>IFERROR(__xludf.DUMMYFUNCTION(" IF(Account!$F346&lt;&gt;"""", SPLIT(Account!$F346, "" ""), """")"),"")</f>
        <v/>
      </c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</row>
    <row r="347">
      <c r="A347" s="7"/>
      <c r="B347" s="7"/>
      <c r="C347" s="7"/>
      <c r="D347" s="7"/>
      <c r="E347" s="7"/>
      <c r="F347" s="9"/>
      <c r="G347" s="341"/>
      <c r="H347" s="7"/>
      <c r="I347" s="7"/>
      <c r="J347" s="7"/>
      <c r="K347" s="7"/>
      <c r="L347" s="26" t="str">
        <f t="shared" si="1"/>
        <v/>
      </c>
      <c r="M347" s="28" t="str">
        <f>IFERROR(__xludf.DUMMYFUNCTION("IF(Account!$F347&lt;&gt;"""", VALUE(REGEXREPLACE($I347, ""\,"", ""."")), """")"),"")</f>
        <v/>
      </c>
      <c r="N347" s="31" t="str">
        <f>IF(Account!$F347&lt;&gt;"", DATEVALUE(MID($A347,4,3) &amp; LEFT($A347,3) &amp; RIGHT($A347,4)) + TIMEVALUE($B347), "")</f>
        <v/>
      </c>
      <c r="O347" s="33" t="str">
        <f>IF(Account!$F347&lt;&gt;"", DATEVALUE(MID($A347,4,3) &amp; LEFT($A347,3) &amp; RIGHT($A347,4)), "")</f>
        <v/>
      </c>
      <c r="P347" s="34" t="str">
        <f>IFERROR(VLOOKUP($Q347,Selection!$F:$G,2,false))</f>
        <v/>
      </c>
      <c r="Q347" s="36" t="str">
        <f>IF(AND($X347="change",$H347="EUR"),IF(AND($Z347="Crédit",$N347=$N348),$Q348,IF(AND($Z347="Débit",$N347=$N346),$Q346)),IF(OR(AND(OR($E347&lt;&gt;"",$L347=""),$M347&lt;&gt;0),$A347=""),IFERROR(VLOOKUP($E347,Selection!$E:$F,2,false)),IFERROR(VLOOKUP(SUBSTITUTE($I347,"-","",1),$K348:$Q1119,7,false),VLOOKUP($K347,$K348:$Q1119,7,false))))</f>
        <v/>
      </c>
      <c r="R347" s="34" t="str">
        <f t="shared" si="2"/>
        <v/>
      </c>
      <c r="S347" s="37" t="str">
        <f t="shared" si="3"/>
        <v/>
      </c>
      <c r="T347" s="38" t="str">
        <f t="shared" si="4"/>
        <v/>
      </c>
      <c r="U347" s="28" t="str">
        <f t="shared" si="5"/>
        <v/>
      </c>
      <c r="V347" s="39" t="str">
        <f>IFERROR(__xludf.DUMMYFUNCTION(" IF(Account!$F347&lt;&gt;"""", SPLIT(Account!$F347, "" ""), """")"),"")</f>
        <v/>
      </c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</row>
    <row r="348">
      <c r="A348" s="7"/>
      <c r="B348" s="7"/>
      <c r="C348" s="7"/>
      <c r="D348" s="7"/>
      <c r="E348" s="7"/>
      <c r="F348" s="9"/>
      <c r="G348" s="341"/>
      <c r="H348" s="7"/>
      <c r="I348" s="7"/>
      <c r="J348" s="7"/>
      <c r="K348" s="7"/>
      <c r="L348" s="26" t="str">
        <f t="shared" si="1"/>
        <v/>
      </c>
      <c r="M348" s="28" t="str">
        <f>IFERROR(__xludf.DUMMYFUNCTION("IF(Account!$F348&lt;&gt;"""", VALUE(REGEXREPLACE($I348, ""\,"", ""."")), """")"),"")</f>
        <v/>
      </c>
      <c r="N348" s="31" t="str">
        <f>IF(Account!$F348&lt;&gt;"", DATEVALUE(MID($A348,4,3) &amp; LEFT($A348,3) &amp; RIGHT($A348,4)) + TIMEVALUE($B348), "")</f>
        <v/>
      </c>
      <c r="O348" s="33" t="str">
        <f>IF(Account!$F348&lt;&gt;"", DATEVALUE(MID($A348,4,3) &amp; LEFT($A348,3) &amp; RIGHT($A348,4)), "")</f>
        <v/>
      </c>
      <c r="P348" s="34" t="str">
        <f>IFERROR(VLOOKUP($Q348,Selection!$F:$G,2,false))</f>
        <v/>
      </c>
      <c r="Q348" s="36" t="str">
        <f>IF(AND($X348="change",$H348="EUR"),IF(AND($Z348="Crédit",$N348=$N349),$Q349,IF(AND($Z348="Débit",$N348=$N347),$Q347)),IF(OR(AND(OR($E348&lt;&gt;"",$L348=""),$M348&lt;&gt;0),$A348=""),IFERROR(VLOOKUP($E348,Selection!$E:$F,2,false)),IFERROR(VLOOKUP(SUBSTITUTE($I348,"-","",1),$K349:$Q1119,7,false),VLOOKUP($K348,$K349:$Q1119,7,false))))</f>
        <v/>
      </c>
      <c r="R348" s="34" t="str">
        <f t="shared" si="2"/>
        <v/>
      </c>
      <c r="S348" s="37" t="str">
        <f t="shared" si="3"/>
        <v/>
      </c>
      <c r="T348" s="38" t="str">
        <f t="shared" si="4"/>
        <v/>
      </c>
      <c r="U348" s="28" t="str">
        <f t="shared" si="5"/>
        <v/>
      </c>
      <c r="V348" s="39" t="str">
        <f>IFERROR(__xludf.DUMMYFUNCTION(" IF(Account!$F348&lt;&gt;"""", SPLIT(Account!$F348, "" ""), """")"),"")</f>
        <v/>
      </c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</row>
    <row r="349">
      <c r="A349" s="7"/>
      <c r="B349" s="7"/>
      <c r="C349" s="7"/>
      <c r="D349" s="7"/>
      <c r="E349" s="7"/>
      <c r="F349" s="9"/>
      <c r="G349" s="7"/>
      <c r="H349" s="7"/>
      <c r="I349" s="7"/>
      <c r="J349" s="7"/>
      <c r="K349" s="7"/>
      <c r="L349" s="26" t="str">
        <f t="shared" si="1"/>
        <v/>
      </c>
      <c r="M349" s="28" t="str">
        <f>IFERROR(__xludf.DUMMYFUNCTION("IF(Account!$F349&lt;&gt;"""", VALUE(REGEXREPLACE($I349, ""\,"", ""."")), """")"),"")</f>
        <v/>
      </c>
      <c r="N349" s="31" t="str">
        <f>IF(Account!$F349&lt;&gt;"", DATEVALUE(MID($A349,4,3) &amp; LEFT($A349,3) &amp; RIGHT($A349,4)) + TIMEVALUE($B349), "")</f>
        <v/>
      </c>
      <c r="O349" s="33" t="str">
        <f>IF(Account!$F349&lt;&gt;"", DATEVALUE(MID($A349,4,3) &amp; LEFT($A349,3) &amp; RIGHT($A349,4)), "")</f>
        <v/>
      </c>
      <c r="P349" s="34" t="str">
        <f>IFERROR(VLOOKUP($Q349,Selection!$F:$G,2,false))</f>
        <v/>
      </c>
      <c r="Q349" s="36" t="str">
        <f>IF(AND($X349="change",$H349="EUR"),IF(AND($Z349="Crédit",$N349=$N350),$Q350,IF(AND($Z349="Débit",$N349=$N348),$Q348)),IF(OR(AND(OR($E349&lt;&gt;"",$L349=""),$M349&lt;&gt;0),$A349=""),IFERROR(VLOOKUP($E349,Selection!$E:$F,2,false)),IFERROR(VLOOKUP(SUBSTITUTE($I349,"-","",1),$K350:$Q1119,7,false),VLOOKUP($K349,$K350:$Q1119,7,false))))</f>
        <v/>
      </c>
      <c r="R349" s="34" t="str">
        <f t="shared" si="2"/>
        <v/>
      </c>
      <c r="S349" s="37" t="str">
        <f t="shared" si="3"/>
        <v/>
      </c>
      <c r="T349" s="38" t="str">
        <f t="shared" si="4"/>
        <v/>
      </c>
      <c r="U349" s="28" t="str">
        <f t="shared" si="5"/>
        <v/>
      </c>
      <c r="V349" s="39" t="str">
        <f>IFERROR(__xludf.DUMMYFUNCTION(" IF(Account!$F349&lt;&gt;"""", SPLIT(Account!$F349, "" ""), """")"),"")</f>
        <v/>
      </c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</row>
    <row r="350">
      <c r="A350" s="7"/>
      <c r="B350" s="7"/>
      <c r="C350" s="7"/>
      <c r="D350" s="7"/>
      <c r="E350" s="7"/>
      <c r="F350" s="9"/>
      <c r="G350" s="341"/>
      <c r="H350" s="7"/>
      <c r="I350" s="7"/>
      <c r="J350" s="7"/>
      <c r="K350" s="7"/>
      <c r="L350" s="26" t="str">
        <f t="shared" si="1"/>
        <v/>
      </c>
      <c r="M350" s="28" t="str">
        <f>IFERROR(__xludf.DUMMYFUNCTION("IF(Account!$F350&lt;&gt;"""", VALUE(REGEXREPLACE($I350, ""\,"", ""."")), """")"),"")</f>
        <v/>
      </c>
      <c r="N350" s="31" t="str">
        <f>IF(Account!$F350&lt;&gt;"", DATEVALUE(MID($A350,4,3) &amp; LEFT($A350,3) &amp; RIGHT($A350,4)) + TIMEVALUE($B350), "")</f>
        <v/>
      </c>
      <c r="O350" s="33" t="str">
        <f>IF(Account!$F350&lt;&gt;"", DATEVALUE(MID($A350,4,3) &amp; LEFT($A350,3) &amp; RIGHT($A350,4)), "")</f>
        <v/>
      </c>
      <c r="P350" s="34" t="str">
        <f>IFERROR(VLOOKUP($Q350,Selection!$F:$G,2,false))</f>
        <v/>
      </c>
      <c r="Q350" s="36" t="str">
        <f>IF(AND($X350="change",$H350="EUR"),IF(AND($Z350="Crédit",$N350=$N351),$Q351,IF(AND($Z350="Débit",$N350=$N349),$Q349)),IF(OR(AND(OR($E350&lt;&gt;"",$L350=""),$M350&lt;&gt;0),$A350=""),IFERROR(VLOOKUP($E350,Selection!$E:$F,2,false)),IFERROR(VLOOKUP(SUBSTITUTE($I350,"-","",1),$K351:$Q1119,7,false),VLOOKUP($K350,$K351:$Q1119,7,false))))</f>
        <v/>
      </c>
      <c r="R350" s="34" t="str">
        <f t="shared" si="2"/>
        <v/>
      </c>
      <c r="S350" s="37" t="str">
        <f t="shared" si="3"/>
        <v/>
      </c>
      <c r="T350" s="38" t="str">
        <f t="shared" si="4"/>
        <v/>
      </c>
      <c r="U350" s="28" t="str">
        <f t="shared" si="5"/>
        <v/>
      </c>
      <c r="V350" s="39" t="str">
        <f>IFERROR(__xludf.DUMMYFUNCTION(" IF(Account!$F350&lt;&gt;"""", SPLIT(Account!$F350, "" ""), """")"),"")</f>
        <v/>
      </c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</row>
    <row r="351">
      <c r="A351" s="7"/>
      <c r="B351" s="7"/>
      <c r="C351" s="7"/>
      <c r="D351" s="7"/>
      <c r="E351" s="7"/>
      <c r="F351" s="9"/>
      <c r="G351" s="7"/>
      <c r="H351" s="7"/>
      <c r="I351" s="7"/>
      <c r="J351" s="7"/>
      <c r="K351" s="7"/>
      <c r="L351" s="26" t="str">
        <f t="shared" si="1"/>
        <v/>
      </c>
      <c r="M351" s="28" t="str">
        <f>IFERROR(__xludf.DUMMYFUNCTION("IF(Account!$F351&lt;&gt;"""", VALUE(REGEXREPLACE($I351, ""\,"", ""."")), """")"),"")</f>
        <v/>
      </c>
      <c r="N351" s="31" t="str">
        <f>IF(Account!$F351&lt;&gt;"", DATEVALUE(MID($A351,4,3) &amp; LEFT($A351,3) &amp; RIGHT($A351,4)) + TIMEVALUE($B351), "")</f>
        <v/>
      </c>
      <c r="O351" s="33" t="str">
        <f>IF(Account!$F351&lt;&gt;"", DATEVALUE(MID($A351,4,3) &amp; LEFT($A351,3) &amp; RIGHT($A351,4)), "")</f>
        <v/>
      </c>
      <c r="P351" s="34" t="str">
        <f>IFERROR(VLOOKUP($Q351,Selection!$F:$G,2,false))</f>
        <v/>
      </c>
      <c r="Q351" s="36" t="str">
        <f>IF(AND($X351="change",$H351="EUR"),IF(AND($Z351="Crédit",$N351=$N352),$Q352,IF(AND($Z351="Débit",$N351=$N350),$Q350)),IF(OR(AND(OR($E351&lt;&gt;"",$L351=""),$M351&lt;&gt;0),$A351=""),IFERROR(VLOOKUP($E351,Selection!$E:$F,2,false)),IFERROR(VLOOKUP(SUBSTITUTE($I351,"-","",1),$K352:$Q1119,7,false),VLOOKUP($K351,$K352:$Q1119,7,false))))</f>
        <v/>
      </c>
      <c r="R351" s="34" t="str">
        <f t="shared" si="2"/>
        <v/>
      </c>
      <c r="S351" s="37" t="str">
        <f t="shared" si="3"/>
        <v/>
      </c>
      <c r="T351" s="38" t="str">
        <f t="shared" si="4"/>
        <v/>
      </c>
      <c r="U351" s="28" t="str">
        <f t="shared" si="5"/>
        <v/>
      </c>
      <c r="V351" s="39" t="str">
        <f>IFERROR(__xludf.DUMMYFUNCTION(" IF(Account!$F351&lt;&gt;"""", SPLIT(Account!$F351, "" ""), """")"),"")</f>
        <v/>
      </c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</row>
    <row r="352">
      <c r="A352" s="7"/>
      <c r="B352" s="7"/>
      <c r="C352" s="7"/>
      <c r="D352" s="7"/>
      <c r="E352" s="7"/>
      <c r="F352" s="9"/>
      <c r="G352" s="341"/>
      <c r="H352" s="7"/>
      <c r="I352" s="7"/>
      <c r="J352" s="7"/>
      <c r="K352" s="7"/>
      <c r="L352" s="26" t="str">
        <f t="shared" si="1"/>
        <v/>
      </c>
      <c r="M352" s="28" t="str">
        <f>IFERROR(__xludf.DUMMYFUNCTION("IF(Account!$F352&lt;&gt;"""", VALUE(REGEXREPLACE($I352, ""\,"", ""."")), """")"),"")</f>
        <v/>
      </c>
      <c r="N352" s="31" t="str">
        <f>IF(Account!$F352&lt;&gt;"", DATEVALUE(MID($A352,4,3) &amp; LEFT($A352,3) &amp; RIGHT($A352,4)) + TIMEVALUE($B352), "")</f>
        <v/>
      </c>
      <c r="O352" s="33" t="str">
        <f>IF(Account!$F352&lt;&gt;"", DATEVALUE(MID($A352,4,3) &amp; LEFT($A352,3) &amp; RIGHT($A352,4)), "")</f>
        <v/>
      </c>
      <c r="P352" s="34" t="str">
        <f>IFERROR(VLOOKUP($Q352,Selection!$F:$G,2,false))</f>
        <v/>
      </c>
      <c r="Q352" s="36" t="str">
        <f>IF(AND($X352="change",$H352="EUR"),IF(AND($Z352="Crédit",$N352=$N353),$Q353,IF(AND($Z352="Débit",$N352=$N351),$Q351)),IF(OR(AND(OR($E352&lt;&gt;"",$L352=""),$M352&lt;&gt;0),$A352=""),IFERROR(VLOOKUP($E352,Selection!$E:$F,2,false)),IFERROR(VLOOKUP(SUBSTITUTE($I352,"-","",1),$K353:$Q1119,7,false),VLOOKUP($K352,$K353:$Q1119,7,false))))</f>
        <v/>
      </c>
      <c r="R352" s="34" t="str">
        <f t="shared" si="2"/>
        <v/>
      </c>
      <c r="S352" s="37" t="str">
        <f t="shared" si="3"/>
        <v/>
      </c>
      <c r="T352" s="38" t="str">
        <f t="shared" si="4"/>
        <v/>
      </c>
      <c r="U352" s="28" t="str">
        <f t="shared" si="5"/>
        <v/>
      </c>
      <c r="V352" s="39" t="str">
        <f>IFERROR(__xludf.DUMMYFUNCTION(" IF(Account!$F352&lt;&gt;"""", SPLIT(Account!$F352, "" ""), """")"),"")</f>
        <v/>
      </c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</row>
    <row r="353">
      <c r="A353" s="7"/>
      <c r="B353" s="7"/>
      <c r="C353" s="7"/>
      <c r="D353" s="7"/>
      <c r="E353" s="7"/>
      <c r="F353" s="9"/>
      <c r="G353" s="7"/>
      <c r="H353" s="7"/>
      <c r="I353" s="7"/>
      <c r="J353" s="7"/>
      <c r="K353" s="7"/>
      <c r="L353" s="26" t="str">
        <f t="shared" si="1"/>
        <v/>
      </c>
      <c r="M353" s="28" t="str">
        <f>IFERROR(__xludf.DUMMYFUNCTION("IF(Account!$F353&lt;&gt;"""", VALUE(REGEXREPLACE($I353, ""\,"", ""."")), """")"),"")</f>
        <v/>
      </c>
      <c r="N353" s="31" t="str">
        <f>IF(Account!$F353&lt;&gt;"", DATEVALUE(MID($A353,4,3) &amp; LEFT($A353,3) &amp; RIGHT($A353,4)) + TIMEVALUE($B353), "")</f>
        <v/>
      </c>
      <c r="O353" s="33" t="str">
        <f>IF(Account!$F353&lt;&gt;"", DATEVALUE(MID($A353,4,3) &amp; LEFT($A353,3) &amp; RIGHT($A353,4)), "")</f>
        <v/>
      </c>
      <c r="P353" s="34" t="str">
        <f>IFERROR(VLOOKUP($Q353,Selection!$F:$G,2,false))</f>
        <v/>
      </c>
      <c r="Q353" s="36" t="str">
        <f>IF(AND($X353="change",$H353="EUR"),IF(AND($Z353="Crédit",$N353=$N354),$Q354,IF(AND($Z353="Débit",$N353=$N352),$Q352)),IF(OR(AND(OR($E353&lt;&gt;"",$L353=""),$M353&lt;&gt;0),$A353=""),IFERROR(VLOOKUP($E353,Selection!$E:$F,2,false)),IFERROR(VLOOKUP(SUBSTITUTE($I353,"-","",1),$K354:$Q1119,7,false),VLOOKUP($K353,$K354:$Q1119,7,false))))</f>
        <v/>
      </c>
      <c r="R353" s="34" t="str">
        <f t="shared" si="2"/>
        <v/>
      </c>
      <c r="S353" s="37" t="str">
        <f t="shared" si="3"/>
        <v/>
      </c>
      <c r="T353" s="38" t="str">
        <f t="shared" si="4"/>
        <v/>
      </c>
      <c r="U353" s="28" t="str">
        <f t="shared" si="5"/>
        <v/>
      </c>
      <c r="V353" s="39" t="str">
        <f>IFERROR(__xludf.DUMMYFUNCTION(" IF(Account!$F353&lt;&gt;"""", SPLIT(Account!$F353, "" ""), """")"),"")</f>
        <v/>
      </c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</row>
    <row r="354">
      <c r="A354" s="7"/>
      <c r="B354" s="7"/>
      <c r="C354" s="7"/>
      <c r="D354" s="7"/>
      <c r="E354" s="7"/>
      <c r="F354" s="9"/>
      <c r="G354" s="341"/>
      <c r="H354" s="7"/>
      <c r="I354" s="7"/>
      <c r="J354" s="7"/>
      <c r="K354" s="7"/>
      <c r="L354" s="26" t="str">
        <f t="shared" si="1"/>
        <v/>
      </c>
      <c r="M354" s="28" t="str">
        <f>IFERROR(__xludf.DUMMYFUNCTION("IF(Account!$F354&lt;&gt;"""", VALUE(REGEXREPLACE($I354, ""\,"", ""."")), """")"),"")</f>
        <v/>
      </c>
      <c r="N354" s="31" t="str">
        <f>IF(Account!$F354&lt;&gt;"", DATEVALUE(MID($A354,4,3) &amp; LEFT($A354,3) &amp; RIGHT($A354,4)) + TIMEVALUE($B354), "")</f>
        <v/>
      </c>
      <c r="O354" s="33" t="str">
        <f>IF(Account!$F354&lt;&gt;"", DATEVALUE(MID($A354,4,3) &amp; LEFT($A354,3) &amp; RIGHT($A354,4)), "")</f>
        <v/>
      </c>
      <c r="P354" s="34" t="str">
        <f>IFERROR(VLOOKUP($Q354,Selection!$F:$G,2,false))</f>
        <v/>
      </c>
      <c r="Q354" s="36" t="str">
        <f>IF(AND($X354="change",$H354="EUR"),IF(AND($Z354="Crédit",$N354=$N355),$Q355,IF(AND($Z354="Débit",$N354=$N353),$Q353)),IF(OR(AND(OR($E354&lt;&gt;"",$L354=""),$M354&lt;&gt;0),$A354=""),IFERROR(VLOOKUP($E354,Selection!$E:$F,2,false)),IFERROR(VLOOKUP(SUBSTITUTE($I354,"-","",1),$K355:$Q1119,7,false),VLOOKUP($K354,$K355:$Q1119,7,false))))</f>
        <v/>
      </c>
      <c r="R354" s="34" t="str">
        <f t="shared" si="2"/>
        <v/>
      </c>
      <c r="S354" s="37" t="str">
        <f t="shared" si="3"/>
        <v/>
      </c>
      <c r="T354" s="38" t="str">
        <f t="shared" si="4"/>
        <v/>
      </c>
      <c r="U354" s="28" t="str">
        <f t="shared" si="5"/>
        <v/>
      </c>
      <c r="V354" s="39" t="str">
        <f>IFERROR(__xludf.DUMMYFUNCTION(" IF(Account!$F354&lt;&gt;"""", SPLIT(Account!$F354, "" ""), """")"),"")</f>
        <v/>
      </c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</row>
    <row r="355">
      <c r="A355" s="7"/>
      <c r="B355" s="7"/>
      <c r="C355" s="7"/>
      <c r="D355" s="7"/>
      <c r="E355" s="7"/>
      <c r="F355" s="9"/>
      <c r="G355" s="7"/>
      <c r="H355" s="7"/>
      <c r="I355" s="7"/>
      <c r="J355" s="7"/>
      <c r="K355" s="7"/>
      <c r="L355" s="26" t="str">
        <f t="shared" si="1"/>
        <v/>
      </c>
      <c r="M355" s="28" t="str">
        <f>IFERROR(__xludf.DUMMYFUNCTION("IF(Account!$F355&lt;&gt;"""", VALUE(REGEXREPLACE($I355, ""\,"", ""."")), """")"),"")</f>
        <v/>
      </c>
      <c r="N355" s="31" t="str">
        <f>IF(Account!$F355&lt;&gt;"", DATEVALUE(MID($A355,4,3) &amp; LEFT($A355,3) &amp; RIGHT($A355,4)) + TIMEVALUE($B355), "")</f>
        <v/>
      </c>
      <c r="O355" s="33" t="str">
        <f>IF(Account!$F355&lt;&gt;"", DATEVALUE(MID($A355,4,3) &amp; LEFT($A355,3) &amp; RIGHT($A355,4)), "")</f>
        <v/>
      </c>
      <c r="P355" s="34" t="str">
        <f>IFERROR(VLOOKUP($Q355,Selection!$F:$G,2,false))</f>
        <v/>
      </c>
      <c r="Q355" s="36" t="str">
        <f>IF(AND($X355="change",$H355="EUR"),IF(AND($Z355="Crédit",$N355=$N356),$Q356,IF(AND($Z355="Débit",$N355=$N354),$Q354)),IF(OR(AND(OR($E355&lt;&gt;"",$L355=""),$M355&lt;&gt;0),$A355=""),IFERROR(VLOOKUP($E355,Selection!$E:$F,2,false)),IFERROR(VLOOKUP(SUBSTITUTE($I355,"-","",1),$K356:$Q1119,7,false),VLOOKUP($K355,$K356:$Q1119,7,false))))</f>
        <v/>
      </c>
      <c r="R355" s="34" t="str">
        <f t="shared" si="2"/>
        <v/>
      </c>
      <c r="S355" s="37" t="str">
        <f t="shared" si="3"/>
        <v/>
      </c>
      <c r="T355" s="38" t="str">
        <f t="shared" si="4"/>
        <v/>
      </c>
      <c r="U355" s="28" t="str">
        <f t="shared" si="5"/>
        <v/>
      </c>
      <c r="V355" s="39" t="str">
        <f>IFERROR(__xludf.DUMMYFUNCTION(" IF(Account!$F355&lt;&gt;"""", SPLIT(Account!$F355, "" ""), """")"),"")</f>
        <v/>
      </c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</row>
    <row r="356">
      <c r="A356" s="7"/>
      <c r="B356" s="7"/>
      <c r="C356" s="7"/>
      <c r="D356" s="7"/>
      <c r="E356" s="7"/>
      <c r="F356" s="9"/>
      <c r="G356" s="341"/>
      <c r="H356" s="7"/>
      <c r="I356" s="7"/>
      <c r="J356" s="7"/>
      <c r="K356" s="7"/>
      <c r="L356" s="26" t="str">
        <f t="shared" si="1"/>
        <v/>
      </c>
      <c r="M356" s="28" t="str">
        <f>IFERROR(__xludf.DUMMYFUNCTION("IF(Account!$F356&lt;&gt;"""", VALUE(REGEXREPLACE($I356, ""\,"", ""."")), """")"),"")</f>
        <v/>
      </c>
      <c r="N356" s="31" t="str">
        <f>IF(Account!$F356&lt;&gt;"", DATEVALUE(MID($A356,4,3) &amp; LEFT($A356,3) &amp; RIGHT($A356,4)) + TIMEVALUE($B356), "")</f>
        <v/>
      </c>
      <c r="O356" s="33" t="str">
        <f>IF(Account!$F356&lt;&gt;"", DATEVALUE(MID($A356,4,3) &amp; LEFT($A356,3) &amp; RIGHT($A356,4)), "")</f>
        <v/>
      </c>
      <c r="P356" s="34" t="str">
        <f>IFERROR(VLOOKUP($Q356,Selection!$F:$G,2,false))</f>
        <v/>
      </c>
      <c r="Q356" s="36" t="str">
        <f>IF(AND($X356="change",$H356="EUR"),IF(AND($Z356="Crédit",$N356=$N357),$Q357,IF(AND($Z356="Débit",$N356=$N355),$Q355)),IF(OR(AND(OR($E356&lt;&gt;"",$L356=""),$M356&lt;&gt;0),$A356=""),IFERROR(VLOOKUP($E356,Selection!$E:$F,2,false)),IFERROR(VLOOKUP(SUBSTITUTE($I356,"-","",1),$K357:$Q1119,7,false),VLOOKUP($K356,$K357:$Q1119,7,false))))</f>
        <v/>
      </c>
      <c r="R356" s="34" t="str">
        <f t="shared" si="2"/>
        <v/>
      </c>
      <c r="S356" s="37" t="str">
        <f t="shared" si="3"/>
        <v/>
      </c>
      <c r="T356" s="38" t="str">
        <f t="shared" si="4"/>
        <v/>
      </c>
      <c r="U356" s="28" t="str">
        <f t="shared" si="5"/>
        <v/>
      </c>
      <c r="V356" s="39" t="str">
        <f>IFERROR(__xludf.DUMMYFUNCTION(" IF(Account!$F356&lt;&gt;"""", SPLIT(Account!$F356, "" ""), """")"),"")</f>
        <v/>
      </c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</row>
    <row r="357">
      <c r="A357" s="7"/>
      <c r="B357" s="7"/>
      <c r="C357" s="7"/>
      <c r="D357" s="7"/>
      <c r="E357" s="7"/>
      <c r="F357" s="9"/>
      <c r="G357" s="7"/>
      <c r="H357" s="7"/>
      <c r="I357" s="7"/>
      <c r="J357" s="7"/>
      <c r="K357" s="7"/>
      <c r="L357" s="26" t="str">
        <f t="shared" si="1"/>
        <v/>
      </c>
      <c r="M357" s="28" t="str">
        <f>IFERROR(__xludf.DUMMYFUNCTION("IF(Account!$F357&lt;&gt;"""", VALUE(REGEXREPLACE($I357, ""\,"", ""."")), """")"),"")</f>
        <v/>
      </c>
      <c r="N357" s="31" t="str">
        <f>IF(Account!$F357&lt;&gt;"", DATEVALUE(MID($A357,4,3) &amp; LEFT($A357,3) &amp; RIGHT($A357,4)) + TIMEVALUE($B357), "")</f>
        <v/>
      </c>
      <c r="O357" s="33" t="str">
        <f>IF(Account!$F357&lt;&gt;"", DATEVALUE(MID($A357,4,3) &amp; LEFT($A357,3) &amp; RIGHT($A357,4)), "")</f>
        <v/>
      </c>
      <c r="P357" s="34" t="str">
        <f>IFERROR(VLOOKUP($Q357,Selection!$F:$G,2,false))</f>
        <v/>
      </c>
      <c r="Q357" s="36" t="str">
        <f>IF(AND($X357="change",$H357="EUR"),IF(AND($Z357="Crédit",$N357=$N358),$Q358,IF(AND($Z357="Débit",$N357=$N356),$Q356)),IF(OR(AND(OR($E357&lt;&gt;"",$L357=""),$M357&lt;&gt;0),$A357=""),IFERROR(VLOOKUP($E357,Selection!$E:$F,2,false)),IFERROR(VLOOKUP(SUBSTITUTE($I357,"-","",1),$K358:$Q1119,7,false),VLOOKUP($K357,$K358:$Q1119,7,false))))</f>
        <v/>
      </c>
      <c r="R357" s="34" t="str">
        <f t="shared" si="2"/>
        <v/>
      </c>
      <c r="S357" s="37" t="str">
        <f t="shared" si="3"/>
        <v/>
      </c>
      <c r="T357" s="38" t="str">
        <f t="shared" si="4"/>
        <v/>
      </c>
      <c r="U357" s="28" t="str">
        <f t="shared" si="5"/>
        <v/>
      </c>
      <c r="V357" s="39" t="str">
        <f>IFERROR(__xludf.DUMMYFUNCTION(" IF(Account!$F357&lt;&gt;"""", SPLIT(Account!$F357, "" ""), """")"),"")</f>
        <v/>
      </c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</row>
    <row r="358">
      <c r="A358" s="7"/>
      <c r="B358" s="7"/>
      <c r="C358" s="7"/>
      <c r="D358" s="7"/>
      <c r="E358" s="7"/>
      <c r="F358" s="9"/>
      <c r="G358" s="7"/>
      <c r="H358" s="7"/>
      <c r="I358" s="7"/>
      <c r="J358" s="7"/>
      <c r="K358" s="7"/>
      <c r="L358" s="26" t="str">
        <f t="shared" si="1"/>
        <v/>
      </c>
      <c r="M358" s="28" t="str">
        <f>IFERROR(__xludf.DUMMYFUNCTION("IF(Account!$F358&lt;&gt;"""", VALUE(REGEXREPLACE($I358, ""\,"", ""."")), """")"),"")</f>
        <v/>
      </c>
      <c r="N358" s="31" t="str">
        <f>IF(Account!$F358&lt;&gt;"", DATEVALUE(MID($A358,4,3) &amp; LEFT($A358,3) &amp; RIGHT($A358,4)) + TIMEVALUE($B358), "")</f>
        <v/>
      </c>
      <c r="O358" s="33" t="str">
        <f>IF(Account!$F358&lt;&gt;"", DATEVALUE(MID($A358,4,3) &amp; LEFT($A358,3) &amp; RIGHT($A358,4)), "")</f>
        <v/>
      </c>
      <c r="P358" s="34" t="str">
        <f>IFERROR(VLOOKUP($Q358,Selection!$F:$G,2,false))</f>
        <v/>
      </c>
      <c r="Q358" s="36" t="str">
        <f>IF(AND($X358="change",$H358="EUR"),IF(AND($Z358="Crédit",$N358=$N359),$Q359,IF(AND($Z358="Débit",$N358=$N357),$Q357)),IF(OR(AND(OR($E358&lt;&gt;"",$L358=""),$M358&lt;&gt;0),$A358=""),IFERROR(VLOOKUP($E358,Selection!$E:$F,2,false)),IFERROR(VLOOKUP(SUBSTITUTE($I358,"-","",1),$K359:$Q1119,7,false),VLOOKUP($K358,$K359:$Q1119,7,false))))</f>
        <v/>
      </c>
      <c r="R358" s="34" t="str">
        <f t="shared" si="2"/>
        <v/>
      </c>
      <c r="S358" s="37" t="str">
        <f t="shared" si="3"/>
        <v/>
      </c>
      <c r="T358" s="38" t="str">
        <f t="shared" si="4"/>
        <v/>
      </c>
      <c r="U358" s="28" t="str">
        <f t="shared" si="5"/>
        <v/>
      </c>
      <c r="V358" s="39" t="str">
        <f>IFERROR(__xludf.DUMMYFUNCTION(" IF(Account!$F358&lt;&gt;"""", SPLIT(Account!$F358, "" ""), """")"),"")</f>
        <v/>
      </c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</row>
    <row r="359">
      <c r="A359" s="7"/>
      <c r="B359" s="7"/>
      <c r="C359" s="7"/>
      <c r="D359" s="7"/>
      <c r="E359" s="7"/>
      <c r="F359" s="9"/>
      <c r="G359" s="341"/>
      <c r="H359" s="7"/>
      <c r="I359" s="7"/>
      <c r="J359" s="7"/>
      <c r="K359" s="7"/>
      <c r="L359" s="26" t="str">
        <f t="shared" si="1"/>
        <v/>
      </c>
      <c r="M359" s="28" t="str">
        <f>IFERROR(__xludf.DUMMYFUNCTION("IF(Account!$F359&lt;&gt;"""", VALUE(REGEXREPLACE($I359, ""\,"", ""."")), """")"),"")</f>
        <v/>
      </c>
      <c r="N359" s="31" t="str">
        <f>IF(Account!$F359&lt;&gt;"", DATEVALUE(MID($A359,4,3) &amp; LEFT($A359,3) &amp; RIGHT($A359,4)) + TIMEVALUE($B359), "")</f>
        <v/>
      </c>
      <c r="O359" s="33" t="str">
        <f>IF(Account!$F359&lt;&gt;"", DATEVALUE(MID($A359,4,3) &amp; LEFT($A359,3) &amp; RIGHT($A359,4)), "")</f>
        <v/>
      </c>
      <c r="P359" s="34" t="str">
        <f>IFERROR(VLOOKUP($Q359,Selection!$F:$G,2,false))</f>
        <v/>
      </c>
      <c r="Q359" s="36" t="str">
        <f>IF(AND($X359="change",$H359="EUR"),IF(AND($Z359="Crédit",$N359=$N360),$Q360,IF(AND($Z359="Débit",$N359=$N358),$Q358)),IF(OR(AND(OR($E359&lt;&gt;"",$L359=""),$M359&lt;&gt;0),$A359=""),IFERROR(VLOOKUP($E359,Selection!$E:$F,2,false)),IFERROR(VLOOKUP(SUBSTITUTE($I359,"-","",1),$K360:$Q1119,7,false),VLOOKUP($K359,$K360:$Q1119,7,false))))</f>
        <v/>
      </c>
      <c r="R359" s="34" t="str">
        <f t="shared" si="2"/>
        <v/>
      </c>
      <c r="S359" s="37" t="str">
        <f t="shared" si="3"/>
        <v/>
      </c>
      <c r="T359" s="38" t="str">
        <f t="shared" si="4"/>
        <v/>
      </c>
      <c r="U359" s="28" t="str">
        <f t="shared" si="5"/>
        <v/>
      </c>
      <c r="V359" s="39" t="str">
        <f>IFERROR(__xludf.DUMMYFUNCTION(" IF(Account!$F359&lt;&gt;"""", SPLIT(Account!$F359, "" ""), """")"),"")</f>
        <v/>
      </c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</row>
    <row r="360">
      <c r="A360" s="7"/>
      <c r="B360" s="7"/>
      <c r="C360" s="7"/>
      <c r="D360" s="7"/>
      <c r="E360" s="7"/>
      <c r="F360" s="9"/>
      <c r="G360" s="7"/>
      <c r="H360" s="7"/>
      <c r="I360" s="7"/>
      <c r="J360" s="7"/>
      <c r="K360" s="7"/>
      <c r="L360" s="26" t="str">
        <f t="shared" si="1"/>
        <v/>
      </c>
      <c r="M360" s="28" t="str">
        <f>IFERROR(__xludf.DUMMYFUNCTION("IF(Account!$F360&lt;&gt;"""", VALUE(REGEXREPLACE($I360, ""\,"", ""."")), """")"),"")</f>
        <v/>
      </c>
      <c r="N360" s="31" t="str">
        <f>IF(Account!$F360&lt;&gt;"", DATEVALUE(MID($A360,4,3) &amp; LEFT($A360,3) &amp; RIGHT($A360,4)) + TIMEVALUE($B360), "")</f>
        <v/>
      </c>
      <c r="O360" s="33" t="str">
        <f>IF(Account!$F360&lt;&gt;"", DATEVALUE(MID($A360,4,3) &amp; LEFT($A360,3) &amp; RIGHT($A360,4)), "")</f>
        <v/>
      </c>
      <c r="P360" s="34" t="str">
        <f>IFERROR(VLOOKUP($Q360,Selection!$F:$G,2,false))</f>
        <v/>
      </c>
      <c r="Q360" s="36" t="str">
        <f>IF(AND($X360="change",$H360="EUR"),IF(AND($Z360="Crédit",$N360=$N361),$Q361,IF(AND($Z360="Débit",$N360=$N359),$Q359)),IF(OR(AND(OR($E360&lt;&gt;"",$L360=""),$M360&lt;&gt;0),$A360=""),IFERROR(VLOOKUP($E360,Selection!$E:$F,2,false)),IFERROR(VLOOKUP(SUBSTITUTE($I360,"-","",1),$K361:$Q1119,7,false),VLOOKUP($K360,$K361:$Q1119,7,false))))</f>
        <v/>
      </c>
      <c r="R360" s="34" t="str">
        <f t="shared" si="2"/>
        <v/>
      </c>
      <c r="S360" s="37" t="str">
        <f t="shared" si="3"/>
        <v/>
      </c>
      <c r="T360" s="38" t="str">
        <f t="shared" si="4"/>
        <v/>
      </c>
      <c r="U360" s="28" t="str">
        <f t="shared" si="5"/>
        <v/>
      </c>
      <c r="V360" s="39" t="str">
        <f>IFERROR(__xludf.DUMMYFUNCTION(" IF(Account!$F360&lt;&gt;"""", SPLIT(Account!$F360, "" ""), """")"),"")</f>
        <v/>
      </c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</row>
    <row r="361">
      <c r="A361" s="7"/>
      <c r="B361" s="7"/>
      <c r="C361" s="7"/>
      <c r="D361" s="7"/>
      <c r="E361" s="7"/>
      <c r="F361" s="9"/>
      <c r="G361" s="341"/>
      <c r="H361" s="7"/>
      <c r="I361" s="7"/>
      <c r="J361" s="7"/>
      <c r="K361" s="7"/>
      <c r="L361" s="26" t="str">
        <f t="shared" si="1"/>
        <v/>
      </c>
      <c r="M361" s="28" t="str">
        <f>IFERROR(__xludf.DUMMYFUNCTION("IF(Account!$F361&lt;&gt;"""", VALUE(REGEXREPLACE($I361, ""\,"", ""."")), """")"),"")</f>
        <v/>
      </c>
      <c r="N361" s="31" t="str">
        <f>IF(Account!$F361&lt;&gt;"", DATEVALUE(MID($A361,4,3) &amp; LEFT($A361,3) &amp; RIGHT($A361,4)) + TIMEVALUE($B361), "")</f>
        <v/>
      </c>
      <c r="O361" s="33" t="str">
        <f>IF(Account!$F361&lt;&gt;"", DATEVALUE(MID($A361,4,3) &amp; LEFT($A361,3) &amp; RIGHT($A361,4)), "")</f>
        <v/>
      </c>
      <c r="P361" s="34" t="str">
        <f>IFERROR(VLOOKUP($Q361,Selection!$F:$G,2,false))</f>
        <v/>
      </c>
      <c r="Q361" s="36" t="str">
        <f>IF(AND($X361="change",$H361="EUR"),IF(AND($Z361="Crédit",$N361=$N362),$Q362,IF(AND($Z361="Débit",$N361=$N360),$Q360)),IF(OR(AND(OR($E361&lt;&gt;"",$L361=""),$M361&lt;&gt;0),$A361=""),IFERROR(VLOOKUP($E361,Selection!$E:$F,2,false)),IFERROR(VLOOKUP(SUBSTITUTE($I361,"-","",1),$K362:$Q1119,7,false),VLOOKUP($K361,$K362:$Q1119,7,false))))</f>
        <v/>
      </c>
      <c r="R361" s="34" t="str">
        <f t="shared" si="2"/>
        <v/>
      </c>
      <c r="S361" s="37" t="str">
        <f t="shared" si="3"/>
        <v/>
      </c>
      <c r="T361" s="38" t="str">
        <f t="shared" si="4"/>
        <v/>
      </c>
      <c r="U361" s="28" t="str">
        <f t="shared" si="5"/>
        <v/>
      </c>
      <c r="V361" s="39" t="str">
        <f>IFERROR(__xludf.DUMMYFUNCTION(" IF(Account!$F361&lt;&gt;"""", SPLIT(Account!$F361, "" ""), """")"),"")</f>
        <v/>
      </c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</row>
    <row r="362">
      <c r="A362" s="7"/>
      <c r="B362" s="7"/>
      <c r="C362" s="7"/>
      <c r="D362" s="7"/>
      <c r="E362" s="7"/>
      <c r="F362" s="9"/>
      <c r="G362" s="341"/>
      <c r="H362" s="7"/>
      <c r="I362" s="7"/>
      <c r="J362" s="7"/>
      <c r="K362" s="7"/>
      <c r="L362" s="26" t="str">
        <f t="shared" si="1"/>
        <v/>
      </c>
      <c r="M362" s="28" t="str">
        <f>IFERROR(__xludf.DUMMYFUNCTION("IF(Account!$F362&lt;&gt;"""", VALUE(REGEXREPLACE($I362, ""\,"", ""."")), """")"),"")</f>
        <v/>
      </c>
      <c r="N362" s="31" t="str">
        <f>IF(Account!$F362&lt;&gt;"", DATEVALUE(MID($A362,4,3) &amp; LEFT($A362,3) &amp; RIGHT($A362,4)) + TIMEVALUE($B362), "")</f>
        <v/>
      </c>
      <c r="O362" s="33" t="str">
        <f>IF(Account!$F362&lt;&gt;"", DATEVALUE(MID($A362,4,3) &amp; LEFT($A362,3) &amp; RIGHT($A362,4)), "")</f>
        <v/>
      </c>
      <c r="P362" s="34" t="str">
        <f>IFERROR(VLOOKUP($Q362,Selection!$F:$G,2,false))</f>
        <v/>
      </c>
      <c r="Q362" s="36" t="str">
        <f>IF(AND($X362="change",$H362="EUR"),IF(AND($Z362="Crédit",$N362=$N363),$Q363,IF(AND($Z362="Débit",$N362=$N361),$Q361)),IF(OR(AND(OR($E362&lt;&gt;"",$L362=""),$M362&lt;&gt;0),$A362=""),IFERROR(VLOOKUP($E362,Selection!$E:$F,2,false)),IFERROR(VLOOKUP(SUBSTITUTE($I362,"-","",1),$K363:$Q1119,7,false),VLOOKUP($K362,$K363:$Q1119,7,false))))</f>
        <v/>
      </c>
      <c r="R362" s="34" t="str">
        <f t="shared" si="2"/>
        <v/>
      </c>
      <c r="S362" s="37" t="str">
        <f t="shared" si="3"/>
        <v/>
      </c>
      <c r="T362" s="38" t="str">
        <f t="shared" si="4"/>
        <v/>
      </c>
      <c r="U362" s="28" t="str">
        <f t="shared" si="5"/>
        <v/>
      </c>
      <c r="V362" s="39" t="str">
        <f>IFERROR(__xludf.DUMMYFUNCTION(" IF(Account!$F362&lt;&gt;"""", SPLIT(Account!$F362, "" ""), """")"),"")</f>
        <v/>
      </c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</row>
    <row r="363">
      <c r="A363" s="7"/>
      <c r="B363" s="7"/>
      <c r="C363" s="7"/>
      <c r="D363" s="7"/>
      <c r="E363" s="7"/>
      <c r="F363" s="9"/>
      <c r="G363" s="341"/>
      <c r="H363" s="7"/>
      <c r="I363" s="7"/>
      <c r="J363" s="7"/>
      <c r="K363" s="7"/>
      <c r="L363" s="26" t="str">
        <f t="shared" si="1"/>
        <v/>
      </c>
      <c r="M363" s="28" t="str">
        <f>IFERROR(__xludf.DUMMYFUNCTION("IF(Account!$F363&lt;&gt;"""", VALUE(REGEXREPLACE($I363, ""\,"", ""."")), """")"),"")</f>
        <v/>
      </c>
      <c r="N363" s="31" t="str">
        <f>IF(Account!$F363&lt;&gt;"", DATEVALUE(MID($A363,4,3) &amp; LEFT($A363,3) &amp; RIGHT($A363,4)) + TIMEVALUE($B363), "")</f>
        <v/>
      </c>
      <c r="O363" s="33" t="str">
        <f>IF(Account!$F363&lt;&gt;"", DATEVALUE(MID($A363,4,3) &amp; LEFT($A363,3) &amp; RIGHT($A363,4)), "")</f>
        <v/>
      </c>
      <c r="P363" s="34" t="str">
        <f>IFERROR(VLOOKUP($Q363,Selection!$F:$G,2,false))</f>
        <v/>
      </c>
      <c r="Q363" s="36" t="str">
        <f>IF(AND($X363="change",$H363="EUR"),IF(AND($Z363="Crédit",$N363=$N364),$Q364,IF(AND($Z363="Débit",$N363=$N362),$Q362)),IF(OR(AND(OR($E363&lt;&gt;"",$L363=""),$M363&lt;&gt;0),$A363=""),IFERROR(VLOOKUP($E363,Selection!$E:$F,2,false)),IFERROR(VLOOKUP(SUBSTITUTE($I363,"-","",1),$K364:$Q1119,7,false),VLOOKUP($K363,$K364:$Q1119,7,false))))</f>
        <v/>
      </c>
      <c r="R363" s="34" t="str">
        <f t="shared" si="2"/>
        <v/>
      </c>
      <c r="S363" s="37" t="str">
        <f t="shared" si="3"/>
        <v/>
      </c>
      <c r="T363" s="38" t="str">
        <f t="shared" si="4"/>
        <v/>
      </c>
      <c r="U363" s="28" t="str">
        <f t="shared" si="5"/>
        <v/>
      </c>
      <c r="V363" s="39" t="str">
        <f>IFERROR(__xludf.DUMMYFUNCTION(" IF(Account!$F363&lt;&gt;"""", SPLIT(Account!$F363, "" ""), """")"),"")</f>
        <v/>
      </c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</row>
    <row r="364">
      <c r="A364" s="7"/>
      <c r="B364" s="7"/>
      <c r="C364" s="7"/>
      <c r="D364" s="7"/>
      <c r="E364" s="7"/>
      <c r="F364" s="9"/>
      <c r="G364" s="341"/>
      <c r="H364" s="7"/>
      <c r="I364" s="7"/>
      <c r="J364" s="7"/>
      <c r="K364" s="7"/>
      <c r="L364" s="26" t="str">
        <f t="shared" si="1"/>
        <v/>
      </c>
      <c r="M364" s="28" t="str">
        <f>IFERROR(__xludf.DUMMYFUNCTION("IF(Account!$F364&lt;&gt;"""", VALUE(REGEXREPLACE($I364, ""\,"", ""."")), """")"),"")</f>
        <v/>
      </c>
      <c r="N364" s="31" t="str">
        <f>IF(Account!$F364&lt;&gt;"", DATEVALUE(MID($A364,4,3) &amp; LEFT($A364,3) &amp; RIGHT($A364,4)) + TIMEVALUE($B364), "")</f>
        <v/>
      </c>
      <c r="O364" s="33" t="str">
        <f>IF(Account!$F364&lt;&gt;"", DATEVALUE(MID($A364,4,3) &amp; LEFT($A364,3) &amp; RIGHT($A364,4)), "")</f>
        <v/>
      </c>
      <c r="P364" s="34" t="str">
        <f>IFERROR(VLOOKUP($Q364,Selection!$F:$G,2,false))</f>
        <v/>
      </c>
      <c r="Q364" s="36" t="str">
        <f>IF(AND($X364="change",$H364="EUR"),IF(AND($Z364="Crédit",$N364=$N365),$Q365,IF(AND($Z364="Débit",$N364=$N363),$Q363)),IF(OR(AND(OR($E364&lt;&gt;"",$L364=""),$M364&lt;&gt;0),$A364=""),IFERROR(VLOOKUP($E364,Selection!$E:$F,2,false)),IFERROR(VLOOKUP(SUBSTITUTE($I364,"-","",1),$K365:$Q1119,7,false),VLOOKUP($K364,$K365:$Q1119,7,false))))</f>
        <v/>
      </c>
      <c r="R364" s="34" t="str">
        <f t="shared" si="2"/>
        <v/>
      </c>
      <c r="S364" s="37" t="str">
        <f t="shared" si="3"/>
        <v/>
      </c>
      <c r="T364" s="38" t="str">
        <f t="shared" si="4"/>
        <v/>
      </c>
      <c r="U364" s="28" t="str">
        <f t="shared" si="5"/>
        <v/>
      </c>
      <c r="V364" s="39" t="str">
        <f>IFERROR(__xludf.DUMMYFUNCTION(" IF(Account!$F364&lt;&gt;"""", SPLIT(Account!$F364, "" ""), """")"),"")</f>
        <v/>
      </c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</row>
    <row r="365">
      <c r="A365" s="7"/>
      <c r="B365" s="7"/>
      <c r="C365" s="7"/>
      <c r="D365" s="7"/>
      <c r="E365" s="7"/>
      <c r="F365" s="9"/>
      <c r="G365" s="341"/>
      <c r="H365" s="7"/>
      <c r="I365" s="7"/>
      <c r="J365" s="7"/>
      <c r="K365" s="7"/>
      <c r="L365" s="26" t="str">
        <f t="shared" si="1"/>
        <v/>
      </c>
      <c r="M365" s="28" t="str">
        <f>IFERROR(__xludf.DUMMYFUNCTION("IF(Account!$F365&lt;&gt;"""", VALUE(REGEXREPLACE($I365, ""\,"", ""."")), """")"),"")</f>
        <v/>
      </c>
      <c r="N365" s="31" t="str">
        <f>IF(Account!$F365&lt;&gt;"", DATEVALUE(MID($A365,4,3) &amp; LEFT($A365,3) &amp; RIGHT($A365,4)) + TIMEVALUE($B365), "")</f>
        <v/>
      </c>
      <c r="O365" s="33" t="str">
        <f>IF(Account!$F365&lt;&gt;"", DATEVALUE(MID($A365,4,3) &amp; LEFT($A365,3) &amp; RIGHT($A365,4)), "")</f>
        <v/>
      </c>
      <c r="P365" s="34" t="str">
        <f>IFERROR(VLOOKUP($Q365,Selection!$F:$G,2,false))</f>
        <v/>
      </c>
      <c r="Q365" s="36" t="str">
        <f>IF(AND($X365="change",$H365="EUR"),IF(AND($Z365="Crédit",$N365=$N366),$Q366,IF(AND($Z365="Débit",$N365=$N364),$Q364)),IF(OR(AND(OR($E365&lt;&gt;"",$L365=""),$M365&lt;&gt;0),$A365=""),IFERROR(VLOOKUP($E365,Selection!$E:$F,2,false)),IFERROR(VLOOKUP(SUBSTITUTE($I365,"-","",1),$K366:$Q1119,7,false),VLOOKUP($K365,$K366:$Q1119,7,false))))</f>
        <v/>
      </c>
      <c r="R365" s="34" t="str">
        <f t="shared" si="2"/>
        <v/>
      </c>
      <c r="S365" s="37" t="str">
        <f t="shared" si="3"/>
        <v/>
      </c>
      <c r="T365" s="38" t="str">
        <f t="shared" si="4"/>
        <v/>
      </c>
      <c r="U365" s="28" t="str">
        <f t="shared" si="5"/>
        <v/>
      </c>
      <c r="V365" s="39" t="str">
        <f>IFERROR(__xludf.DUMMYFUNCTION(" IF(Account!$F365&lt;&gt;"""", SPLIT(Account!$F365, "" ""), """")"),"")</f>
        <v/>
      </c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</row>
    <row r="366">
      <c r="A366" s="7"/>
      <c r="B366" s="7"/>
      <c r="C366" s="7"/>
      <c r="D366" s="7"/>
      <c r="E366" s="7"/>
      <c r="F366" s="9"/>
      <c r="G366" s="341"/>
      <c r="H366" s="7"/>
      <c r="I366" s="7"/>
      <c r="J366" s="7"/>
      <c r="K366" s="7"/>
      <c r="L366" s="26" t="str">
        <f t="shared" si="1"/>
        <v/>
      </c>
      <c r="M366" s="28" t="str">
        <f>IFERROR(__xludf.DUMMYFUNCTION("IF(Account!$F366&lt;&gt;"""", VALUE(REGEXREPLACE($I366, ""\,"", ""."")), """")"),"")</f>
        <v/>
      </c>
      <c r="N366" s="31" t="str">
        <f>IF(Account!$F366&lt;&gt;"", DATEVALUE(MID($A366,4,3) &amp; LEFT($A366,3) &amp; RIGHT($A366,4)) + TIMEVALUE($B366), "")</f>
        <v/>
      </c>
      <c r="O366" s="33" t="str">
        <f>IF(Account!$F366&lt;&gt;"", DATEVALUE(MID($A366,4,3) &amp; LEFT($A366,3) &amp; RIGHT($A366,4)), "")</f>
        <v/>
      </c>
      <c r="P366" s="34" t="str">
        <f>IFERROR(VLOOKUP($Q366,Selection!$F:$G,2,false))</f>
        <v/>
      </c>
      <c r="Q366" s="36" t="str">
        <f>IF(AND($X366="change",$H366="EUR"),IF(AND($Z366="Crédit",$N366=$N367),$Q367,IF(AND($Z366="Débit",$N366=$N365),$Q365)),IF(OR(AND(OR($E366&lt;&gt;"",$L366=""),$M366&lt;&gt;0),$A366=""),IFERROR(VLOOKUP($E366,Selection!$E:$F,2,false)),IFERROR(VLOOKUP(SUBSTITUTE($I366,"-","",1),$K367:$Q1119,7,false),VLOOKUP($K366,$K367:$Q1119,7,false))))</f>
        <v/>
      </c>
      <c r="R366" s="34" t="str">
        <f t="shared" si="2"/>
        <v/>
      </c>
      <c r="S366" s="37" t="str">
        <f t="shared" si="3"/>
        <v/>
      </c>
      <c r="T366" s="38" t="str">
        <f t="shared" si="4"/>
        <v/>
      </c>
      <c r="U366" s="28" t="str">
        <f t="shared" si="5"/>
        <v/>
      </c>
      <c r="V366" s="39" t="str">
        <f>IFERROR(__xludf.DUMMYFUNCTION(" IF(Account!$F366&lt;&gt;"""", SPLIT(Account!$F366, "" ""), """")"),"")</f>
        <v/>
      </c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</row>
    <row r="367">
      <c r="A367" s="7"/>
      <c r="B367" s="7"/>
      <c r="C367" s="7"/>
      <c r="D367" s="7"/>
      <c r="E367" s="7"/>
      <c r="F367" s="9"/>
      <c r="G367" s="341"/>
      <c r="H367" s="7"/>
      <c r="I367" s="7"/>
      <c r="J367" s="7"/>
      <c r="K367" s="7"/>
      <c r="L367" s="26" t="str">
        <f t="shared" si="1"/>
        <v/>
      </c>
      <c r="M367" s="28" t="str">
        <f>IFERROR(__xludf.DUMMYFUNCTION("IF(Account!$F367&lt;&gt;"""", VALUE(REGEXREPLACE($I367, ""\,"", ""."")), """")"),"")</f>
        <v/>
      </c>
      <c r="N367" s="31" t="str">
        <f>IF(Account!$F367&lt;&gt;"", DATEVALUE(MID($A367,4,3) &amp; LEFT($A367,3) &amp; RIGHT($A367,4)) + TIMEVALUE($B367), "")</f>
        <v/>
      </c>
      <c r="O367" s="33" t="str">
        <f>IF(Account!$F367&lt;&gt;"", DATEVALUE(MID($A367,4,3) &amp; LEFT($A367,3) &amp; RIGHT($A367,4)), "")</f>
        <v/>
      </c>
      <c r="P367" s="34" t="str">
        <f>IFERROR(VLOOKUP($Q367,Selection!$F:$G,2,false))</f>
        <v/>
      </c>
      <c r="Q367" s="36" t="str">
        <f>IF(AND($X367="change",$H367="EUR"),IF(AND($Z367="Crédit",$N367=$N368),$Q368,IF(AND($Z367="Débit",$N367=$N366),$Q366)),IF(OR(AND(OR($E367&lt;&gt;"",$L367=""),$M367&lt;&gt;0),$A367=""),IFERROR(VLOOKUP($E367,Selection!$E:$F,2,false)),IFERROR(VLOOKUP(SUBSTITUTE($I367,"-","",1),$K368:$Q1119,7,false),VLOOKUP($K367,$K368:$Q1119,7,false))))</f>
        <v/>
      </c>
      <c r="R367" s="34" t="str">
        <f t="shared" si="2"/>
        <v/>
      </c>
      <c r="S367" s="37" t="str">
        <f t="shared" si="3"/>
        <v/>
      </c>
      <c r="T367" s="38" t="str">
        <f t="shared" si="4"/>
        <v/>
      </c>
      <c r="U367" s="28" t="str">
        <f t="shared" si="5"/>
        <v/>
      </c>
      <c r="V367" s="39" t="str">
        <f>IFERROR(__xludf.DUMMYFUNCTION(" IF(Account!$F367&lt;&gt;"""", SPLIT(Account!$F367, "" ""), """")"),"")</f>
        <v/>
      </c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</row>
    <row r="368">
      <c r="A368" s="7"/>
      <c r="B368" s="7"/>
      <c r="C368" s="7"/>
      <c r="D368" s="7"/>
      <c r="E368" s="7"/>
      <c r="F368" s="9"/>
      <c r="G368" s="7"/>
      <c r="H368" s="7"/>
      <c r="I368" s="7"/>
      <c r="J368" s="7"/>
      <c r="K368" s="7"/>
      <c r="L368" s="26" t="str">
        <f t="shared" si="1"/>
        <v/>
      </c>
      <c r="M368" s="28" t="str">
        <f>IFERROR(__xludf.DUMMYFUNCTION("IF(Account!$F368&lt;&gt;"""", VALUE(REGEXREPLACE($I368, ""\,"", ""."")), """")"),"")</f>
        <v/>
      </c>
      <c r="N368" s="31" t="str">
        <f>IF(Account!$F368&lt;&gt;"", DATEVALUE(MID($A368,4,3) &amp; LEFT($A368,3) &amp; RIGHT($A368,4)) + TIMEVALUE($B368), "")</f>
        <v/>
      </c>
      <c r="O368" s="33" t="str">
        <f>IF(Account!$F368&lt;&gt;"", DATEVALUE(MID($A368,4,3) &amp; LEFT($A368,3) &amp; RIGHT($A368,4)), "")</f>
        <v/>
      </c>
      <c r="P368" s="34" t="str">
        <f>IFERROR(VLOOKUP($Q368,Selection!$F:$G,2,false))</f>
        <v/>
      </c>
      <c r="Q368" s="36" t="str">
        <f>IF(AND($X368="change",$H368="EUR"),IF(AND($Z368="Crédit",$N368=$N369),$Q369,IF(AND($Z368="Débit",$N368=$N367),$Q367)),IF(OR(AND(OR($E368&lt;&gt;"",$L368=""),$M368&lt;&gt;0),$A368=""),IFERROR(VLOOKUP($E368,Selection!$E:$F,2,false)),IFERROR(VLOOKUP(SUBSTITUTE($I368,"-","",1),$K369:$Q1119,7,false),VLOOKUP($K368,$K369:$Q1119,7,false))))</f>
        <v/>
      </c>
      <c r="R368" s="34" t="str">
        <f t="shared" si="2"/>
        <v/>
      </c>
      <c r="S368" s="37" t="str">
        <f t="shared" si="3"/>
        <v/>
      </c>
      <c r="T368" s="38" t="str">
        <f t="shared" si="4"/>
        <v/>
      </c>
      <c r="U368" s="28" t="str">
        <f t="shared" si="5"/>
        <v/>
      </c>
      <c r="V368" s="39" t="str">
        <f>IFERROR(__xludf.DUMMYFUNCTION(" IF(Account!$F368&lt;&gt;"""", SPLIT(Account!$F368, "" ""), """")"),"")</f>
        <v/>
      </c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</row>
    <row r="369">
      <c r="A369" s="7"/>
      <c r="B369" s="7"/>
      <c r="C369" s="7"/>
      <c r="D369" s="7"/>
      <c r="E369" s="7"/>
      <c r="F369" s="9"/>
      <c r="G369" s="341"/>
      <c r="H369" s="7"/>
      <c r="I369" s="7"/>
      <c r="J369" s="7"/>
      <c r="K369" s="7"/>
      <c r="L369" s="26" t="str">
        <f t="shared" si="1"/>
        <v/>
      </c>
      <c r="M369" s="28" t="str">
        <f>IFERROR(__xludf.DUMMYFUNCTION("IF(Account!$F369&lt;&gt;"""", VALUE(REGEXREPLACE($I369, ""\,"", ""."")), """")"),"")</f>
        <v/>
      </c>
      <c r="N369" s="31" t="str">
        <f>IF(Account!$F369&lt;&gt;"", DATEVALUE(MID($A369,4,3) &amp; LEFT($A369,3) &amp; RIGHT($A369,4)) + TIMEVALUE($B369), "")</f>
        <v/>
      </c>
      <c r="O369" s="33" t="str">
        <f>IF(Account!$F369&lt;&gt;"", DATEVALUE(MID($A369,4,3) &amp; LEFT($A369,3) &amp; RIGHT($A369,4)), "")</f>
        <v/>
      </c>
      <c r="P369" s="34" t="str">
        <f>IFERROR(VLOOKUP($Q369,Selection!$F:$G,2,false))</f>
        <v/>
      </c>
      <c r="Q369" s="36" t="str">
        <f>IF(AND($X369="change",$H369="EUR"),IF(AND($Z369="Crédit",$N369=$N370),$Q370,IF(AND($Z369="Débit",$N369=$N368),$Q368)),IF(OR(AND(OR($E369&lt;&gt;"",$L369=""),$M369&lt;&gt;0),$A369=""),IFERROR(VLOOKUP($E369,Selection!$E:$F,2,false)),IFERROR(VLOOKUP(SUBSTITUTE($I369,"-","",1),$K370:$Q1119,7,false),VLOOKUP($K369,$K370:$Q1119,7,false))))</f>
        <v/>
      </c>
      <c r="R369" s="34" t="str">
        <f t="shared" si="2"/>
        <v/>
      </c>
      <c r="S369" s="37" t="str">
        <f t="shared" si="3"/>
        <v/>
      </c>
      <c r="T369" s="38" t="str">
        <f t="shared" si="4"/>
        <v/>
      </c>
      <c r="U369" s="28" t="str">
        <f t="shared" si="5"/>
        <v/>
      </c>
      <c r="V369" s="39" t="str">
        <f>IFERROR(__xludf.DUMMYFUNCTION(" IF(Account!$F369&lt;&gt;"""", SPLIT(Account!$F369, "" ""), """")"),"")</f>
        <v/>
      </c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</row>
    <row r="370">
      <c r="A370" s="7"/>
      <c r="B370" s="7"/>
      <c r="C370" s="7"/>
      <c r="D370" s="7"/>
      <c r="E370" s="7"/>
      <c r="F370" s="9"/>
      <c r="G370" s="7"/>
      <c r="H370" s="7"/>
      <c r="I370" s="7"/>
      <c r="J370" s="7"/>
      <c r="K370" s="7"/>
      <c r="L370" s="26" t="str">
        <f t="shared" si="1"/>
        <v/>
      </c>
      <c r="M370" s="28" t="str">
        <f>IFERROR(__xludf.DUMMYFUNCTION("IF(Account!$F370&lt;&gt;"""", VALUE(REGEXREPLACE($I370, ""\,"", ""."")), """")"),"")</f>
        <v/>
      </c>
      <c r="N370" s="31" t="str">
        <f>IF(Account!$F370&lt;&gt;"", DATEVALUE(MID($A370,4,3) &amp; LEFT($A370,3) &amp; RIGHT($A370,4)) + TIMEVALUE($B370), "")</f>
        <v/>
      </c>
      <c r="O370" s="33" t="str">
        <f>IF(Account!$F370&lt;&gt;"", DATEVALUE(MID($A370,4,3) &amp; LEFT($A370,3) &amp; RIGHT($A370,4)), "")</f>
        <v/>
      </c>
      <c r="P370" s="34" t="str">
        <f>IFERROR(VLOOKUP($Q370,Selection!$F:$G,2,false))</f>
        <v/>
      </c>
      <c r="Q370" s="36" t="str">
        <f>IF(AND($X370="change",$H370="EUR"),IF(AND($Z370="Crédit",$N370=$N371),$Q371,IF(AND($Z370="Débit",$N370=$N369),$Q369)),IF(OR(AND(OR($E370&lt;&gt;"",$L370=""),$M370&lt;&gt;0),$A370=""),IFERROR(VLOOKUP($E370,Selection!$E:$F,2,false)),IFERROR(VLOOKUP(SUBSTITUTE($I370,"-","",1),$K371:$Q1119,7,false),VLOOKUP($K370,$K371:$Q1119,7,false))))</f>
        <v/>
      </c>
      <c r="R370" s="34" t="str">
        <f t="shared" si="2"/>
        <v/>
      </c>
      <c r="S370" s="37" t="str">
        <f t="shared" si="3"/>
        <v/>
      </c>
      <c r="T370" s="38" t="str">
        <f t="shared" si="4"/>
        <v/>
      </c>
      <c r="U370" s="28" t="str">
        <f t="shared" si="5"/>
        <v/>
      </c>
      <c r="V370" s="39" t="str">
        <f>IFERROR(__xludf.DUMMYFUNCTION(" IF(Account!$F370&lt;&gt;"""", SPLIT(Account!$F370, "" ""), """")"),"")</f>
        <v/>
      </c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</row>
    <row r="371">
      <c r="A371" s="7"/>
      <c r="B371" s="7"/>
      <c r="C371" s="7"/>
      <c r="D371" s="7"/>
      <c r="E371" s="7"/>
      <c r="F371" s="9"/>
      <c r="G371" s="341"/>
      <c r="H371" s="7"/>
      <c r="I371" s="7"/>
      <c r="J371" s="7"/>
      <c r="K371" s="7"/>
      <c r="L371" s="26" t="str">
        <f t="shared" si="1"/>
        <v/>
      </c>
      <c r="M371" s="28" t="str">
        <f>IFERROR(__xludf.DUMMYFUNCTION("IF(Account!$F371&lt;&gt;"""", VALUE(REGEXREPLACE($I371, ""\,"", ""."")), """")"),"")</f>
        <v/>
      </c>
      <c r="N371" s="31" t="str">
        <f>IF(Account!$F371&lt;&gt;"", DATEVALUE(MID($A371,4,3) &amp; LEFT($A371,3) &amp; RIGHT($A371,4)) + TIMEVALUE($B371), "")</f>
        <v/>
      </c>
      <c r="O371" s="33" t="str">
        <f>IF(Account!$F371&lt;&gt;"", DATEVALUE(MID($A371,4,3) &amp; LEFT($A371,3) &amp; RIGHT($A371,4)), "")</f>
        <v/>
      </c>
      <c r="P371" s="34" t="str">
        <f>IFERROR(VLOOKUP($Q371,Selection!$F:$G,2,false))</f>
        <v/>
      </c>
      <c r="Q371" s="36" t="str">
        <f>IF(AND($X371="change",$H371="EUR"),IF(AND($Z371="Crédit",$N371=$N372),$Q372,IF(AND($Z371="Débit",$N371=$N370),$Q370)),IF(OR(AND(OR($E371&lt;&gt;"",$L371=""),$M371&lt;&gt;0),$A371=""),IFERROR(VLOOKUP($E371,Selection!$E:$F,2,false)),IFERROR(VLOOKUP(SUBSTITUTE($I371,"-","",1),$K372:$Q1119,7,false),VLOOKUP($K371,$K372:$Q1119,7,false))))</f>
        <v/>
      </c>
      <c r="R371" s="34" t="str">
        <f t="shared" si="2"/>
        <v/>
      </c>
      <c r="S371" s="37" t="str">
        <f t="shared" si="3"/>
        <v/>
      </c>
      <c r="T371" s="38" t="str">
        <f t="shared" si="4"/>
        <v/>
      </c>
      <c r="U371" s="28" t="str">
        <f t="shared" si="5"/>
        <v/>
      </c>
      <c r="V371" s="39" t="str">
        <f>IFERROR(__xludf.DUMMYFUNCTION(" IF(Account!$F371&lt;&gt;"""", SPLIT(Account!$F371, "" ""), """")"),"")</f>
        <v/>
      </c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</row>
    <row r="372">
      <c r="A372" s="7"/>
      <c r="B372" s="7"/>
      <c r="C372" s="7"/>
      <c r="D372" s="7"/>
      <c r="E372" s="7"/>
      <c r="F372" s="9"/>
      <c r="G372" s="7"/>
      <c r="H372" s="7"/>
      <c r="I372" s="7"/>
      <c r="J372" s="7"/>
      <c r="K372" s="7"/>
      <c r="L372" s="26" t="str">
        <f t="shared" si="1"/>
        <v/>
      </c>
      <c r="M372" s="28" t="str">
        <f>IFERROR(__xludf.DUMMYFUNCTION("IF(Account!$F372&lt;&gt;"""", VALUE(REGEXREPLACE($I372, ""\,"", ""."")), """")"),"")</f>
        <v/>
      </c>
      <c r="N372" s="31" t="str">
        <f>IF(Account!$F372&lt;&gt;"", DATEVALUE(MID($A372,4,3) &amp; LEFT($A372,3) &amp; RIGHT($A372,4)) + TIMEVALUE($B372), "")</f>
        <v/>
      </c>
      <c r="O372" s="33" t="str">
        <f>IF(Account!$F372&lt;&gt;"", DATEVALUE(MID($A372,4,3) &amp; LEFT($A372,3) &amp; RIGHT($A372,4)), "")</f>
        <v/>
      </c>
      <c r="P372" s="34" t="str">
        <f>IFERROR(VLOOKUP($Q372,Selection!$F:$G,2,false))</f>
        <v/>
      </c>
      <c r="Q372" s="36" t="str">
        <f>IF(AND($X372="change",$H372="EUR"),IF(AND($Z372="Crédit",$N372=$N373),$Q373,IF(AND($Z372="Débit",$N372=$N371),$Q371)),IF(OR(AND(OR($E372&lt;&gt;"",$L372=""),$M372&lt;&gt;0),$A372=""),IFERROR(VLOOKUP($E372,Selection!$E:$F,2,false)),IFERROR(VLOOKUP(SUBSTITUTE($I372,"-","",1),$K373:$Q1119,7,false),VLOOKUP($K372,$K373:$Q1119,7,false))))</f>
        <v/>
      </c>
      <c r="R372" s="34" t="str">
        <f t="shared" si="2"/>
        <v/>
      </c>
      <c r="S372" s="37" t="str">
        <f t="shared" si="3"/>
        <v/>
      </c>
      <c r="T372" s="38" t="str">
        <f t="shared" si="4"/>
        <v/>
      </c>
      <c r="U372" s="28" t="str">
        <f t="shared" si="5"/>
        <v/>
      </c>
      <c r="V372" s="39" t="str">
        <f>IFERROR(__xludf.DUMMYFUNCTION(" IF(Account!$F372&lt;&gt;"""", SPLIT(Account!$F372, "" ""), """")"),"")</f>
        <v/>
      </c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</row>
    <row r="373">
      <c r="A373" s="7"/>
      <c r="B373" s="7"/>
      <c r="C373" s="7"/>
      <c r="D373" s="7"/>
      <c r="E373" s="7"/>
      <c r="F373" s="9"/>
      <c r="G373" s="341"/>
      <c r="H373" s="7"/>
      <c r="I373" s="7"/>
      <c r="J373" s="7"/>
      <c r="K373" s="7"/>
      <c r="L373" s="26" t="str">
        <f t="shared" si="1"/>
        <v/>
      </c>
      <c r="M373" s="28" t="str">
        <f>IFERROR(__xludf.DUMMYFUNCTION("IF(Account!$F373&lt;&gt;"""", VALUE(REGEXREPLACE($I373, ""\,"", ""."")), """")"),"")</f>
        <v/>
      </c>
      <c r="N373" s="31" t="str">
        <f>IF(Account!$F373&lt;&gt;"", DATEVALUE(MID($A373,4,3) &amp; LEFT($A373,3) &amp; RIGHT($A373,4)) + TIMEVALUE($B373), "")</f>
        <v/>
      </c>
      <c r="O373" s="33" t="str">
        <f>IF(Account!$F373&lt;&gt;"", DATEVALUE(MID($A373,4,3) &amp; LEFT($A373,3) &amp; RIGHT($A373,4)), "")</f>
        <v/>
      </c>
      <c r="P373" s="34" t="str">
        <f>IFERROR(VLOOKUP($Q373,Selection!$F:$G,2,false))</f>
        <v/>
      </c>
      <c r="Q373" s="36" t="str">
        <f>IF(AND($X373="change",$H373="EUR"),IF(AND($Z373="Crédit",$N373=$N374),$Q374,IF(AND($Z373="Débit",$N373=$N372),$Q372)),IF(OR(AND(OR($E373&lt;&gt;"",$L373=""),$M373&lt;&gt;0),$A373=""),IFERROR(VLOOKUP($E373,Selection!$E:$F,2,false)),IFERROR(VLOOKUP(SUBSTITUTE($I373,"-","",1),$K374:$Q1119,7,false),VLOOKUP($K373,$K374:$Q1119,7,false))))</f>
        <v/>
      </c>
      <c r="R373" s="34" t="str">
        <f t="shared" si="2"/>
        <v/>
      </c>
      <c r="S373" s="37" t="str">
        <f t="shared" si="3"/>
        <v/>
      </c>
      <c r="T373" s="38" t="str">
        <f t="shared" si="4"/>
        <v/>
      </c>
      <c r="U373" s="28" t="str">
        <f t="shared" si="5"/>
        <v/>
      </c>
      <c r="V373" s="39" t="str">
        <f>IFERROR(__xludf.DUMMYFUNCTION(" IF(Account!$F373&lt;&gt;"""", SPLIT(Account!$F373, "" ""), """")"),"")</f>
        <v/>
      </c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</row>
    <row r="374">
      <c r="A374" s="7"/>
      <c r="B374" s="7"/>
      <c r="C374" s="7"/>
      <c r="D374" s="7"/>
      <c r="E374" s="7"/>
      <c r="F374" s="9"/>
      <c r="G374" s="7"/>
      <c r="H374" s="7"/>
      <c r="I374" s="7"/>
      <c r="J374" s="7"/>
      <c r="K374" s="7"/>
      <c r="L374" s="26" t="str">
        <f t="shared" si="1"/>
        <v/>
      </c>
      <c r="M374" s="28" t="str">
        <f>IFERROR(__xludf.DUMMYFUNCTION("IF(Account!$F374&lt;&gt;"""", VALUE(REGEXREPLACE($I374, ""\,"", ""."")), """")"),"")</f>
        <v/>
      </c>
      <c r="N374" s="31" t="str">
        <f>IF(Account!$F374&lt;&gt;"", DATEVALUE(MID($A374,4,3) &amp; LEFT($A374,3) &amp; RIGHT($A374,4)) + TIMEVALUE($B374), "")</f>
        <v/>
      </c>
      <c r="O374" s="33" t="str">
        <f>IF(Account!$F374&lt;&gt;"", DATEVALUE(MID($A374,4,3) &amp; LEFT($A374,3) &amp; RIGHT($A374,4)), "")</f>
        <v/>
      </c>
      <c r="P374" s="34" t="str">
        <f>IFERROR(VLOOKUP($Q374,Selection!$F:$G,2,false))</f>
        <v/>
      </c>
      <c r="Q374" s="36" t="str">
        <f>IF(AND($X374="change",$H374="EUR"),IF(AND($Z374="Crédit",$N374=$N375),$Q375,IF(AND($Z374="Débit",$N374=$N373),$Q373)),IF(OR(AND(OR($E374&lt;&gt;"",$L374=""),$M374&lt;&gt;0),$A374=""),IFERROR(VLOOKUP($E374,Selection!$E:$F,2,false)),IFERROR(VLOOKUP(SUBSTITUTE($I374,"-","",1),$K375:$Q1119,7,false),VLOOKUP($K374,$K375:$Q1119,7,false))))</f>
        <v/>
      </c>
      <c r="R374" s="34" t="str">
        <f t="shared" si="2"/>
        <v/>
      </c>
      <c r="S374" s="37" t="str">
        <f t="shared" si="3"/>
        <v/>
      </c>
      <c r="T374" s="38" t="str">
        <f t="shared" si="4"/>
        <v/>
      </c>
      <c r="U374" s="28" t="str">
        <f t="shared" si="5"/>
        <v/>
      </c>
      <c r="V374" s="39" t="str">
        <f>IFERROR(__xludf.DUMMYFUNCTION(" IF(Account!$F374&lt;&gt;"""", SPLIT(Account!$F374, "" ""), """")"),"")</f>
        <v/>
      </c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</row>
    <row r="375">
      <c r="A375" s="7"/>
      <c r="B375" s="7"/>
      <c r="C375" s="7"/>
      <c r="D375" s="7"/>
      <c r="E375" s="7"/>
      <c r="F375" s="9"/>
      <c r="G375" s="341"/>
      <c r="H375" s="7"/>
      <c r="I375" s="7"/>
      <c r="J375" s="7"/>
      <c r="K375" s="7"/>
      <c r="L375" s="26" t="str">
        <f t="shared" si="1"/>
        <v/>
      </c>
      <c r="M375" s="28" t="str">
        <f>IFERROR(__xludf.DUMMYFUNCTION("IF(Account!$F375&lt;&gt;"""", VALUE(REGEXREPLACE($I375, ""\,"", ""."")), """")"),"")</f>
        <v/>
      </c>
      <c r="N375" s="31" t="str">
        <f>IF(Account!$F375&lt;&gt;"", DATEVALUE(MID($A375,4,3) &amp; LEFT($A375,3) &amp; RIGHT($A375,4)) + TIMEVALUE($B375), "")</f>
        <v/>
      </c>
      <c r="O375" s="33" t="str">
        <f>IF(Account!$F375&lt;&gt;"", DATEVALUE(MID($A375,4,3) &amp; LEFT($A375,3) &amp; RIGHT($A375,4)), "")</f>
        <v/>
      </c>
      <c r="P375" s="34" t="str">
        <f>IFERROR(VLOOKUP($Q375,Selection!$F:$G,2,false))</f>
        <v/>
      </c>
      <c r="Q375" s="36" t="str">
        <f>IF(AND($X375="change",$H375="EUR"),IF(AND($Z375="Crédit",$N375=$N376),$Q376,IF(AND($Z375="Débit",$N375=$N374),$Q374)),IF(OR(AND(OR($E375&lt;&gt;"",$L375=""),$M375&lt;&gt;0),$A375=""),IFERROR(VLOOKUP($E375,Selection!$E:$F,2,false)),IFERROR(VLOOKUP(SUBSTITUTE($I375,"-","",1),$K376:$Q1119,7,false),VLOOKUP($K375,$K376:$Q1119,7,false))))</f>
        <v/>
      </c>
      <c r="R375" s="34" t="str">
        <f t="shared" si="2"/>
        <v/>
      </c>
      <c r="S375" s="37" t="str">
        <f t="shared" si="3"/>
        <v/>
      </c>
      <c r="T375" s="38" t="str">
        <f t="shared" si="4"/>
        <v/>
      </c>
      <c r="U375" s="28" t="str">
        <f t="shared" si="5"/>
        <v/>
      </c>
      <c r="V375" s="39" t="str">
        <f>IFERROR(__xludf.DUMMYFUNCTION(" IF(Account!$F375&lt;&gt;"""", SPLIT(Account!$F375, "" ""), """")"),"")</f>
        <v/>
      </c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</row>
    <row r="376">
      <c r="A376" s="7"/>
      <c r="B376" s="7"/>
      <c r="C376" s="7"/>
      <c r="D376" s="7"/>
      <c r="E376" s="7"/>
      <c r="F376" s="9"/>
      <c r="G376" s="7"/>
      <c r="H376" s="7"/>
      <c r="I376" s="7"/>
      <c r="J376" s="7"/>
      <c r="K376" s="7"/>
      <c r="L376" s="26" t="str">
        <f t="shared" si="1"/>
        <v/>
      </c>
      <c r="M376" s="28" t="str">
        <f>IFERROR(__xludf.DUMMYFUNCTION("IF(Account!$F376&lt;&gt;"""", VALUE(REGEXREPLACE($I376, ""\,"", ""."")), """")"),"")</f>
        <v/>
      </c>
      <c r="N376" s="31" t="str">
        <f>IF(Account!$F376&lt;&gt;"", DATEVALUE(MID($A376,4,3) &amp; LEFT($A376,3) &amp; RIGHT($A376,4)) + TIMEVALUE($B376), "")</f>
        <v/>
      </c>
      <c r="O376" s="33" t="str">
        <f>IF(Account!$F376&lt;&gt;"", DATEVALUE(MID($A376,4,3) &amp; LEFT($A376,3) &amp; RIGHT($A376,4)), "")</f>
        <v/>
      </c>
      <c r="P376" s="34" t="str">
        <f>IFERROR(VLOOKUP($Q376,Selection!$F:$G,2,false))</f>
        <v/>
      </c>
      <c r="Q376" s="36" t="str">
        <f>IF(AND($X376="change",$H376="EUR"),IF(AND($Z376="Crédit",$N376=$N377),$Q377,IF(AND($Z376="Débit",$N376=$N375),$Q375)),IF(OR(AND(OR($E376&lt;&gt;"",$L376=""),$M376&lt;&gt;0),$A376=""),IFERROR(VLOOKUP($E376,Selection!$E:$F,2,false)),IFERROR(VLOOKUP(SUBSTITUTE($I376,"-","",1),$K377:$Q1119,7,false),VLOOKUP($K376,$K377:$Q1119,7,false))))</f>
        <v/>
      </c>
      <c r="R376" s="34" t="str">
        <f t="shared" si="2"/>
        <v/>
      </c>
      <c r="S376" s="37" t="str">
        <f t="shared" si="3"/>
        <v/>
      </c>
      <c r="T376" s="38" t="str">
        <f t="shared" si="4"/>
        <v/>
      </c>
      <c r="U376" s="28" t="str">
        <f t="shared" si="5"/>
        <v/>
      </c>
      <c r="V376" s="39" t="str">
        <f>IFERROR(__xludf.DUMMYFUNCTION(" IF(Account!$F376&lt;&gt;"""", SPLIT(Account!$F376, "" ""), """")"),"")</f>
        <v/>
      </c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</row>
    <row r="377">
      <c r="A377" s="7"/>
      <c r="B377" s="7"/>
      <c r="C377" s="7"/>
      <c r="D377" s="7"/>
      <c r="E377" s="7"/>
      <c r="F377" s="9"/>
      <c r="G377" s="341"/>
      <c r="H377" s="7"/>
      <c r="I377" s="7"/>
      <c r="J377" s="7"/>
      <c r="K377" s="7"/>
      <c r="L377" s="26" t="str">
        <f t="shared" si="1"/>
        <v/>
      </c>
      <c r="M377" s="28" t="str">
        <f>IFERROR(__xludf.DUMMYFUNCTION("IF(Account!$F377&lt;&gt;"""", VALUE(REGEXREPLACE($I377, ""\,"", ""."")), """")"),"")</f>
        <v/>
      </c>
      <c r="N377" s="31" t="str">
        <f>IF(Account!$F377&lt;&gt;"", DATEVALUE(MID($A377,4,3) &amp; LEFT($A377,3) &amp; RIGHT($A377,4)) + TIMEVALUE($B377), "")</f>
        <v/>
      </c>
      <c r="O377" s="33" t="str">
        <f>IF(Account!$F377&lt;&gt;"", DATEVALUE(MID($A377,4,3) &amp; LEFT($A377,3) &amp; RIGHT($A377,4)), "")</f>
        <v/>
      </c>
      <c r="P377" s="34" t="str">
        <f>IFERROR(VLOOKUP($Q377,Selection!$F:$G,2,false))</f>
        <v/>
      </c>
      <c r="Q377" s="36" t="str">
        <f>IF(AND($X377="change",$H377="EUR"),IF(AND($Z377="Crédit",$N377=$N378),$Q378,IF(AND($Z377="Débit",$N377=$N376),$Q376)),IF(OR(AND(OR($E377&lt;&gt;"",$L377=""),$M377&lt;&gt;0),$A377=""),IFERROR(VLOOKUP($E377,Selection!$E:$F,2,false)),IFERROR(VLOOKUP(SUBSTITUTE($I377,"-","",1),$K378:$Q1119,7,false),VLOOKUP($K377,$K378:$Q1119,7,false))))</f>
        <v/>
      </c>
      <c r="R377" s="34" t="str">
        <f t="shared" si="2"/>
        <v/>
      </c>
      <c r="S377" s="37" t="str">
        <f t="shared" si="3"/>
        <v/>
      </c>
      <c r="T377" s="38" t="str">
        <f t="shared" si="4"/>
        <v/>
      </c>
      <c r="U377" s="28" t="str">
        <f t="shared" si="5"/>
        <v/>
      </c>
      <c r="V377" s="39" t="str">
        <f>IFERROR(__xludf.DUMMYFUNCTION(" IF(Account!$F377&lt;&gt;"""", SPLIT(Account!$F377, "" ""), """")"),"")</f>
        <v/>
      </c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</row>
    <row r="378">
      <c r="A378" s="7"/>
      <c r="B378" s="7"/>
      <c r="C378" s="7"/>
      <c r="D378" s="7"/>
      <c r="E378" s="7"/>
      <c r="F378" s="9"/>
      <c r="G378" s="7"/>
      <c r="H378" s="7"/>
      <c r="I378" s="7"/>
      <c r="J378" s="7"/>
      <c r="K378" s="7"/>
      <c r="L378" s="26" t="str">
        <f t="shared" si="1"/>
        <v/>
      </c>
      <c r="M378" s="28" t="str">
        <f>IFERROR(__xludf.DUMMYFUNCTION("IF(Account!$F378&lt;&gt;"""", VALUE(REGEXREPLACE($I378, ""\,"", ""."")), """")"),"")</f>
        <v/>
      </c>
      <c r="N378" s="31" t="str">
        <f>IF(Account!$F378&lt;&gt;"", DATEVALUE(MID($A378,4,3) &amp; LEFT($A378,3) &amp; RIGHT($A378,4)) + TIMEVALUE($B378), "")</f>
        <v/>
      </c>
      <c r="O378" s="33" t="str">
        <f>IF(Account!$F378&lt;&gt;"", DATEVALUE(MID($A378,4,3) &amp; LEFT($A378,3) &amp; RIGHT($A378,4)), "")</f>
        <v/>
      </c>
      <c r="P378" s="34" t="str">
        <f>IFERROR(VLOOKUP($Q378,Selection!$F:$G,2,false))</f>
        <v/>
      </c>
      <c r="Q378" s="36" t="str">
        <f>IF(AND($X378="change",$H378="EUR"),IF(AND($Z378="Crédit",$N378=$N379),$Q379,IF(AND($Z378="Débit",$N378=$N377),$Q377)),IF(OR(AND(OR($E378&lt;&gt;"",$L378=""),$M378&lt;&gt;0),$A378=""),IFERROR(VLOOKUP($E378,Selection!$E:$F,2,false)),IFERROR(VLOOKUP(SUBSTITUTE($I378,"-","",1),$K379:$Q1119,7,false),VLOOKUP($K378,$K379:$Q1119,7,false))))</f>
        <v/>
      </c>
      <c r="R378" s="34" t="str">
        <f t="shared" si="2"/>
        <v/>
      </c>
      <c r="S378" s="37" t="str">
        <f t="shared" si="3"/>
        <v/>
      </c>
      <c r="T378" s="38" t="str">
        <f t="shared" si="4"/>
        <v/>
      </c>
      <c r="U378" s="28" t="str">
        <f t="shared" si="5"/>
        <v/>
      </c>
      <c r="V378" s="39" t="str">
        <f>IFERROR(__xludf.DUMMYFUNCTION(" IF(Account!$F378&lt;&gt;"""", SPLIT(Account!$F378, "" ""), """")"),"")</f>
        <v/>
      </c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</row>
    <row r="379">
      <c r="A379" s="7"/>
      <c r="B379" s="7"/>
      <c r="C379" s="7"/>
      <c r="D379" s="7"/>
      <c r="E379" s="7"/>
      <c r="F379" s="9"/>
      <c r="G379" s="341"/>
      <c r="H379" s="7"/>
      <c r="I379" s="7"/>
      <c r="J379" s="7"/>
      <c r="K379" s="7"/>
      <c r="L379" s="26" t="str">
        <f t="shared" si="1"/>
        <v/>
      </c>
      <c r="M379" s="28" t="str">
        <f>IFERROR(__xludf.DUMMYFUNCTION("IF(Account!$F379&lt;&gt;"""", VALUE(REGEXREPLACE($I379, ""\,"", ""."")), """")"),"")</f>
        <v/>
      </c>
      <c r="N379" s="31" t="str">
        <f>IF(Account!$F379&lt;&gt;"", DATEVALUE(MID($A379,4,3) &amp; LEFT($A379,3) &amp; RIGHT($A379,4)) + TIMEVALUE($B379), "")</f>
        <v/>
      </c>
      <c r="O379" s="33" t="str">
        <f>IF(Account!$F379&lt;&gt;"", DATEVALUE(MID($A379,4,3) &amp; LEFT($A379,3) &amp; RIGHT($A379,4)), "")</f>
        <v/>
      </c>
      <c r="P379" s="34" t="str">
        <f>IFERROR(VLOOKUP($Q379,Selection!$F:$G,2,false))</f>
        <v/>
      </c>
      <c r="Q379" s="36" t="str">
        <f>IF(AND($X379="change",$H379="EUR"),IF(AND($Z379="Crédit",$N379=$N380),$Q380,IF(AND($Z379="Débit",$N379=$N378),$Q378)),IF(OR(AND(OR($E379&lt;&gt;"",$L379=""),$M379&lt;&gt;0),$A379=""),IFERROR(VLOOKUP($E379,Selection!$E:$F,2,false)),IFERROR(VLOOKUP(SUBSTITUTE($I379,"-","",1),$K380:$Q1119,7,false),VLOOKUP($K379,$K380:$Q1119,7,false))))</f>
        <v/>
      </c>
      <c r="R379" s="34" t="str">
        <f t="shared" si="2"/>
        <v/>
      </c>
      <c r="S379" s="37" t="str">
        <f t="shared" si="3"/>
        <v/>
      </c>
      <c r="T379" s="38" t="str">
        <f t="shared" si="4"/>
        <v/>
      </c>
      <c r="U379" s="28" t="str">
        <f t="shared" si="5"/>
        <v/>
      </c>
      <c r="V379" s="39" t="str">
        <f>IFERROR(__xludf.DUMMYFUNCTION(" IF(Account!$F379&lt;&gt;"""", SPLIT(Account!$F379, "" ""), """")"),"")</f>
        <v/>
      </c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</row>
    <row r="380">
      <c r="A380" s="7"/>
      <c r="B380" s="7"/>
      <c r="C380" s="7"/>
      <c r="D380" s="7"/>
      <c r="E380" s="7"/>
      <c r="F380" s="9"/>
      <c r="G380" s="7"/>
      <c r="H380" s="7"/>
      <c r="I380" s="7"/>
      <c r="J380" s="7"/>
      <c r="K380" s="7"/>
      <c r="L380" s="26" t="str">
        <f t="shared" si="1"/>
        <v/>
      </c>
      <c r="M380" s="28" t="str">
        <f>IFERROR(__xludf.DUMMYFUNCTION("IF(Account!$F380&lt;&gt;"""", VALUE(REGEXREPLACE($I380, ""\,"", ""."")), """")"),"")</f>
        <v/>
      </c>
      <c r="N380" s="31" t="str">
        <f>IF(Account!$F380&lt;&gt;"", DATEVALUE(MID($A380,4,3) &amp; LEFT($A380,3) &amp; RIGHT($A380,4)) + TIMEVALUE($B380), "")</f>
        <v/>
      </c>
      <c r="O380" s="33" t="str">
        <f>IF(Account!$F380&lt;&gt;"", DATEVALUE(MID($A380,4,3) &amp; LEFT($A380,3) &amp; RIGHT($A380,4)), "")</f>
        <v/>
      </c>
      <c r="P380" s="34" t="str">
        <f>IFERROR(VLOOKUP($Q380,Selection!$F:$G,2,false))</f>
        <v/>
      </c>
      <c r="Q380" s="36" t="str">
        <f>IF(AND($X380="change",$H380="EUR"),IF(AND($Z380="Crédit",$N380=$N381),$Q381,IF(AND($Z380="Débit",$N380=$N379),$Q379)),IF(OR(AND(OR($E380&lt;&gt;"",$L380=""),$M380&lt;&gt;0),$A380=""),IFERROR(VLOOKUP($E380,Selection!$E:$F,2,false)),IFERROR(VLOOKUP(SUBSTITUTE($I380,"-","",1),$K381:$Q1119,7,false),VLOOKUP($K380,$K381:$Q1119,7,false))))</f>
        <v/>
      </c>
      <c r="R380" s="34" t="str">
        <f t="shared" si="2"/>
        <v/>
      </c>
      <c r="S380" s="37" t="str">
        <f t="shared" si="3"/>
        <v/>
      </c>
      <c r="T380" s="38" t="str">
        <f t="shared" si="4"/>
        <v/>
      </c>
      <c r="U380" s="28" t="str">
        <f t="shared" si="5"/>
        <v/>
      </c>
      <c r="V380" s="39" t="str">
        <f>IFERROR(__xludf.DUMMYFUNCTION(" IF(Account!$F380&lt;&gt;"""", SPLIT(Account!$F380, "" ""), """")"),"")</f>
        <v/>
      </c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</row>
    <row r="381">
      <c r="A381" s="7"/>
      <c r="B381" s="7"/>
      <c r="C381" s="7"/>
      <c r="D381" s="7"/>
      <c r="E381" s="7"/>
      <c r="F381" s="9"/>
      <c r="G381" s="341"/>
      <c r="H381" s="7"/>
      <c r="I381" s="7"/>
      <c r="J381" s="7"/>
      <c r="K381" s="7"/>
      <c r="L381" s="26" t="str">
        <f t="shared" si="1"/>
        <v/>
      </c>
      <c r="M381" s="28" t="str">
        <f>IFERROR(__xludf.DUMMYFUNCTION("IF(Account!$F381&lt;&gt;"""", VALUE(REGEXREPLACE($I381, ""\,"", ""."")), """")"),"")</f>
        <v/>
      </c>
      <c r="N381" s="31" t="str">
        <f>IF(Account!$F381&lt;&gt;"", DATEVALUE(MID($A381,4,3) &amp; LEFT($A381,3) &amp; RIGHT($A381,4)) + TIMEVALUE($B381), "")</f>
        <v/>
      </c>
      <c r="O381" s="33" t="str">
        <f>IF(Account!$F381&lt;&gt;"", DATEVALUE(MID($A381,4,3) &amp; LEFT($A381,3) &amp; RIGHT($A381,4)), "")</f>
        <v/>
      </c>
      <c r="P381" s="34" t="str">
        <f>IFERROR(VLOOKUP($Q381,Selection!$F:$G,2,false))</f>
        <v/>
      </c>
      <c r="Q381" s="36" t="str">
        <f>IF(AND($X381="change",$H381="EUR"),IF(AND($Z381="Crédit",$N381=$N382),$Q382,IF(AND($Z381="Débit",$N381=$N380),$Q380)),IF(OR(AND(OR($E381&lt;&gt;"",$L381=""),$M381&lt;&gt;0),$A381=""),IFERROR(VLOOKUP($E381,Selection!$E:$F,2,false)),IFERROR(VLOOKUP(SUBSTITUTE($I381,"-","",1),$K382:$Q1119,7,false),VLOOKUP($K381,$K382:$Q1119,7,false))))</f>
        <v/>
      </c>
      <c r="R381" s="34" t="str">
        <f t="shared" si="2"/>
        <v/>
      </c>
      <c r="S381" s="37" t="str">
        <f t="shared" si="3"/>
        <v/>
      </c>
      <c r="T381" s="38" t="str">
        <f t="shared" si="4"/>
        <v/>
      </c>
      <c r="U381" s="28" t="str">
        <f t="shared" si="5"/>
        <v/>
      </c>
      <c r="V381" s="39" t="str">
        <f>IFERROR(__xludf.DUMMYFUNCTION(" IF(Account!$F381&lt;&gt;"""", SPLIT(Account!$F381, "" ""), """")"),"")</f>
        <v/>
      </c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</row>
    <row r="382">
      <c r="A382" s="7"/>
      <c r="B382" s="7"/>
      <c r="C382" s="7"/>
      <c r="D382" s="7"/>
      <c r="E382" s="7"/>
      <c r="F382" s="9"/>
      <c r="G382" s="341"/>
      <c r="H382" s="7"/>
      <c r="I382" s="7"/>
      <c r="J382" s="7"/>
      <c r="K382" s="7"/>
      <c r="L382" s="26" t="str">
        <f t="shared" si="1"/>
        <v/>
      </c>
      <c r="M382" s="28" t="str">
        <f>IFERROR(__xludf.DUMMYFUNCTION("IF(Account!$F382&lt;&gt;"""", VALUE(REGEXREPLACE($I382, ""\,"", ""."")), """")"),"")</f>
        <v/>
      </c>
      <c r="N382" s="31" t="str">
        <f>IF(Account!$F382&lt;&gt;"", DATEVALUE(MID($A382,4,3) &amp; LEFT($A382,3) &amp; RIGHT($A382,4)) + TIMEVALUE($B382), "")</f>
        <v/>
      </c>
      <c r="O382" s="33" t="str">
        <f>IF(Account!$F382&lt;&gt;"", DATEVALUE(MID($A382,4,3) &amp; LEFT($A382,3) &amp; RIGHT($A382,4)), "")</f>
        <v/>
      </c>
      <c r="P382" s="34" t="str">
        <f>IFERROR(VLOOKUP($Q382,Selection!$F:$G,2,false))</f>
        <v/>
      </c>
      <c r="Q382" s="36" t="str">
        <f>IF(AND($X382="change",$H382="EUR"),IF(AND($Z382="Crédit",$N382=$N383),$Q383,IF(AND($Z382="Débit",$N382=$N381),$Q381)),IF(OR(AND(OR($E382&lt;&gt;"",$L382=""),$M382&lt;&gt;0),$A382=""),IFERROR(VLOOKUP($E382,Selection!$E:$F,2,false)),IFERROR(VLOOKUP(SUBSTITUTE($I382,"-","",1),$K383:$Q1119,7,false),VLOOKUP($K382,$K383:$Q1119,7,false))))</f>
        <v/>
      </c>
      <c r="R382" s="34" t="str">
        <f t="shared" si="2"/>
        <v/>
      </c>
      <c r="S382" s="37" t="str">
        <f t="shared" si="3"/>
        <v/>
      </c>
      <c r="T382" s="38" t="str">
        <f t="shared" si="4"/>
        <v/>
      </c>
      <c r="U382" s="28" t="str">
        <f t="shared" si="5"/>
        <v/>
      </c>
      <c r="V382" s="39" t="str">
        <f>IFERROR(__xludf.DUMMYFUNCTION(" IF(Account!$F382&lt;&gt;"""", SPLIT(Account!$F382, "" ""), """")"),"")</f>
        <v/>
      </c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</row>
    <row r="383">
      <c r="A383" s="7"/>
      <c r="B383" s="7"/>
      <c r="C383" s="7"/>
      <c r="D383" s="7"/>
      <c r="E383" s="7"/>
      <c r="F383" s="9"/>
      <c r="G383" s="341"/>
      <c r="H383" s="7"/>
      <c r="I383" s="7"/>
      <c r="J383" s="7"/>
      <c r="K383" s="7"/>
      <c r="L383" s="26" t="str">
        <f t="shared" si="1"/>
        <v/>
      </c>
      <c r="M383" s="28" t="str">
        <f>IFERROR(__xludf.DUMMYFUNCTION("IF(Account!$F383&lt;&gt;"""", VALUE(REGEXREPLACE($I383, ""\,"", ""."")), """")"),"")</f>
        <v/>
      </c>
      <c r="N383" s="31" t="str">
        <f>IF(Account!$F383&lt;&gt;"", DATEVALUE(MID($A383,4,3) &amp; LEFT($A383,3) &amp; RIGHT($A383,4)) + TIMEVALUE($B383), "")</f>
        <v/>
      </c>
      <c r="O383" s="33" t="str">
        <f>IF(Account!$F383&lt;&gt;"", DATEVALUE(MID($A383,4,3) &amp; LEFT($A383,3) &amp; RIGHT($A383,4)), "")</f>
        <v/>
      </c>
      <c r="P383" s="34" t="str">
        <f>IFERROR(VLOOKUP($Q383,Selection!$F:$G,2,false))</f>
        <v/>
      </c>
      <c r="Q383" s="36" t="str">
        <f>IF(AND($X383="change",$H383="EUR"),IF(AND($Z383="Crédit",$N383=$N384),$Q384,IF(AND($Z383="Débit",$N383=$N382),$Q382)),IF(OR(AND(OR($E383&lt;&gt;"",$L383=""),$M383&lt;&gt;0),$A383=""),IFERROR(VLOOKUP($E383,Selection!$E:$F,2,false)),IFERROR(VLOOKUP(SUBSTITUTE($I383,"-","",1),$K384:$Q1119,7,false),VLOOKUP($K383,$K384:$Q1119,7,false))))</f>
        <v/>
      </c>
      <c r="R383" s="34" t="str">
        <f t="shared" si="2"/>
        <v/>
      </c>
      <c r="S383" s="37" t="str">
        <f t="shared" si="3"/>
        <v/>
      </c>
      <c r="T383" s="38" t="str">
        <f t="shared" si="4"/>
        <v/>
      </c>
      <c r="U383" s="28" t="str">
        <f t="shared" si="5"/>
        <v/>
      </c>
      <c r="V383" s="39" t="str">
        <f>IFERROR(__xludf.DUMMYFUNCTION(" IF(Account!$F383&lt;&gt;"""", SPLIT(Account!$F383, "" ""), """")"),"")</f>
        <v/>
      </c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</row>
    <row r="384">
      <c r="A384" s="7"/>
      <c r="B384" s="7"/>
      <c r="C384" s="7"/>
      <c r="D384" s="7"/>
      <c r="E384" s="7"/>
      <c r="F384" s="9"/>
      <c r="G384" s="341"/>
      <c r="H384" s="7"/>
      <c r="I384" s="7"/>
      <c r="J384" s="7"/>
      <c r="K384" s="7"/>
      <c r="L384" s="26" t="str">
        <f t="shared" si="1"/>
        <v/>
      </c>
      <c r="M384" s="28" t="str">
        <f>IFERROR(__xludf.DUMMYFUNCTION("IF(Account!$F384&lt;&gt;"""", VALUE(REGEXREPLACE($I384, ""\,"", ""."")), """")"),"")</f>
        <v/>
      </c>
      <c r="N384" s="31" t="str">
        <f>IF(Account!$F384&lt;&gt;"", DATEVALUE(MID($A384,4,3) &amp; LEFT($A384,3) &amp; RIGHT($A384,4)) + TIMEVALUE($B384), "")</f>
        <v/>
      </c>
      <c r="O384" s="33" t="str">
        <f>IF(Account!$F384&lt;&gt;"", DATEVALUE(MID($A384,4,3) &amp; LEFT($A384,3) &amp; RIGHT($A384,4)), "")</f>
        <v/>
      </c>
      <c r="P384" s="34" t="str">
        <f>IFERROR(VLOOKUP($Q384,Selection!$F:$G,2,false))</f>
        <v/>
      </c>
      <c r="Q384" s="36" t="str">
        <f>IF(AND($X384="change",$H384="EUR"),IF(AND($Z384="Crédit",$N384=$N385),$Q385,IF(AND($Z384="Débit",$N384=$N383),$Q383)),IF(OR(AND(OR($E384&lt;&gt;"",$L384=""),$M384&lt;&gt;0),$A384=""),IFERROR(VLOOKUP($E384,Selection!$E:$F,2,false)),IFERROR(VLOOKUP(SUBSTITUTE($I384,"-","",1),$K385:$Q1119,7,false),VLOOKUP($K384,$K385:$Q1119,7,false))))</f>
        <v/>
      </c>
      <c r="R384" s="34" t="str">
        <f t="shared" si="2"/>
        <v/>
      </c>
      <c r="S384" s="37" t="str">
        <f t="shared" si="3"/>
        <v/>
      </c>
      <c r="T384" s="38" t="str">
        <f t="shared" si="4"/>
        <v/>
      </c>
      <c r="U384" s="28" t="str">
        <f t="shared" si="5"/>
        <v/>
      </c>
      <c r="V384" s="39" t="str">
        <f>IFERROR(__xludf.DUMMYFUNCTION(" IF(Account!$F384&lt;&gt;"""", SPLIT(Account!$F384, "" ""), """")"),"")</f>
        <v/>
      </c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</row>
    <row r="385">
      <c r="A385" s="7"/>
      <c r="B385" s="7"/>
      <c r="C385" s="7"/>
      <c r="D385" s="7"/>
      <c r="E385" s="7"/>
      <c r="F385" s="9"/>
      <c r="G385" s="341"/>
      <c r="H385" s="7"/>
      <c r="I385" s="7"/>
      <c r="J385" s="7"/>
      <c r="K385" s="7"/>
      <c r="L385" s="26" t="str">
        <f t="shared" si="1"/>
        <v/>
      </c>
      <c r="M385" s="28" t="str">
        <f>IFERROR(__xludf.DUMMYFUNCTION("IF(Account!$F385&lt;&gt;"""", VALUE(REGEXREPLACE($I385, ""\,"", ""."")), """")"),"")</f>
        <v/>
      </c>
      <c r="N385" s="31" t="str">
        <f>IF(Account!$F385&lt;&gt;"", DATEVALUE(MID($A385,4,3) &amp; LEFT($A385,3) &amp; RIGHT($A385,4)) + TIMEVALUE($B385), "")</f>
        <v/>
      </c>
      <c r="O385" s="33" t="str">
        <f>IF(Account!$F385&lt;&gt;"", DATEVALUE(MID($A385,4,3) &amp; LEFT($A385,3) &amp; RIGHT($A385,4)), "")</f>
        <v/>
      </c>
      <c r="P385" s="34" t="str">
        <f>IFERROR(VLOOKUP($Q385,Selection!$F:$G,2,false))</f>
        <v/>
      </c>
      <c r="Q385" s="36" t="str">
        <f>IF(AND($X385="change",$H385="EUR"),IF(AND($Z385="Crédit",$N385=$N386),$Q386,IF(AND($Z385="Débit",$N385=$N384),$Q384)),IF(OR(AND(OR($E385&lt;&gt;"",$L385=""),$M385&lt;&gt;0),$A385=""),IFERROR(VLOOKUP($E385,Selection!$E:$F,2,false)),IFERROR(VLOOKUP(SUBSTITUTE($I385,"-","",1),$K386:$Q1119,7,false),VLOOKUP($K385,$K386:$Q1119,7,false))))</f>
        <v/>
      </c>
      <c r="R385" s="34" t="str">
        <f t="shared" si="2"/>
        <v/>
      </c>
      <c r="S385" s="37" t="str">
        <f t="shared" si="3"/>
        <v/>
      </c>
      <c r="T385" s="38" t="str">
        <f t="shared" si="4"/>
        <v/>
      </c>
      <c r="U385" s="28" t="str">
        <f t="shared" si="5"/>
        <v/>
      </c>
      <c r="V385" s="39" t="str">
        <f>IFERROR(__xludf.DUMMYFUNCTION(" IF(Account!$F385&lt;&gt;"""", SPLIT(Account!$F385, "" ""), """")"),"")</f>
        <v/>
      </c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</row>
    <row r="386">
      <c r="A386" s="7"/>
      <c r="B386" s="7"/>
      <c r="C386" s="7"/>
      <c r="D386" s="7"/>
      <c r="E386" s="7"/>
      <c r="F386" s="9"/>
      <c r="G386" s="341"/>
      <c r="H386" s="7"/>
      <c r="I386" s="7"/>
      <c r="J386" s="7"/>
      <c r="K386" s="7"/>
      <c r="L386" s="26" t="str">
        <f t="shared" si="1"/>
        <v/>
      </c>
      <c r="M386" s="28" t="str">
        <f>IFERROR(__xludf.DUMMYFUNCTION("IF(Account!$F386&lt;&gt;"""", VALUE(REGEXREPLACE($I386, ""\,"", ""."")), """")"),"")</f>
        <v/>
      </c>
      <c r="N386" s="31" t="str">
        <f>IF(Account!$F386&lt;&gt;"", DATEVALUE(MID($A386,4,3) &amp; LEFT($A386,3) &amp; RIGHT($A386,4)) + TIMEVALUE($B386), "")</f>
        <v/>
      </c>
      <c r="O386" s="33" t="str">
        <f>IF(Account!$F386&lt;&gt;"", DATEVALUE(MID($A386,4,3) &amp; LEFT($A386,3) &amp; RIGHT($A386,4)), "")</f>
        <v/>
      </c>
      <c r="P386" s="34" t="str">
        <f>IFERROR(VLOOKUP($Q386,Selection!$F:$G,2,false))</f>
        <v/>
      </c>
      <c r="Q386" s="36" t="str">
        <f>IF(AND($X386="change",$H386="EUR"),IF(AND($Z386="Crédit",$N386=$N387),$Q387,IF(AND($Z386="Débit",$N386=$N385),$Q385)),IF(OR(AND(OR($E386&lt;&gt;"",$L386=""),$M386&lt;&gt;0),$A386=""),IFERROR(VLOOKUP($E386,Selection!$E:$F,2,false)),IFERROR(VLOOKUP(SUBSTITUTE($I386,"-","",1),$K387:$Q1119,7,false),VLOOKUP($K386,$K387:$Q1119,7,false))))</f>
        <v/>
      </c>
      <c r="R386" s="34" t="str">
        <f t="shared" si="2"/>
        <v/>
      </c>
      <c r="S386" s="37" t="str">
        <f t="shared" si="3"/>
        <v/>
      </c>
      <c r="T386" s="38" t="str">
        <f t="shared" si="4"/>
        <v/>
      </c>
      <c r="U386" s="28" t="str">
        <f t="shared" si="5"/>
        <v/>
      </c>
      <c r="V386" s="39" t="str">
        <f>IFERROR(__xludf.DUMMYFUNCTION(" IF(Account!$F386&lt;&gt;"""", SPLIT(Account!$F386, "" ""), """")"),"")</f>
        <v/>
      </c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</row>
    <row r="387">
      <c r="A387" s="7"/>
      <c r="B387" s="7"/>
      <c r="C387" s="7"/>
      <c r="D387" s="7"/>
      <c r="E387" s="7"/>
      <c r="F387" s="9"/>
      <c r="G387" s="341"/>
      <c r="H387" s="7"/>
      <c r="I387" s="7"/>
      <c r="J387" s="7"/>
      <c r="K387" s="7"/>
      <c r="L387" s="26" t="str">
        <f t="shared" si="1"/>
        <v/>
      </c>
      <c r="M387" s="28" t="str">
        <f>IFERROR(__xludf.DUMMYFUNCTION("IF(Account!$F387&lt;&gt;"""", VALUE(REGEXREPLACE($I387, ""\,"", ""."")), """")"),"")</f>
        <v/>
      </c>
      <c r="N387" s="31" t="str">
        <f>IF(Account!$F387&lt;&gt;"", DATEVALUE(MID($A387,4,3) &amp; LEFT($A387,3) &amp; RIGHT($A387,4)) + TIMEVALUE($B387), "")</f>
        <v/>
      </c>
      <c r="O387" s="33" t="str">
        <f>IF(Account!$F387&lt;&gt;"", DATEVALUE(MID($A387,4,3) &amp; LEFT($A387,3) &amp; RIGHT($A387,4)), "")</f>
        <v/>
      </c>
      <c r="P387" s="34" t="str">
        <f>IFERROR(VLOOKUP($Q387,Selection!$F:$G,2,false))</f>
        <v/>
      </c>
      <c r="Q387" s="36" t="str">
        <f>IF(AND($X387="change",$H387="EUR"),IF(AND($Z387="Crédit",$N387=$N388),$Q388,IF(AND($Z387="Débit",$N387=$N386),$Q386)),IF(OR(AND(OR($E387&lt;&gt;"",$L387=""),$M387&lt;&gt;0),$A387=""),IFERROR(VLOOKUP($E387,Selection!$E:$F,2,false)),IFERROR(VLOOKUP(SUBSTITUTE($I387,"-","",1),$K388:$Q1119,7,false),VLOOKUP($K387,$K388:$Q1119,7,false))))</f>
        <v/>
      </c>
      <c r="R387" s="34" t="str">
        <f t="shared" si="2"/>
        <v/>
      </c>
      <c r="S387" s="37" t="str">
        <f t="shared" si="3"/>
        <v/>
      </c>
      <c r="T387" s="38" t="str">
        <f t="shared" si="4"/>
        <v/>
      </c>
      <c r="U387" s="28" t="str">
        <f t="shared" si="5"/>
        <v/>
      </c>
      <c r="V387" s="39" t="str">
        <f>IFERROR(__xludf.DUMMYFUNCTION(" IF(Account!$F387&lt;&gt;"""", SPLIT(Account!$F387, "" ""), """")"),"")</f>
        <v/>
      </c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</row>
    <row r="388">
      <c r="A388" s="7"/>
      <c r="B388" s="7"/>
      <c r="C388" s="7"/>
      <c r="D388" s="7"/>
      <c r="E388" s="7"/>
      <c r="F388" s="9"/>
      <c r="G388" s="341"/>
      <c r="H388" s="7"/>
      <c r="I388" s="7"/>
      <c r="J388" s="7"/>
      <c r="K388" s="7"/>
      <c r="L388" s="26" t="str">
        <f t="shared" si="1"/>
        <v/>
      </c>
      <c r="M388" s="28" t="str">
        <f>IFERROR(__xludf.DUMMYFUNCTION("IF(Account!$F388&lt;&gt;"""", VALUE(REGEXREPLACE($I388, ""\,"", ""."")), """")"),"")</f>
        <v/>
      </c>
      <c r="N388" s="31" t="str">
        <f>IF(Account!$F388&lt;&gt;"", DATEVALUE(MID($A388,4,3) &amp; LEFT($A388,3) &amp; RIGHT($A388,4)) + TIMEVALUE($B388), "")</f>
        <v/>
      </c>
      <c r="O388" s="33" t="str">
        <f>IF(Account!$F388&lt;&gt;"", DATEVALUE(MID($A388,4,3) &amp; LEFT($A388,3) &amp; RIGHT($A388,4)), "")</f>
        <v/>
      </c>
      <c r="P388" s="34" t="str">
        <f>IFERROR(VLOOKUP($Q388,Selection!$F:$G,2,false))</f>
        <v/>
      </c>
      <c r="Q388" s="36" t="str">
        <f>IF(AND($X388="change",$H388="EUR"),IF(AND($Z388="Crédit",$N388=$N389),$Q389,IF(AND($Z388="Débit",$N388=$N387),$Q387)),IF(OR(AND(OR($E388&lt;&gt;"",$L388=""),$M388&lt;&gt;0),$A388=""),IFERROR(VLOOKUP($E388,Selection!$E:$F,2,false)),IFERROR(VLOOKUP(SUBSTITUTE($I388,"-","",1),$K389:$Q1119,7,false),VLOOKUP($K388,$K389:$Q1119,7,false))))</f>
        <v/>
      </c>
      <c r="R388" s="34" t="str">
        <f t="shared" si="2"/>
        <v/>
      </c>
      <c r="S388" s="37" t="str">
        <f t="shared" si="3"/>
        <v/>
      </c>
      <c r="T388" s="38" t="str">
        <f t="shared" si="4"/>
        <v/>
      </c>
      <c r="U388" s="28" t="str">
        <f t="shared" si="5"/>
        <v/>
      </c>
      <c r="V388" s="39" t="str">
        <f>IFERROR(__xludf.DUMMYFUNCTION(" IF(Account!$F388&lt;&gt;"""", SPLIT(Account!$F388, "" ""), """")"),"")</f>
        <v/>
      </c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</row>
    <row r="389">
      <c r="A389" s="7"/>
      <c r="B389" s="7"/>
      <c r="C389" s="7"/>
      <c r="D389" s="7"/>
      <c r="E389" s="7"/>
      <c r="F389" s="9"/>
      <c r="G389" s="7"/>
      <c r="H389" s="7"/>
      <c r="I389" s="7"/>
      <c r="J389" s="7"/>
      <c r="K389" s="7"/>
      <c r="L389" s="26" t="str">
        <f t="shared" si="1"/>
        <v/>
      </c>
      <c r="M389" s="28" t="str">
        <f>IFERROR(__xludf.DUMMYFUNCTION("IF(Account!$F389&lt;&gt;"""", VALUE(REGEXREPLACE($I389, ""\,"", ""."")), """")"),"")</f>
        <v/>
      </c>
      <c r="N389" s="31" t="str">
        <f>IF(Account!$F389&lt;&gt;"", DATEVALUE(MID($A389,4,3) &amp; LEFT($A389,3) &amp; RIGHT($A389,4)) + TIMEVALUE($B389), "")</f>
        <v/>
      </c>
      <c r="O389" s="33" t="str">
        <f>IF(Account!$F389&lt;&gt;"", DATEVALUE(MID($A389,4,3) &amp; LEFT($A389,3) &amp; RIGHT($A389,4)), "")</f>
        <v/>
      </c>
      <c r="P389" s="34" t="str">
        <f>IFERROR(VLOOKUP($Q389,Selection!$F:$G,2,false))</f>
        <v/>
      </c>
      <c r="Q389" s="36" t="str">
        <f>IF(AND($X389="change",$H389="EUR"),IF(AND($Z389="Crédit",$N389=$N390),$Q390,IF(AND($Z389="Débit",$N389=$N388),$Q388)),IF(OR(AND(OR($E389&lt;&gt;"",$L389=""),$M389&lt;&gt;0),$A389=""),IFERROR(VLOOKUP($E389,Selection!$E:$F,2,false)),IFERROR(VLOOKUP(SUBSTITUTE($I389,"-","",1),$K390:$Q1119,7,false),VLOOKUP($K389,$K390:$Q1119,7,false))))</f>
        <v/>
      </c>
      <c r="R389" s="34" t="str">
        <f t="shared" si="2"/>
        <v/>
      </c>
      <c r="S389" s="37" t="str">
        <f t="shared" si="3"/>
        <v/>
      </c>
      <c r="T389" s="38" t="str">
        <f t="shared" si="4"/>
        <v/>
      </c>
      <c r="U389" s="28" t="str">
        <f t="shared" si="5"/>
        <v/>
      </c>
      <c r="V389" s="39" t="str">
        <f>IFERROR(__xludf.DUMMYFUNCTION(" IF(Account!$F389&lt;&gt;"""", SPLIT(Account!$F389, "" ""), """")"),"")</f>
        <v/>
      </c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</row>
    <row r="390">
      <c r="A390" s="7"/>
      <c r="B390" s="7"/>
      <c r="C390" s="7"/>
      <c r="D390" s="7"/>
      <c r="E390" s="7"/>
      <c r="F390" s="9"/>
      <c r="G390" s="341"/>
      <c r="H390" s="7"/>
      <c r="I390" s="7"/>
      <c r="J390" s="7"/>
      <c r="K390" s="7"/>
      <c r="L390" s="26" t="str">
        <f t="shared" si="1"/>
        <v/>
      </c>
      <c r="M390" s="28" t="str">
        <f>IFERROR(__xludf.DUMMYFUNCTION("IF(Account!$F390&lt;&gt;"""", VALUE(REGEXREPLACE($I390, ""\,"", ""."")), """")"),"")</f>
        <v/>
      </c>
      <c r="N390" s="31" t="str">
        <f>IF(Account!$F390&lt;&gt;"", DATEVALUE(MID($A390,4,3) &amp; LEFT($A390,3) &amp; RIGHT($A390,4)) + TIMEVALUE($B390), "")</f>
        <v/>
      </c>
      <c r="O390" s="33" t="str">
        <f>IF(Account!$F390&lt;&gt;"", DATEVALUE(MID($A390,4,3) &amp; LEFT($A390,3) &amp; RIGHT($A390,4)), "")</f>
        <v/>
      </c>
      <c r="P390" s="34" t="str">
        <f>IFERROR(VLOOKUP($Q390,Selection!$F:$G,2,false))</f>
        <v/>
      </c>
      <c r="Q390" s="36" t="str">
        <f>IF(AND($X390="change",$H390="EUR"),IF(AND($Z390="Crédit",$N390=$N391),$Q391,IF(AND($Z390="Débit",$N390=$N389),$Q389)),IF(OR(AND(OR($E390&lt;&gt;"",$L390=""),$M390&lt;&gt;0),$A390=""),IFERROR(VLOOKUP($E390,Selection!$E:$F,2,false)),IFERROR(VLOOKUP(SUBSTITUTE($I390,"-","",1),$K391:$Q1119,7,false),VLOOKUP($K390,$K391:$Q1119,7,false))))</f>
        <v/>
      </c>
      <c r="R390" s="34" t="str">
        <f t="shared" si="2"/>
        <v/>
      </c>
      <c r="S390" s="37" t="str">
        <f t="shared" si="3"/>
        <v/>
      </c>
      <c r="T390" s="38" t="str">
        <f t="shared" si="4"/>
        <v/>
      </c>
      <c r="U390" s="28" t="str">
        <f t="shared" si="5"/>
        <v/>
      </c>
      <c r="V390" s="39" t="str">
        <f>IFERROR(__xludf.DUMMYFUNCTION(" IF(Account!$F390&lt;&gt;"""", SPLIT(Account!$F390, "" ""), """")"),"")</f>
        <v/>
      </c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</row>
    <row r="391">
      <c r="A391" s="7"/>
      <c r="B391" s="7"/>
      <c r="C391" s="7"/>
      <c r="D391" s="7"/>
      <c r="E391" s="7"/>
      <c r="F391" s="9"/>
      <c r="G391" s="7"/>
      <c r="H391" s="7"/>
      <c r="I391" s="7"/>
      <c r="J391" s="7"/>
      <c r="K391" s="7"/>
      <c r="L391" s="26" t="str">
        <f t="shared" si="1"/>
        <v/>
      </c>
      <c r="M391" s="28" t="str">
        <f>IFERROR(__xludf.DUMMYFUNCTION("IF(Account!$F391&lt;&gt;"""", VALUE(REGEXREPLACE($I391, ""\,"", ""."")), """")"),"")</f>
        <v/>
      </c>
      <c r="N391" s="31" t="str">
        <f>IF(Account!$F391&lt;&gt;"", DATEVALUE(MID($A391,4,3) &amp; LEFT($A391,3) &amp; RIGHT($A391,4)) + TIMEVALUE($B391), "")</f>
        <v/>
      </c>
      <c r="O391" s="33" t="str">
        <f>IF(Account!$F391&lt;&gt;"", DATEVALUE(MID($A391,4,3) &amp; LEFT($A391,3) &amp; RIGHT($A391,4)), "")</f>
        <v/>
      </c>
      <c r="P391" s="34" t="str">
        <f>IFERROR(VLOOKUP($Q391,Selection!$F:$G,2,false))</f>
        <v/>
      </c>
      <c r="Q391" s="36" t="str">
        <f>IF(AND($X391="change",$H391="EUR"),IF(AND($Z391="Crédit",$N391=$N392),$Q392,IF(AND($Z391="Débit",$N391=$N390),$Q390)),IF(OR(AND(OR($E391&lt;&gt;"",$L391=""),$M391&lt;&gt;0),$A391=""),IFERROR(VLOOKUP($E391,Selection!$E:$F,2,false)),IFERROR(VLOOKUP(SUBSTITUTE($I391,"-","",1),$K392:$Q1119,7,false),VLOOKUP($K391,$K392:$Q1119,7,false))))</f>
        <v/>
      </c>
      <c r="R391" s="34" t="str">
        <f t="shared" si="2"/>
        <v/>
      </c>
      <c r="S391" s="37" t="str">
        <f t="shared" si="3"/>
        <v/>
      </c>
      <c r="T391" s="38" t="str">
        <f t="shared" si="4"/>
        <v/>
      </c>
      <c r="U391" s="28" t="str">
        <f t="shared" si="5"/>
        <v/>
      </c>
      <c r="V391" s="39" t="str">
        <f>IFERROR(__xludf.DUMMYFUNCTION(" IF(Account!$F391&lt;&gt;"""", SPLIT(Account!$F391, "" ""), """")"),"")</f>
        <v/>
      </c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</row>
    <row r="392">
      <c r="A392" s="7"/>
      <c r="B392" s="7"/>
      <c r="C392" s="7"/>
      <c r="D392" s="7"/>
      <c r="E392" s="7"/>
      <c r="F392" s="9"/>
      <c r="G392" s="341"/>
      <c r="H392" s="7"/>
      <c r="I392" s="7"/>
      <c r="J392" s="7"/>
      <c r="K392" s="7"/>
      <c r="L392" s="26" t="str">
        <f t="shared" si="1"/>
        <v/>
      </c>
      <c r="M392" s="28" t="str">
        <f>IFERROR(__xludf.DUMMYFUNCTION("IF(Account!$F392&lt;&gt;"""", VALUE(REGEXREPLACE($I392, ""\,"", ""."")), """")"),"")</f>
        <v/>
      </c>
      <c r="N392" s="31" t="str">
        <f>IF(Account!$F392&lt;&gt;"", DATEVALUE(MID($A392,4,3) &amp; LEFT($A392,3) &amp; RIGHT($A392,4)) + TIMEVALUE($B392), "")</f>
        <v/>
      </c>
      <c r="O392" s="33" t="str">
        <f>IF(Account!$F392&lt;&gt;"", DATEVALUE(MID($A392,4,3) &amp; LEFT($A392,3) &amp; RIGHT($A392,4)), "")</f>
        <v/>
      </c>
      <c r="P392" s="34" t="str">
        <f>IFERROR(VLOOKUP($Q392,Selection!$F:$G,2,false))</f>
        <v/>
      </c>
      <c r="Q392" s="36" t="str">
        <f>IF(AND($X392="change",$H392="EUR"),IF(AND($Z392="Crédit",$N392=$N393),$Q393,IF(AND($Z392="Débit",$N392=$N391),$Q391)),IF(OR(AND(OR($E392&lt;&gt;"",$L392=""),$M392&lt;&gt;0),$A392=""),IFERROR(VLOOKUP($E392,Selection!$E:$F,2,false)),IFERROR(VLOOKUP(SUBSTITUTE($I392,"-","",1),$K393:$Q1119,7,false),VLOOKUP($K392,$K393:$Q1119,7,false))))</f>
        <v/>
      </c>
      <c r="R392" s="34" t="str">
        <f t="shared" si="2"/>
        <v/>
      </c>
      <c r="S392" s="37" t="str">
        <f t="shared" si="3"/>
        <v/>
      </c>
      <c r="T392" s="38" t="str">
        <f t="shared" si="4"/>
        <v/>
      </c>
      <c r="U392" s="28" t="str">
        <f t="shared" si="5"/>
        <v/>
      </c>
      <c r="V392" s="39" t="str">
        <f>IFERROR(__xludf.DUMMYFUNCTION(" IF(Account!$F392&lt;&gt;"""", SPLIT(Account!$F392, "" ""), """")"),"")</f>
        <v/>
      </c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</row>
    <row r="393">
      <c r="A393" s="7"/>
      <c r="B393" s="7"/>
      <c r="C393" s="7"/>
      <c r="D393" s="7"/>
      <c r="E393" s="7"/>
      <c r="F393" s="9"/>
      <c r="G393" s="341"/>
      <c r="H393" s="7"/>
      <c r="I393" s="7"/>
      <c r="J393" s="7"/>
      <c r="K393" s="7"/>
      <c r="L393" s="26" t="str">
        <f t="shared" si="1"/>
        <v/>
      </c>
      <c r="M393" s="28" t="str">
        <f>IFERROR(__xludf.DUMMYFUNCTION("IF(Account!$F393&lt;&gt;"""", VALUE(REGEXREPLACE($I393, ""\,"", ""."")), """")"),"")</f>
        <v/>
      </c>
      <c r="N393" s="31" t="str">
        <f>IF(Account!$F393&lt;&gt;"", DATEVALUE(MID($A393,4,3) &amp; LEFT($A393,3) &amp; RIGHT($A393,4)) + TIMEVALUE($B393), "")</f>
        <v/>
      </c>
      <c r="O393" s="33" t="str">
        <f>IF(Account!$F393&lt;&gt;"", DATEVALUE(MID($A393,4,3) &amp; LEFT($A393,3) &amp; RIGHT($A393,4)), "")</f>
        <v/>
      </c>
      <c r="P393" s="34" t="str">
        <f>IFERROR(VLOOKUP($Q393,Selection!$F:$G,2,false))</f>
        <v/>
      </c>
      <c r="Q393" s="36" t="str">
        <f>IF(AND($X393="change",$H393="EUR"),IF(AND($Z393="Crédit",$N393=$N394),$Q394,IF(AND($Z393="Débit",$N393=$N392),$Q392)),IF(OR(AND(OR($E393&lt;&gt;"",$L393=""),$M393&lt;&gt;0),$A393=""),IFERROR(VLOOKUP($E393,Selection!$E:$F,2,false)),IFERROR(VLOOKUP(SUBSTITUTE($I393,"-","",1),$K394:$Q1119,7,false),VLOOKUP($K393,$K394:$Q1119,7,false))))</f>
        <v/>
      </c>
      <c r="R393" s="34" t="str">
        <f t="shared" si="2"/>
        <v/>
      </c>
      <c r="S393" s="37" t="str">
        <f t="shared" si="3"/>
        <v/>
      </c>
      <c r="T393" s="38" t="str">
        <f t="shared" si="4"/>
        <v/>
      </c>
      <c r="U393" s="28" t="str">
        <f t="shared" si="5"/>
        <v/>
      </c>
      <c r="V393" s="39" t="str">
        <f>IFERROR(__xludf.DUMMYFUNCTION(" IF(Account!$F393&lt;&gt;"""", SPLIT(Account!$F393, "" ""), """")"),"")</f>
        <v/>
      </c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</row>
    <row r="394">
      <c r="A394" s="341"/>
      <c r="B394" s="341"/>
      <c r="C394" s="341"/>
      <c r="D394" s="341"/>
      <c r="E394" s="341"/>
      <c r="F394" s="9"/>
      <c r="G394" s="341"/>
      <c r="H394" s="341"/>
      <c r="I394" s="341"/>
      <c r="J394" s="341"/>
      <c r="K394" s="341"/>
      <c r="L394" s="26" t="str">
        <f t="shared" si="1"/>
        <v/>
      </c>
      <c r="M394" s="28" t="str">
        <f>IFERROR(__xludf.DUMMYFUNCTION("IF(Account!$F394&lt;&gt;"""", VALUE(REGEXREPLACE($I394, ""\,"", ""."")), """")"),"")</f>
        <v/>
      </c>
      <c r="N394" s="31" t="str">
        <f>IF(Account!$F394&lt;&gt;"", DATEVALUE(MID($A394,4,3) &amp; LEFT($A394,3) &amp; RIGHT($A394,4)) + TIMEVALUE($B394), "")</f>
        <v/>
      </c>
      <c r="O394" s="33" t="str">
        <f>IF(Account!$F394&lt;&gt;"", DATEVALUE(MID($A394,4,3) &amp; LEFT($A394,3) &amp; RIGHT($A394,4)), "")</f>
        <v/>
      </c>
      <c r="P394" s="34" t="str">
        <f>IFERROR(VLOOKUP($Q394,Selection!$F:$G,2,false))</f>
        <v/>
      </c>
      <c r="Q394" s="36" t="str">
        <f>IF(AND($X394="change",$H394="EUR"),IF(AND($Z394="Crédit",$N394=$N395),$Q395,IF(AND($Z394="Débit",$N394=$N393),$Q393)),IF(OR(AND(OR($E394&lt;&gt;"",$L394=""),$M394&lt;&gt;0),$A394=""),IFERROR(VLOOKUP($E394,Selection!$E:$F,2,false)),IFERROR(VLOOKUP(SUBSTITUTE($I394,"-","",1),$K395:$Q1119,7,false),VLOOKUP($K394,$K395:$Q1119,7,false))))</f>
        <v/>
      </c>
      <c r="R394" s="34" t="str">
        <f t="shared" si="2"/>
        <v/>
      </c>
      <c r="S394" s="37" t="str">
        <f t="shared" si="3"/>
        <v/>
      </c>
      <c r="T394" s="38" t="str">
        <f t="shared" si="4"/>
        <v/>
      </c>
      <c r="U394" s="28" t="str">
        <f t="shared" si="5"/>
        <v/>
      </c>
      <c r="V394" s="39" t="str">
        <f>IFERROR(__xludf.DUMMYFUNCTION(" IF(Account!$F394&lt;&gt;"""", SPLIT(Account!$F394, "" ""), """")"),"")</f>
        <v/>
      </c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</row>
    <row r="395">
      <c r="A395" s="7"/>
      <c r="B395" s="7"/>
      <c r="C395" s="7"/>
      <c r="D395" s="7"/>
      <c r="E395" s="7"/>
      <c r="F395" s="9"/>
      <c r="G395" s="341"/>
      <c r="H395" s="7"/>
      <c r="I395" s="7"/>
      <c r="J395" s="7"/>
      <c r="K395" s="7"/>
      <c r="L395" s="26" t="str">
        <f t="shared" si="1"/>
        <v/>
      </c>
      <c r="M395" s="28" t="str">
        <f>IFERROR(__xludf.DUMMYFUNCTION("IF(Account!$F395&lt;&gt;"""", VALUE(REGEXREPLACE($I395, ""\,"", ""."")), """")"),"")</f>
        <v/>
      </c>
      <c r="N395" s="31" t="str">
        <f>IF(Account!$F395&lt;&gt;"", DATEVALUE(MID($A395,4,3) &amp; LEFT($A395,3) &amp; RIGHT($A395,4)) + TIMEVALUE($B395), "")</f>
        <v/>
      </c>
      <c r="O395" s="33" t="str">
        <f>IF(Account!$F395&lt;&gt;"", DATEVALUE(MID($A395,4,3) &amp; LEFT($A395,3) &amp; RIGHT($A395,4)), "")</f>
        <v/>
      </c>
      <c r="P395" s="34" t="str">
        <f>IFERROR(VLOOKUP($Q395,Selection!$F:$G,2,false))</f>
        <v/>
      </c>
      <c r="Q395" s="36" t="str">
        <f>IF(AND($X395="change",$H395="EUR"),IF(AND($Z395="Crédit",$N395=$N396),$Q396,IF(AND($Z395="Débit",$N395=$N394),$Q394)),IF(OR(AND(OR($E395&lt;&gt;"",$L395=""),$M395&lt;&gt;0),$A395=""),IFERROR(VLOOKUP($E395,Selection!$E:$F,2,false)),IFERROR(VLOOKUP(SUBSTITUTE($I395,"-","",1),$K396:$Q1119,7,false),VLOOKUP($K395,$K396:$Q1119,7,false))))</f>
        <v/>
      </c>
      <c r="R395" s="34" t="str">
        <f t="shared" si="2"/>
        <v/>
      </c>
      <c r="S395" s="37" t="str">
        <f t="shared" si="3"/>
        <v/>
      </c>
      <c r="T395" s="38" t="str">
        <f t="shared" si="4"/>
        <v/>
      </c>
      <c r="U395" s="28" t="str">
        <f t="shared" si="5"/>
        <v/>
      </c>
      <c r="V395" s="39" t="str">
        <f>IFERROR(__xludf.DUMMYFUNCTION(" IF(Account!$F395&lt;&gt;"""", SPLIT(Account!$F395, "" ""), """")"),"")</f>
        <v/>
      </c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</row>
    <row r="396">
      <c r="A396" s="7"/>
      <c r="B396" s="7"/>
      <c r="C396" s="7"/>
      <c r="D396" s="7"/>
      <c r="E396" s="7"/>
      <c r="F396" s="9"/>
      <c r="G396" s="7"/>
      <c r="H396" s="7"/>
      <c r="I396" s="7"/>
      <c r="J396" s="7"/>
      <c r="K396" s="7"/>
      <c r="L396" s="26" t="str">
        <f t="shared" si="1"/>
        <v/>
      </c>
      <c r="M396" s="28" t="str">
        <f>IFERROR(__xludf.DUMMYFUNCTION("IF(Account!$F396&lt;&gt;"""", VALUE(REGEXREPLACE($I396, ""\,"", ""."")), """")"),"")</f>
        <v/>
      </c>
      <c r="N396" s="31" t="str">
        <f>IF(Account!$F396&lt;&gt;"", DATEVALUE(MID($A396,4,3) &amp; LEFT($A396,3) &amp; RIGHT($A396,4)) + TIMEVALUE($B396), "")</f>
        <v/>
      </c>
      <c r="O396" s="33" t="str">
        <f>IF(Account!$F396&lt;&gt;"", DATEVALUE(MID($A396,4,3) &amp; LEFT($A396,3) &amp; RIGHT($A396,4)), "")</f>
        <v/>
      </c>
      <c r="P396" s="34" t="str">
        <f>IFERROR(VLOOKUP($Q396,Selection!$F:$G,2,false))</f>
        <v/>
      </c>
      <c r="Q396" s="36" t="str">
        <f>IF(AND($X396="change",$H396="EUR"),IF(AND($Z396="Crédit",$N396=$N397),$Q397,IF(AND($Z396="Débit",$N396=$N395),$Q395)),IF(OR(AND(OR($E396&lt;&gt;"",$L396=""),$M396&lt;&gt;0),$A396=""),IFERROR(VLOOKUP($E396,Selection!$E:$F,2,false)),IFERROR(VLOOKUP(SUBSTITUTE($I396,"-","",1),$K397:$Q1119,7,false),VLOOKUP($K396,$K397:$Q1119,7,false))))</f>
        <v/>
      </c>
      <c r="R396" s="34" t="str">
        <f t="shared" si="2"/>
        <v/>
      </c>
      <c r="S396" s="37" t="str">
        <f t="shared" si="3"/>
        <v/>
      </c>
      <c r="T396" s="38" t="str">
        <f t="shared" si="4"/>
        <v/>
      </c>
      <c r="U396" s="28" t="str">
        <f t="shared" si="5"/>
        <v/>
      </c>
      <c r="V396" s="39" t="str">
        <f>IFERROR(__xludf.DUMMYFUNCTION(" IF(Account!$F396&lt;&gt;"""", SPLIT(Account!$F396, "" ""), """")"),"")</f>
        <v/>
      </c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</row>
    <row r="397">
      <c r="A397" s="7"/>
      <c r="B397" s="7"/>
      <c r="C397" s="7"/>
      <c r="D397" s="7"/>
      <c r="E397" s="7"/>
      <c r="F397" s="9"/>
      <c r="G397" s="341"/>
      <c r="H397" s="7"/>
      <c r="I397" s="7"/>
      <c r="J397" s="7"/>
      <c r="K397" s="7"/>
      <c r="L397" s="26" t="str">
        <f t="shared" si="1"/>
        <v/>
      </c>
      <c r="M397" s="28" t="str">
        <f>IFERROR(__xludf.DUMMYFUNCTION("IF(Account!$F397&lt;&gt;"""", VALUE(REGEXREPLACE($I397, ""\,"", ""."")), """")"),"")</f>
        <v/>
      </c>
      <c r="N397" s="31" t="str">
        <f>IF(Account!$F397&lt;&gt;"", DATEVALUE(MID($A397,4,3) &amp; LEFT($A397,3) &amp; RIGHT($A397,4)) + TIMEVALUE($B397), "")</f>
        <v/>
      </c>
      <c r="O397" s="33" t="str">
        <f>IF(Account!$F397&lt;&gt;"", DATEVALUE(MID($A397,4,3) &amp; LEFT($A397,3) &amp; RIGHT($A397,4)), "")</f>
        <v/>
      </c>
      <c r="P397" s="34" t="str">
        <f>IFERROR(VLOOKUP($Q397,Selection!$F:$G,2,false))</f>
        <v/>
      </c>
      <c r="Q397" s="36" t="str">
        <f>IF(AND($X397="change",$H397="EUR"),IF(AND($Z397="Crédit",$N397=$N398),$Q398,IF(AND($Z397="Débit",$N397=$N396),$Q396)),IF(OR(AND(OR($E397&lt;&gt;"",$L397=""),$M397&lt;&gt;0),$A397=""),IFERROR(VLOOKUP($E397,Selection!$E:$F,2,false)),IFERROR(VLOOKUP(SUBSTITUTE($I397,"-","",1),$K398:$Q1119,7,false),VLOOKUP($K397,$K398:$Q1119,7,false))))</f>
        <v/>
      </c>
      <c r="R397" s="34" t="str">
        <f t="shared" si="2"/>
        <v/>
      </c>
      <c r="S397" s="37" t="str">
        <f t="shared" si="3"/>
        <v/>
      </c>
      <c r="T397" s="38" t="str">
        <f t="shared" si="4"/>
        <v/>
      </c>
      <c r="U397" s="28" t="str">
        <f t="shared" si="5"/>
        <v/>
      </c>
      <c r="V397" s="39" t="str">
        <f>IFERROR(__xludf.DUMMYFUNCTION(" IF(Account!$F397&lt;&gt;"""", SPLIT(Account!$F397, "" ""), """")"),"")</f>
        <v/>
      </c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</row>
    <row r="398">
      <c r="A398" s="7"/>
      <c r="B398" s="7"/>
      <c r="C398" s="7"/>
      <c r="D398" s="7"/>
      <c r="E398" s="7"/>
      <c r="F398" s="9"/>
      <c r="G398" s="7"/>
      <c r="H398" s="7"/>
      <c r="I398" s="7"/>
      <c r="J398" s="7"/>
      <c r="K398" s="7"/>
      <c r="L398" s="26" t="str">
        <f t="shared" si="1"/>
        <v/>
      </c>
      <c r="M398" s="28" t="str">
        <f>IFERROR(__xludf.DUMMYFUNCTION("IF(Account!$F398&lt;&gt;"""", VALUE(REGEXREPLACE($I398, ""\,"", ""."")), """")"),"")</f>
        <v/>
      </c>
      <c r="N398" s="31" t="str">
        <f>IF(Account!$F398&lt;&gt;"", DATEVALUE(MID($A398,4,3) &amp; LEFT($A398,3) &amp; RIGHT($A398,4)) + TIMEVALUE($B398), "")</f>
        <v/>
      </c>
      <c r="O398" s="33" t="str">
        <f>IF(Account!$F398&lt;&gt;"", DATEVALUE(MID($A398,4,3) &amp; LEFT($A398,3) &amp; RIGHT($A398,4)), "")</f>
        <v/>
      </c>
      <c r="P398" s="34" t="str">
        <f>IFERROR(VLOOKUP($Q398,Selection!$F:$G,2,false))</f>
        <v/>
      </c>
      <c r="Q398" s="36" t="str">
        <f>IF(AND($X398="change",$H398="EUR"),IF(AND($Z398="Crédit",$N398=$N399),$Q399,IF(AND($Z398="Débit",$N398=$N397),$Q397)),IF(OR(AND(OR($E398&lt;&gt;"",$L398=""),$M398&lt;&gt;0),$A398=""),IFERROR(VLOOKUP($E398,Selection!$E:$F,2,false)),IFERROR(VLOOKUP(SUBSTITUTE($I398,"-","",1),$K399:$Q1119,7,false),VLOOKUP($K398,$K399:$Q1119,7,false))))</f>
        <v/>
      </c>
      <c r="R398" s="34" t="str">
        <f t="shared" si="2"/>
        <v/>
      </c>
      <c r="S398" s="37" t="str">
        <f t="shared" si="3"/>
        <v/>
      </c>
      <c r="T398" s="38" t="str">
        <f t="shared" si="4"/>
        <v/>
      </c>
      <c r="U398" s="28" t="str">
        <f t="shared" si="5"/>
        <v/>
      </c>
      <c r="V398" s="39" t="str">
        <f>IFERROR(__xludf.DUMMYFUNCTION(" IF(Account!$F398&lt;&gt;"""", SPLIT(Account!$F398, "" ""), """")"),"")</f>
        <v/>
      </c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</row>
    <row r="399">
      <c r="A399" s="7"/>
      <c r="B399" s="7"/>
      <c r="C399" s="7"/>
      <c r="D399" s="7"/>
      <c r="E399" s="7"/>
      <c r="F399" s="9"/>
      <c r="G399" s="341"/>
      <c r="H399" s="7"/>
      <c r="I399" s="7"/>
      <c r="J399" s="7"/>
      <c r="K399" s="7"/>
      <c r="L399" s="26" t="str">
        <f t="shared" si="1"/>
        <v/>
      </c>
      <c r="M399" s="28" t="str">
        <f>IFERROR(__xludf.DUMMYFUNCTION("IF(Account!$F399&lt;&gt;"""", VALUE(REGEXREPLACE($I399, ""\,"", ""."")), """")"),"")</f>
        <v/>
      </c>
      <c r="N399" s="31" t="str">
        <f>IF(Account!$F399&lt;&gt;"", DATEVALUE(MID($A399,4,3) &amp; LEFT($A399,3) &amp; RIGHT($A399,4)) + TIMEVALUE($B399), "")</f>
        <v/>
      </c>
      <c r="O399" s="33" t="str">
        <f>IF(Account!$F399&lt;&gt;"", DATEVALUE(MID($A399,4,3) &amp; LEFT($A399,3) &amp; RIGHT($A399,4)), "")</f>
        <v/>
      </c>
      <c r="P399" s="34" t="str">
        <f>IFERROR(VLOOKUP($Q399,Selection!$F:$G,2,false))</f>
        <v/>
      </c>
      <c r="Q399" s="36" t="str">
        <f>IF(AND($X399="change",$H399="EUR"),IF(AND($Z399="Crédit",$N399=$N400),$Q400,IF(AND($Z399="Débit",$N399=$N398),$Q398)),IF(OR(AND(OR($E399&lt;&gt;"",$L399=""),$M399&lt;&gt;0),$A399=""),IFERROR(VLOOKUP($E399,Selection!$E:$F,2,false)),IFERROR(VLOOKUP(SUBSTITUTE($I399,"-","",1),$K400:$Q1119,7,false),VLOOKUP($K399,$K400:$Q1119,7,false))))</f>
        <v/>
      </c>
      <c r="R399" s="34" t="str">
        <f t="shared" si="2"/>
        <v/>
      </c>
      <c r="S399" s="37" t="str">
        <f t="shared" si="3"/>
        <v/>
      </c>
      <c r="T399" s="38" t="str">
        <f t="shared" si="4"/>
        <v/>
      </c>
      <c r="U399" s="28" t="str">
        <f t="shared" si="5"/>
        <v/>
      </c>
      <c r="V399" s="39" t="str">
        <f>IFERROR(__xludf.DUMMYFUNCTION(" IF(Account!$F399&lt;&gt;"""", SPLIT(Account!$F399, "" ""), """")"),"")</f>
        <v/>
      </c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</row>
    <row r="400">
      <c r="A400" s="7"/>
      <c r="B400" s="7"/>
      <c r="C400" s="7"/>
      <c r="D400" s="7"/>
      <c r="E400" s="7"/>
      <c r="F400" s="9"/>
      <c r="G400" s="7"/>
      <c r="H400" s="7"/>
      <c r="I400" s="7"/>
      <c r="J400" s="7"/>
      <c r="K400" s="7"/>
      <c r="L400" s="26" t="str">
        <f t="shared" si="1"/>
        <v/>
      </c>
      <c r="M400" s="28" t="str">
        <f>IFERROR(__xludf.DUMMYFUNCTION("IF(Account!$F400&lt;&gt;"""", VALUE(REGEXREPLACE($I400, ""\,"", ""."")), """")"),"")</f>
        <v/>
      </c>
      <c r="N400" s="31" t="str">
        <f>IF(Account!$F400&lt;&gt;"", DATEVALUE(MID($A400,4,3) &amp; LEFT($A400,3) &amp; RIGHT($A400,4)) + TIMEVALUE($B400), "")</f>
        <v/>
      </c>
      <c r="O400" s="33" t="str">
        <f>IF(Account!$F400&lt;&gt;"", DATEVALUE(MID($A400,4,3) &amp; LEFT($A400,3) &amp; RIGHT($A400,4)), "")</f>
        <v/>
      </c>
      <c r="P400" s="34" t="str">
        <f>IFERROR(VLOOKUP($Q400,Selection!$F:$G,2,false))</f>
        <v/>
      </c>
      <c r="Q400" s="36" t="str">
        <f>IF(AND($X400="change",$H400="EUR"),IF(AND($Z400="Crédit",$N400=$N401),$Q401,IF(AND($Z400="Débit",$N400=$N399),$Q399)),IF(OR(AND(OR($E400&lt;&gt;"",$L400=""),$M400&lt;&gt;0),$A400=""),IFERROR(VLOOKUP($E400,Selection!$E:$F,2,false)),IFERROR(VLOOKUP(SUBSTITUTE($I400,"-","",1),$K401:$Q1119,7,false),VLOOKUP($K400,$K401:$Q1119,7,false))))</f>
        <v/>
      </c>
      <c r="R400" s="34" t="str">
        <f t="shared" si="2"/>
        <v/>
      </c>
      <c r="S400" s="37" t="str">
        <f t="shared" si="3"/>
        <v/>
      </c>
      <c r="T400" s="38" t="str">
        <f t="shared" si="4"/>
        <v/>
      </c>
      <c r="U400" s="28" t="str">
        <f t="shared" si="5"/>
        <v/>
      </c>
      <c r="V400" s="39" t="str">
        <f>IFERROR(__xludf.DUMMYFUNCTION(" IF(Account!$F400&lt;&gt;"""", SPLIT(Account!$F400, "" ""), """")"),"")</f>
        <v/>
      </c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</row>
    <row r="401">
      <c r="A401" s="7"/>
      <c r="B401" s="7"/>
      <c r="C401" s="7"/>
      <c r="D401" s="7"/>
      <c r="E401" s="7"/>
      <c r="F401" s="9"/>
      <c r="G401" s="341"/>
      <c r="H401" s="7"/>
      <c r="I401" s="7"/>
      <c r="J401" s="7"/>
      <c r="K401" s="7"/>
      <c r="L401" s="26" t="str">
        <f t="shared" si="1"/>
        <v/>
      </c>
      <c r="M401" s="28" t="str">
        <f>IFERROR(__xludf.DUMMYFUNCTION("IF(Account!$F401&lt;&gt;"""", VALUE(REGEXREPLACE($I401, ""\,"", ""."")), """")"),"")</f>
        <v/>
      </c>
      <c r="N401" s="31" t="str">
        <f>IF(Account!$F401&lt;&gt;"", DATEVALUE(MID($A401,4,3) &amp; LEFT($A401,3) &amp; RIGHT($A401,4)) + TIMEVALUE($B401), "")</f>
        <v/>
      </c>
      <c r="O401" s="33" t="str">
        <f>IF(Account!$F401&lt;&gt;"", DATEVALUE(MID($A401,4,3) &amp; LEFT($A401,3) &amp; RIGHT($A401,4)), "")</f>
        <v/>
      </c>
      <c r="P401" s="34" t="str">
        <f>IFERROR(VLOOKUP($Q401,Selection!$F:$G,2,false))</f>
        <v/>
      </c>
      <c r="Q401" s="36" t="str">
        <f>IF(AND($X401="change",$H401="EUR"),IF(AND($Z401="Crédit",$N401=$N402),$Q402,IF(AND($Z401="Débit",$N401=$N400),$Q400)),IF(OR(AND(OR($E401&lt;&gt;"",$L401=""),$M401&lt;&gt;0),$A401=""),IFERROR(VLOOKUP($E401,Selection!$E:$F,2,false)),IFERROR(VLOOKUP(SUBSTITUTE($I401,"-","",1),$K402:$Q1119,7,false),VLOOKUP($K401,$K402:$Q1119,7,false))))</f>
        <v/>
      </c>
      <c r="R401" s="34" t="str">
        <f t="shared" si="2"/>
        <v/>
      </c>
      <c r="S401" s="37" t="str">
        <f t="shared" si="3"/>
        <v/>
      </c>
      <c r="T401" s="38" t="str">
        <f t="shared" si="4"/>
        <v/>
      </c>
      <c r="U401" s="28" t="str">
        <f t="shared" si="5"/>
        <v/>
      </c>
      <c r="V401" s="39" t="str">
        <f>IFERROR(__xludf.DUMMYFUNCTION(" IF(Account!$F401&lt;&gt;"""", SPLIT(Account!$F401, "" ""), """")"),"")</f>
        <v/>
      </c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</row>
    <row r="402">
      <c r="A402" s="7"/>
      <c r="B402" s="7"/>
      <c r="C402" s="7"/>
      <c r="D402" s="7"/>
      <c r="E402" s="7"/>
      <c r="F402" s="9"/>
      <c r="G402" s="7"/>
      <c r="H402" s="7"/>
      <c r="I402" s="7"/>
      <c r="J402" s="7"/>
      <c r="K402" s="7"/>
      <c r="L402" s="26" t="str">
        <f t="shared" si="1"/>
        <v/>
      </c>
      <c r="M402" s="28" t="str">
        <f>IFERROR(__xludf.DUMMYFUNCTION("IF(Account!$F402&lt;&gt;"""", VALUE(REGEXREPLACE($I402, ""\,"", ""."")), """")"),"")</f>
        <v/>
      </c>
      <c r="N402" s="31" t="str">
        <f>IF(Account!$F402&lt;&gt;"", DATEVALUE(MID($A402,4,3) &amp; LEFT($A402,3) &amp; RIGHT($A402,4)) + TIMEVALUE($B402), "")</f>
        <v/>
      </c>
      <c r="O402" s="33" t="str">
        <f>IF(Account!$F402&lt;&gt;"", DATEVALUE(MID($A402,4,3) &amp; LEFT($A402,3) &amp; RIGHT($A402,4)), "")</f>
        <v/>
      </c>
      <c r="P402" s="34" t="str">
        <f>IFERROR(VLOOKUP($Q402,Selection!$F:$G,2,false))</f>
        <v/>
      </c>
      <c r="Q402" s="36" t="str">
        <f>IF(AND($X402="change",$H402="EUR"),IF(AND($Z402="Crédit",$N402=$N403),$Q403,IF(AND($Z402="Débit",$N402=$N401),$Q401)),IF(OR(AND(OR($E402&lt;&gt;"",$L402=""),$M402&lt;&gt;0),$A402=""),IFERROR(VLOOKUP($E402,Selection!$E:$F,2,false)),IFERROR(VLOOKUP(SUBSTITUTE($I402,"-","",1),$K403:$Q1119,7,false),VLOOKUP($K402,$K403:$Q1119,7,false))))</f>
        <v/>
      </c>
      <c r="R402" s="34" t="str">
        <f t="shared" si="2"/>
        <v/>
      </c>
      <c r="S402" s="37" t="str">
        <f t="shared" si="3"/>
        <v/>
      </c>
      <c r="T402" s="38" t="str">
        <f t="shared" si="4"/>
        <v/>
      </c>
      <c r="U402" s="28" t="str">
        <f t="shared" si="5"/>
        <v/>
      </c>
      <c r="V402" s="39" t="str">
        <f>IFERROR(__xludf.DUMMYFUNCTION(" IF(Account!$F402&lt;&gt;"""", SPLIT(Account!$F402, "" ""), """")"),"")</f>
        <v/>
      </c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</row>
    <row r="403">
      <c r="A403" s="7"/>
      <c r="B403" s="7"/>
      <c r="C403" s="7"/>
      <c r="D403" s="7"/>
      <c r="E403" s="7"/>
      <c r="F403" s="9"/>
      <c r="G403" s="341"/>
      <c r="H403" s="7"/>
      <c r="I403" s="7"/>
      <c r="J403" s="7"/>
      <c r="K403" s="7"/>
      <c r="L403" s="26" t="str">
        <f t="shared" si="1"/>
        <v/>
      </c>
      <c r="M403" s="28" t="str">
        <f>IFERROR(__xludf.DUMMYFUNCTION("IF(Account!$F403&lt;&gt;"""", VALUE(REGEXREPLACE($I403, ""\,"", ""."")), """")"),"")</f>
        <v/>
      </c>
      <c r="N403" s="31" t="str">
        <f>IF(Account!$F403&lt;&gt;"", DATEVALUE(MID($A403,4,3) &amp; LEFT($A403,3) &amp; RIGHT($A403,4)) + TIMEVALUE($B403), "")</f>
        <v/>
      </c>
      <c r="O403" s="33" t="str">
        <f>IF(Account!$F403&lt;&gt;"", DATEVALUE(MID($A403,4,3) &amp; LEFT($A403,3) &amp; RIGHT($A403,4)), "")</f>
        <v/>
      </c>
      <c r="P403" s="34" t="str">
        <f>IFERROR(VLOOKUP($Q403,Selection!$F:$G,2,false))</f>
        <v/>
      </c>
      <c r="Q403" s="36" t="str">
        <f>IF(AND($X403="change",$H403="EUR"),IF(AND($Z403="Crédit",$N403=$N404),$Q404,IF(AND($Z403="Débit",$N403=$N402),$Q402)),IF(OR(AND(OR($E403&lt;&gt;"",$L403=""),$M403&lt;&gt;0),$A403=""),IFERROR(VLOOKUP($E403,Selection!$E:$F,2,false)),IFERROR(VLOOKUP(SUBSTITUTE($I403,"-","",1),$K404:$Q1119,7,false),VLOOKUP($K403,$K404:$Q1119,7,false))))</f>
        <v/>
      </c>
      <c r="R403" s="34" t="str">
        <f t="shared" si="2"/>
        <v/>
      </c>
      <c r="S403" s="37" t="str">
        <f t="shared" si="3"/>
        <v/>
      </c>
      <c r="T403" s="38" t="str">
        <f t="shared" si="4"/>
        <v/>
      </c>
      <c r="U403" s="28" t="str">
        <f t="shared" si="5"/>
        <v/>
      </c>
      <c r="V403" s="39" t="str">
        <f>IFERROR(__xludf.DUMMYFUNCTION(" IF(Account!$F403&lt;&gt;"""", SPLIT(Account!$F403, "" ""), """")"),"")</f>
        <v/>
      </c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</row>
    <row r="404">
      <c r="A404" s="7"/>
      <c r="B404" s="7"/>
      <c r="C404" s="7"/>
      <c r="D404" s="7"/>
      <c r="E404" s="7"/>
      <c r="F404" s="9"/>
      <c r="G404" s="7"/>
      <c r="H404" s="7"/>
      <c r="I404" s="7"/>
      <c r="J404" s="7"/>
      <c r="K404" s="7"/>
      <c r="L404" s="26" t="str">
        <f t="shared" si="1"/>
        <v/>
      </c>
      <c r="M404" s="28" t="str">
        <f>IFERROR(__xludf.DUMMYFUNCTION("IF(Account!$F404&lt;&gt;"""", VALUE(REGEXREPLACE($I404, ""\,"", ""."")), """")"),"")</f>
        <v/>
      </c>
      <c r="N404" s="31" t="str">
        <f>IF(Account!$F404&lt;&gt;"", DATEVALUE(MID($A404,4,3) &amp; LEFT($A404,3) &amp; RIGHT($A404,4)) + TIMEVALUE($B404), "")</f>
        <v/>
      </c>
      <c r="O404" s="33" t="str">
        <f>IF(Account!$F404&lt;&gt;"", DATEVALUE(MID($A404,4,3) &amp; LEFT($A404,3) &amp; RIGHT($A404,4)), "")</f>
        <v/>
      </c>
      <c r="P404" s="34" t="str">
        <f>IFERROR(VLOOKUP($Q404,Selection!$F:$G,2,false))</f>
        <v/>
      </c>
      <c r="Q404" s="36" t="str">
        <f>IF(AND($X404="change",$H404="EUR"),IF(AND($Z404="Crédit",$N404=$N405),$Q405,IF(AND($Z404="Débit",$N404=$N403),$Q403)),IF(OR(AND(OR($E404&lt;&gt;"",$L404=""),$M404&lt;&gt;0),$A404=""),IFERROR(VLOOKUP($E404,Selection!$E:$F,2,false)),IFERROR(VLOOKUP(SUBSTITUTE($I404,"-","",1),$K405:$Q1119,7,false),VLOOKUP($K404,$K405:$Q1119,7,false))))</f>
        <v/>
      </c>
      <c r="R404" s="34" t="str">
        <f t="shared" si="2"/>
        <v/>
      </c>
      <c r="S404" s="37" t="str">
        <f t="shared" si="3"/>
        <v/>
      </c>
      <c r="T404" s="38" t="str">
        <f t="shared" si="4"/>
        <v/>
      </c>
      <c r="U404" s="28" t="str">
        <f t="shared" si="5"/>
        <v/>
      </c>
      <c r="V404" s="39" t="str">
        <f>IFERROR(__xludf.DUMMYFUNCTION(" IF(Account!$F404&lt;&gt;"""", SPLIT(Account!$F404, "" ""), """")"),"")</f>
        <v/>
      </c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</row>
    <row r="405">
      <c r="A405" s="7"/>
      <c r="B405" s="7"/>
      <c r="C405" s="7"/>
      <c r="D405" s="7"/>
      <c r="E405" s="7"/>
      <c r="F405" s="9"/>
      <c r="G405" s="341"/>
      <c r="H405" s="7"/>
      <c r="I405" s="7"/>
      <c r="J405" s="7"/>
      <c r="K405" s="7"/>
      <c r="L405" s="26" t="str">
        <f t="shared" si="1"/>
        <v/>
      </c>
      <c r="M405" s="28" t="str">
        <f>IFERROR(__xludf.DUMMYFUNCTION("IF(Account!$F405&lt;&gt;"""", VALUE(REGEXREPLACE($I405, ""\,"", ""."")), """")"),"")</f>
        <v/>
      </c>
      <c r="N405" s="31" t="str">
        <f>IF(Account!$F405&lt;&gt;"", DATEVALUE(MID($A405,4,3) &amp; LEFT($A405,3) &amp; RIGHT($A405,4)) + TIMEVALUE($B405), "")</f>
        <v/>
      </c>
      <c r="O405" s="33" t="str">
        <f>IF(Account!$F405&lt;&gt;"", DATEVALUE(MID($A405,4,3) &amp; LEFT($A405,3) &amp; RIGHT($A405,4)), "")</f>
        <v/>
      </c>
      <c r="P405" s="34" t="str">
        <f>IFERROR(VLOOKUP($Q405,Selection!$F:$G,2,false))</f>
        <v/>
      </c>
      <c r="Q405" s="36" t="str">
        <f>IF(AND($X405="change",$H405="EUR"),IF(AND($Z405="Crédit",$N405=$N406),$Q406,IF(AND($Z405="Débit",$N405=$N404),$Q404)),IF(OR(AND(OR($E405&lt;&gt;"",$L405=""),$M405&lt;&gt;0),$A405=""),IFERROR(VLOOKUP($E405,Selection!$E:$F,2,false)),IFERROR(VLOOKUP(SUBSTITUTE($I405,"-","",1),$K406:$Q1119,7,false),VLOOKUP($K405,$K406:$Q1119,7,false))))</f>
        <v/>
      </c>
      <c r="R405" s="34" t="str">
        <f t="shared" si="2"/>
        <v/>
      </c>
      <c r="S405" s="37" t="str">
        <f t="shared" si="3"/>
        <v/>
      </c>
      <c r="T405" s="38" t="str">
        <f t="shared" si="4"/>
        <v/>
      </c>
      <c r="U405" s="28" t="str">
        <f t="shared" si="5"/>
        <v/>
      </c>
      <c r="V405" s="39" t="str">
        <f>IFERROR(__xludf.DUMMYFUNCTION(" IF(Account!$F405&lt;&gt;"""", SPLIT(Account!$F405, "" ""), """")"),"")</f>
        <v/>
      </c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</row>
    <row r="406">
      <c r="A406" s="7"/>
      <c r="B406" s="7"/>
      <c r="C406" s="7"/>
      <c r="D406" s="7"/>
      <c r="E406" s="7"/>
      <c r="F406" s="9"/>
      <c r="G406" s="7"/>
      <c r="H406" s="7"/>
      <c r="I406" s="7"/>
      <c r="J406" s="7"/>
      <c r="K406" s="7"/>
      <c r="L406" s="26" t="str">
        <f t="shared" si="1"/>
        <v/>
      </c>
      <c r="M406" s="28" t="str">
        <f>IFERROR(__xludf.DUMMYFUNCTION("IF(Account!$F406&lt;&gt;"""", VALUE(REGEXREPLACE($I406, ""\,"", ""."")), """")"),"")</f>
        <v/>
      </c>
      <c r="N406" s="31" t="str">
        <f>IF(Account!$F406&lt;&gt;"", DATEVALUE(MID($A406,4,3) &amp; LEFT($A406,3) &amp; RIGHT($A406,4)) + TIMEVALUE($B406), "")</f>
        <v/>
      </c>
      <c r="O406" s="33" t="str">
        <f>IF(Account!$F406&lt;&gt;"", DATEVALUE(MID($A406,4,3) &amp; LEFT($A406,3) &amp; RIGHT($A406,4)), "")</f>
        <v/>
      </c>
      <c r="P406" s="34" t="str">
        <f>IFERROR(VLOOKUP($Q406,Selection!$F:$G,2,false))</f>
        <v/>
      </c>
      <c r="Q406" s="36" t="str">
        <f>IF(AND($X406="change",$H406="EUR"),IF(AND($Z406="Crédit",$N406=$N407),$Q407,IF(AND($Z406="Débit",$N406=$N405),$Q405)),IF(OR(AND(OR($E406&lt;&gt;"",$L406=""),$M406&lt;&gt;0),$A406=""),IFERROR(VLOOKUP($E406,Selection!$E:$F,2,false)),IFERROR(VLOOKUP(SUBSTITUTE($I406,"-","",1),$K407:$Q1119,7,false),VLOOKUP($K406,$K407:$Q1119,7,false))))</f>
        <v/>
      </c>
      <c r="R406" s="34" t="str">
        <f t="shared" si="2"/>
        <v/>
      </c>
      <c r="S406" s="37" t="str">
        <f t="shared" si="3"/>
        <v/>
      </c>
      <c r="T406" s="38" t="str">
        <f t="shared" si="4"/>
        <v/>
      </c>
      <c r="U406" s="28" t="str">
        <f t="shared" si="5"/>
        <v/>
      </c>
      <c r="V406" s="39" t="str">
        <f>IFERROR(__xludf.DUMMYFUNCTION(" IF(Account!$F406&lt;&gt;"""", SPLIT(Account!$F406, "" ""), """")"),"")</f>
        <v/>
      </c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</row>
    <row r="407">
      <c r="A407" s="7"/>
      <c r="B407" s="7"/>
      <c r="C407" s="7"/>
      <c r="D407" s="7"/>
      <c r="E407" s="7"/>
      <c r="F407" s="9"/>
      <c r="G407" s="341"/>
      <c r="H407" s="7"/>
      <c r="I407" s="7"/>
      <c r="J407" s="7"/>
      <c r="K407" s="7"/>
      <c r="L407" s="26" t="str">
        <f t="shared" si="1"/>
        <v/>
      </c>
      <c r="M407" s="28" t="str">
        <f>IFERROR(__xludf.DUMMYFUNCTION("IF(Account!$F407&lt;&gt;"""", VALUE(REGEXREPLACE($I407, ""\,"", ""."")), """")"),"")</f>
        <v/>
      </c>
      <c r="N407" s="31" t="str">
        <f>IF(Account!$F407&lt;&gt;"", DATEVALUE(MID($A407,4,3) &amp; LEFT($A407,3) &amp; RIGHT($A407,4)) + TIMEVALUE($B407), "")</f>
        <v/>
      </c>
      <c r="O407" s="33" t="str">
        <f>IF(Account!$F407&lt;&gt;"", DATEVALUE(MID($A407,4,3) &amp; LEFT($A407,3) &amp; RIGHT($A407,4)), "")</f>
        <v/>
      </c>
      <c r="P407" s="34" t="str">
        <f>IFERROR(VLOOKUP($Q407,Selection!$F:$G,2,false))</f>
        <v/>
      </c>
      <c r="Q407" s="36" t="str">
        <f>IF(AND($X407="change",$H407="EUR"),IF(AND($Z407="Crédit",$N407=$N408),$Q408,IF(AND($Z407="Débit",$N407=$N406),$Q406)),IF(OR(AND(OR($E407&lt;&gt;"",$L407=""),$M407&lt;&gt;0),$A407=""),IFERROR(VLOOKUP($E407,Selection!$E:$F,2,false)),IFERROR(VLOOKUP(SUBSTITUTE($I407,"-","",1),$K408:$Q1119,7,false),VLOOKUP($K407,$K408:$Q1119,7,false))))</f>
        <v/>
      </c>
      <c r="R407" s="34" t="str">
        <f t="shared" si="2"/>
        <v/>
      </c>
      <c r="S407" s="37" t="str">
        <f t="shared" si="3"/>
        <v/>
      </c>
      <c r="T407" s="38" t="str">
        <f t="shared" si="4"/>
        <v/>
      </c>
      <c r="U407" s="28" t="str">
        <f t="shared" si="5"/>
        <v/>
      </c>
      <c r="V407" s="39" t="str">
        <f>IFERROR(__xludf.DUMMYFUNCTION(" IF(Account!$F407&lt;&gt;"""", SPLIT(Account!$F407, "" ""), """")"),"")</f>
        <v/>
      </c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</row>
    <row r="408">
      <c r="A408" s="7"/>
      <c r="B408" s="7"/>
      <c r="C408" s="7"/>
      <c r="D408" s="7"/>
      <c r="E408" s="7"/>
      <c r="F408" s="9"/>
      <c r="G408" s="7"/>
      <c r="H408" s="7"/>
      <c r="I408" s="7"/>
      <c r="J408" s="7"/>
      <c r="K408" s="7"/>
      <c r="L408" s="26" t="str">
        <f t="shared" si="1"/>
        <v/>
      </c>
      <c r="M408" s="28" t="str">
        <f>IFERROR(__xludf.DUMMYFUNCTION("IF(Account!$F408&lt;&gt;"""", VALUE(REGEXREPLACE($I408, ""\,"", ""."")), """")"),"")</f>
        <v/>
      </c>
      <c r="N408" s="31" t="str">
        <f>IF(Account!$F408&lt;&gt;"", DATEVALUE(MID($A408,4,3) &amp; LEFT($A408,3) &amp; RIGHT($A408,4)) + TIMEVALUE($B408), "")</f>
        <v/>
      </c>
      <c r="O408" s="33" t="str">
        <f>IF(Account!$F408&lt;&gt;"", DATEVALUE(MID($A408,4,3) &amp; LEFT($A408,3) &amp; RIGHT($A408,4)), "")</f>
        <v/>
      </c>
      <c r="P408" s="34" t="str">
        <f>IFERROR(VLOOKUP($Q408,Selection!$F:$G,2,false))</f>
        <v/>
      </c>
      <c r="Q408" s="36" t="str">
        <f>IF(AND($X408="change",$H408="EUR"),IF(AND($Z408="Crédit",$N408=$N409),$Q409,IF(AND($Z408="Débit",$N408=$N407),$Q407)),IF(OR(AND(OR($E408&lt;&gt;"",$L408=""),$M408&lt;&gt;0),$A408=""),IFERROR(VLOOKUP($E408,Selection!$E:$F,2,false)),IFERROR(VLOOKUP(SUBSTITUTE($I408,"-","",1),$K409:$Q1119,7,false),VLOOKUP($K408,$K409:$Q1119,7,false))))</f>
        <v/>
      </c>
      <c r="R408" s="34" t="str">
        <f t="shared" si="2"/>
        <v/>
      </c>
      <c r="S408" s="37" t="str">
        <f t="shared" si="3"/>
        <v/>
      </c>
      <c r="T408" s="38" t="str">
        <f t="shared" si="4"/>
        <v/>
      </c>
      <c r="U408" s="28" t="str">
        <f t="shared" si="5"/>
        <v/>
      </c>
      <c r="V408" s="39" t="str">
        <f>IFERROR(__xludf.DUMMYFUNCTION(" IF(Account!$F408&lt;&gt;"""", SPLIT(Account!$F408, "" ""), """")"),"")</f>
        <v/>
      </c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</row>
    <row r="409">
      <c r="A409" s="7"/>
      <c r="B409" s="7"/>
      <c r="C409" s="7"/>
      <c r="D409" s="7"/>
      <c r="E409" s="7"/>
      <c r="F409" s="9"/>
      <c r="G409" s="341"/>
      <c r="H409" s="7"/>
      <c r="I409" s="7"/>
      <c r="J409" s="7"/>
      <c r="K409" s="7"/>
      <c r="L409" s="26" t="str">
        <f t="shared" si="1"/>
        <v/>
      </c>
      <c r="M409" s="28" t="str">
        <f>IFERROR(__xludf.DUMMYFUNCTION("IF(Account!$F409&lt;&gt;"""", VALUE(REGEXREPLACE($I409, ""\,"", ""."")), """")"),"")</f>
        <v/>
      </c>
      <c r="N409" s="31" t="str">
        <f>IF(Account!$F409&lt;&gt;"", DATEVALUE(MID($A409,4,3) &amp; LEFT($A409,3) &amp; RIGHT($A409,4)) + TIMEVALUE($B409), "")</f>
        <v/>
      </c>
      <c r="O409" s="33" t="str">
        <f>IF(Account!$F409&lt;&gt;"", DATEVALUE(MID($A409,4,3) &amp; LEFT($A409,3) &amp; RIGHT($A409,4)), "")</f>
        <v/>
      </c>
      <c r="P409" s="34" t="str">
        <f>IFERROR(VLOOKUP($Q409,Selection!$F:$G,2,false))</f>
        <v/>
      </c>
      <c r="Q409" s="36" t="str">
        <f>IF(AND($X409="change",$H409="EUR"),IF(AND($Z409="Crédit",$N409=$N410),$Q410,IF(AND($Z409="Débit",$N409=$N408),$Q408)),IF(OR(AND(OR($E409&lt;&gt;"",$L409=""),$M409&lt;&gt;0),$A409=""),IFERROR(VLOOKUP($E409,Selection!$E:$F,2,false)),IFERROR(VLOOKUP(SUBSTITUTE($I409,"-","",1),$K410:$Q1119,7,false),VLOOKUP($K409,$K410:$Q1119,7,false))))</f>
        <v/>
      </c>
      <c r="R409" s="34" t="str">
        <f t="shared" si="2"/>
        <v/>
      </c>
      <c r="S409" s="37" t="str">
        <f t="shared" si="3"/>
        <v/>
      </c>
      <c r="T409" s="38" t="str">
        <f t="shared" si="4"/>
        <v/>
      </c>
      <c r="U409" s="28" t="str">
        <f t="shared" si="5"/>
        <v/>
      </c>
      <c r="V409" s="39" t="str">
        <f>IFERROR(__xludf.DUMMYFUNCTION(" IF(Account!$F409&lt;&gt;"""", SPLIT(Account!$F409, "" ""), """")"),"")</f>
        <v/>
      </c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</row>
    <row r="410">
      <c r="A410" s="7"/>
      <c r="B410" s="7"/>
      <c r="C410" s="7"/>
      <c r="D410" s="7"/>
      <c r="E410" s="7"/>
      <c r="F410" s="9"/>
      <c r="G410" s="7"/>
      <c r="H410" s="7"/>
      <c r="I410" s="7"/>
      <c r="J410" s="7"/>
      <c r="K410" s="7"/>
      <c r="L410" s="26" t="str">
        <f t="shared" si="1"/>
        <v/>
      </c>
      <c r="M410" s="28" t="str">
        <f>IFERROR(__xludf.DUMMYFUNCTION("IF(Account!$F410&lt;&gt;"""", VALUE(REGEXREPLACE($I410, ""\,"", ""."")), """")"),"")</f>
        <v/>
      </c>
      <c r="N410" s="31" t="str">
        <f>IF(Account!$F410&lt;&gt;"", DATEVALUE(MID($A410,4,3) &amp; LEFT($A410,3) &amp; RIGHT($A410,4)) + TIMEVALUE($B410), "")</f>
        <v/>
      </c>
      <c r="O410" s="33" t="str">
        <f>IF(Account!$F410&lt;&gt;"", DATEVALUE(MID($A410,4,3) &amp; LEFT($A410,3) &amp; RIGHT($A410,4)), "")</f>
        <v/>
      </c>
      <c r="P410" s="34" t="str">
        <f>IFERROR(VLOOKUP($Q410,Selection!$F:$G,2,false))</f>
        <v/>
      </c>
      <c r="Q410" s="36" t="str">
        <f>IF(AND($X410="change",$H410="EUR"),IF(AND($Z410="Crédit",$N410=$N411),$Q411,IF(AND($Z410="Débit",$N410=$N409),$Q409)),IF(OR(AND(OR($E410&lt;&gt;"",$L410=""),$M410&lt;&gt;0),$A410=""),IFERROR(VLOOKUP($E410,Selection!$E:$F,2,false)),IFERROR(VLOOKUP(SUBSTITUTE($I410,"-","",1),$K411:$Q1119,7,false),VLOOKUP($K410,$K411:$Q1119,7,false))))</f>
        <v/>
      </c>
      <c r="R410" s="34" t="str">
        <f t="shared" si="2"/>
        <v/>
      </c>
      <c r="S410" s="37" t="str">
        <f t="shared" si="3"/>
        <v/>
      </c>
      <c r="T410" s="38" t="str">
        <f t="shared" si="4"/>
        <v/>
      </c>
      <c r="U410" s="28" t="str">
        <f t="shared" si="5"/>
        <v/>
      </c>
      <c r="V410" s="39" t="str">
        <f>IFERROR(__xludf.DUMMYFUNCTION(" IF(Account!$F410&lt;&gt;"""", SPLIT(Account!$F410, "" ""), """")"),"")</f>
        <v/>
      </c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</row>
    <row r="411">
      <c r="A411" s="7"/>
      <c r="B411" s="7"/>
      <c r="C411" s="7"/>
      <c r="D411" s="7"/>
      <c r="E411" s="7"/>
      <c r="F411" s="9"/>
      <c r="G411" s="341"/>
      <c r="H411" s="7"/>
      <c r="I411" s="7"/>
      <c r="J411" s="7"/>
      <c r="K411" s="7"/>
      <c r="L411" s="26" t="str">
        <f t="shared" si="1"/>
        <v/>
      </c>
      <c r="M411" s="28" t="str">
        <f>IFERROR(__xludf.DUMMYFUNCTION("IF(Account!$F411&lt;&gt;"""", VALUE(REGEXREPLACE($I411, ""\,"", ""."")), """")"),"")</f>
        <v/>
      </c>
      <c r="N411" s="31" t="str">
        <f>IF(Account!$F411&lt;&gt;"", DATEVALUE(MID($A411,4,3) &amp; LEFT($A411,3) &amp; RIGHT($A411,4)) + TIMEVALUE($B411), "")</f>
        <v/>
      </c>
      <c r="O411" s="33" t="str">
        <f>IF(Account!$F411&lt;&gt;"", DATEVALUE(MID($A411,4,3) &amp; LEFT($A411,3) &amp; RIGHT($A411,4)), "")</f>
        <v/>
      </c>
      <c r="P411" s="34" t="str">
        <f>IFERROR(VLOOKUP($Q411,Selection!$F:$G,2,false))</f>
        <v/>
      </c>
      <c r="Q411" s="36" t="str">
        <f>IF(AND($X411="change",$H411="EUR"),IF(AND($Z411="Crédit",$N411=$N412),$Q412,IF(AND($Z411="Débit",$N411=$N410),$Q410)),IF(OR(AND(OR($E411&lt;&gt;"",$L411=""),$M411&lt;&gt;0),$A411=""),IFERROR(VLOOKUP($E411,Selection!$E:$F,2,false)),IFERROR(VLOOKUP(SUBSTITUTE($I411,"-","",1),$K412:$Q1119,7,false),VLOOKUP($K411,$K412:$Q1119,7,false))))</f>
        <v/>
      </c>
      <c r="R411" s="34" t="str">
        <f t="shared" si="2"/>
        <v/>
      </c>
      <c r="S411" s="37" t="str">
        <f t="shared" si="3"/>
        <v/>
      </c>
      <c r="T411" s="38" t="str">
        <f t="shared" si="4"/>
        <v/>
      </c>
      <c r="U411" s="28" t="str">
        <f t="shared" si="5"/>
        <v/>
      </c>
      <c r="V411" s="39" t="str">
        <f>IFERROR(__xludf.DUMMYFUNCTION(" IF(Account!$F411&lt;&gt;"""", SPLIT(Account!$F411, "" ""), """")"),"")</f>
        <v/>
      </c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</row>
    <row r="412">
      <c r="A412" s="7"/>
      <c r="B412" s="7"/>
      <c r="C412" s="7"/>
      <c r="D412" s="7"/>
      <c r="E412" s="7"/>
      <c r="F412" s="9"/>
      <c r="G412" s="341"/>
      <c r="H412" s="7"/>
      <c r="I412" s="7"/>
      <c r="J412" s="7"/>
      <c r="K412" s="7"/>
      <c r="L412" s="26" t="str">
        <f t="shared" si="1"/>
        <v/>
      </c>
      <c r="M412" s="28" t="str">
        <f>IFERROR(__xludf.DUMMYFUNCTION("IF(Account!$F412&lt;&gt;"""", VALUE(REGEXREPLACE($I412, ""\,"", ""."")), """")"),"")</f>
        <v/>
      </c>
      <c r="N412" s="31" t="str">
        <f>IF(Account!$F412&lt;&gt;"", DATEVALUE(MID($A412,4,3) &amp; LEFT($A412,3) &amp; RIGHT($A412,4)) + TIMEVALUE($B412), "")</f>
        <v/>
      </c>
      <c r="O412" s="33" t="str">
        <f>IF(Account!$F412&lt;&gt;"", DATEVALUE(MID($A412,4,3) &amp; LEFT($A412,3) &amp; RIGHT($A412,4)), "")</f>
        <v/>
      </c>
      <c r="P412" s="34" t="str">
        <f>IFERROR(VLOOKUP($Q412,Selection!$F:$G,2,false))</f>
        <v/>
      </c>
      <c r="Q412" s="36" t="str">
        <f>IF(AND($X412="change",$H412="EUR"),IF(AND($Z412="Crédit",$N412=$N413),$Q413,IF(AND($Z412="Débit",$N412=$N411),$Q411)),IF(OR(AND(OR($E412&lt;&gt;"",$L412=""),$M412&lt;&gt;0),$A412=""),IFERROR(VLOOKUP($E412,Selection!$E:$F,2,false)),IFERROR(VLOOKUP(SUBSTITUTE($I412,"-","",1),$K413:$Q1119,7,false),VLOOKUP($K412,$K413:$Q1119,7,false))))</f>
        <v/>
      </c>
      <c r="R412" s="34" t="str">
        <f t="shared" si="2"/>
        <v/>
      </c>
      <c r="S412" s="37" t="str">
        <f t="shared" si="3"/>
        <v/>
      </c>
      <c r="T412" s="38" t="str">
        <f t="shared" si="4"/>
        <v/>
      </c>
      <c r="U412" s="28" t="str">
        <f t="shared" si="5"/>
        <v/>
      </c>
      <c r="V412" s="39" t="str">
        <f>IFERROR(__xludf.DUMMYFUNCTION(" IF(Account!$F412&lt;&gt;"""", SPLIT(Account!$F412, "" ""), """")"),"")</f>
        <v/>
      </c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</row>
    <row r="413">
      <c r="A413" s="7"/>
      <c r="B413" s="7"/>
      <c r="C413" s="7"/>
      <c r="D413" s="7"/>
      <c r="E413" s="7"/>
      <c r="F413" s="9"/>
      <c r="G413" s="341"/>
      <c r="H413" s="7"/>
      <c r="I413" s="7"/>
      <c r="J413" s="7"/>
      <c r="K413" s="7"/>
      <c r="L413" s="26" t="str">
        <f t="shared" si="1"/>
        <v/>
      </c>
      <c r="M413" s="28" t="str">
        <f>IFERROR(__xludf.DUMMYFUNCTION("IF(Account!$F413&lt;&gt;"""", VALUE(REGEXREPLACE($I413, ""\,"", ""."")), """")"),"")</f>
        <v/>
      </c>
      <c r="N413" s="31" t="str">
        <f>IF(Account!$F413&lt;&gt;"", DATEVALUE(MID($A413,4,3) &amp; LEFT($A413,3) &amp; RIGHT($A413,4)) + TIMEVALUE($B413), "")</f>
        <v/>
      </c>
      <c r="O413" s="33" t="str">
        <f>IF(Account!$F413&lt;&gt;"", DATEVALUE(MID($A413,4,3) &amp; LEFT($A413,3) &amp; RIGHT($A413,4)), "")</f>
        <v/>
      </c>
      <c r="P413" s="34" t="str">
        <f>IFERROR(VLOOKUP($Q413,Selection!$F:$G,2,false))</f>
        <v/>
      </c>
      <c r="Q413" s="36" t="str">
        <f>IF(AND($X413="change",$H413="EUR"),IF(AND($Z413="Crédit",$N413=$N414),$Q414,IF(AND($Z413="Débit",$N413=$N412),$Q412)),IF(OR(AND(OR($E413&lt;&gt;"",$L413=""),$M413&lt;&gt;0),$A413=""),IFERROR(VLOOKUP($E413,Selection!$E:$F,2,false)),IFERROR(VLOOKUP(SUBSTITUTE($I413,"-","",1),$K414:$Q1119,7,false),VLOOKUP($K413,$K414:$Q1119,7,false))))</f>
        <v/>
      </c>
      <c r="R413" s="34" t="str">
        <f t="shared" si="2"/>
        <v/>
      </c>
      <c r="S413" s="37" t="str">
        <f t="shared" si="3"/>
        <v/>
      </c>
      <c r="T413" s="38" t="str">
        <f t="shared" si="4"/>
        <v/>
      </c>
      <c r="U413" s="28" t="str">
        <f t="shared" si="5"/>
        <v/>
      </c>
      <c r="V413" s="39" t="str">
        <f>IFERROR(__xludf.DUMMYFUNCTION(" IF(Account!$F413&lt;&gt;"""", SPLIT(Account!$F413, "" ""), """")"),"")</f>
        <v/>
      </c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</row>
    <row r="414">
      <c r="A414" s="7"/>
      <c r="B414" s="7"/>
      <c r="C414" s="7"/>
      <c r="D414" s="7"/>
      <c r="E414" s="7"/>
      <c r="F414" s="9"/>
      <c r="G414" s="341"/>
      <c r="H414" s="7"/>
      <c r="I414" s="7"/>
      <c r="J414" s="7"/>
      <c r="K414" s="7"/>
      <c r="L414" s="26" t="str">
        <f t="shared" si="1"/>
        <v/>
      </c>
      <c r="M414" s="28" t="str">
        <f>IFERROR(__xludf.DUMMYFUNCTION("IF(Account!$F414&lt;&gt;"""", VALUE(REGEXREPLACE($I414, ""\,"", ""."")), """")"),"")</f>
        <v/>
      </c>
      <c r="N414" s="31" t="str">
        <f>IF(Account!$F414&lt;&gt;"", DATEVALUE(MID($A414,4,3) &amp; LEFT($A414,3) &amp; RIGHT($A414,4)) + TIMEVALUE($B414), "")</f>
        <v/>
      </c>
      <c r="O414" s="33" t="str">
        <f>IF(Account!$F414&lt;&gt;"", DATEVALUE(MID($A414,4,3) &amp; LEFT($A414,3) &amp; RIGHT($A414,4)), "")</f>
        <v/>
      </c>
      <c r="P414" s="34" t="str">
        <f>IFERROR(VLOOKUP($Q414,Selection!$F:$G,2,false))</f>
        <v/>
      </c>
      <c r="Q414" s="36" t="str">
        <f>IF(AND($X414="change",$H414="EUR"),IF(AND($Z414="Crédit",$N414=$N415),$Q415,IF(AND($Z414="Débit",$N414=$N413),$Q413)),IF(OR(AND(OR($E414&lt;&gt;"",$L414=""),$M414&lt;&gt;0),$A414=""),IFERROR(VLOOKUP($E414,Selection!$E:$F,2,false)),IFERROR(VLOOKUP(SUBSTITUTE($I414,"-","",1),$K415:$Q1119,7,false),VLOOKUP($K414,$K415:$Q1119,7,false))))</f>
        <v/>
      </c>
      <c r="R414" s="34" t="str">
        <f t="shared" si="2"/>
        <v/>
      </c>
      <c r="S414" s="37" t="str">
        <f t="shared" si="3"/>
        <v/>
      </c>
      <c r="T414" s="38" t="str">
        <f t="shared" si="4"/>
        <v/>
      </c>
      <c r="U414" s="28" t="str">
        <f t="shared" si="5"/>
        <v/>
      </c>
      <c r="V414" s="39" t="str">
        <f>IFERROR(__xludf.DUMMYFUNCTION(" IF(Account!$F414&lt;&gt;"""", SPLIT(Account!$F414, "" ""), """")"),"")</f>
        <v/>
      </c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</row>
    <row r="415">
      <c r="A415" s="7"/>
      <c r="B415" s="7"/>
      <c r="C415" s="7"/>
      <c r="D415" s="7"/>
      <c r="E415" s="7"/>
      <c r="F415" s="9"/>
      <c r="G415" s="341"/>
      <c r="H415" s="7"/>
      <c r="I415" s="7"/>
      <c r="J415" s="7"/>
      <c r="K415" s="7"/>
      <c r="L415" s="26" t="str">
        <f t="shared" si="1"/>
        <v/>
      </c>
      <c r="M415" s="28" t="str">
        <f>IFERROR(__xludf.DUMMYFUNCTION("IF(Account!$F415&lt;&gt;"""", VALUE(REGEXREPLACE($I415, ""\,"", ""."")), """")"),"")</f>
        <v/>
      </c>
      <c r="N415" s="31" t="str">
        <f>IF(Account!$F415&lt;&gt;"", DATEVALUE(MID($A415,4,3) &amp; LEFT($A415,3) &amp; RIGHT($A415,4)) + TIMEVALUE($B415), "")</f>
        <v/>
      </c>
      <c r="O415" s="33" t="str">
        <f>IF(Account!$F415&lt;&gt;"", DATEVALUE(MID($A415,4,3) &amp; LEFT($A415,3) &amp; RIGHT($A415,4)), "")</f>
        <v/>
      </c>
      <c r="P415" s="34" t="str">
        <f>IFERROR(VLOOKUP($Q415,Selection!$F:$G,2,false))</f>
        <v/>
      </c>
      <c r="Q415" s="36" t="str">
        <f>IF(AND($X415="change",$H415="EUR"),IF(AND($Z415="Crédit",$N415=$N416),$Q416,IF(AND($Z415="Débit",$N415=$N414),$Q414)),IF(OR(AND(OR($E415&lt;&gt;"",$L415=""),$M415&lt;&gt;0),$A415=""),IFERROR(VLOOKUP($E415,Selection!$E:$F,2,false)),IFERROR(VLOOKUP(SUBSTITUTE($I415,"-","",1),$K416:$Q1119,7,false),VLOOKUP($K415,$K416:$Q1119,7,false))))</f>
        <v/>
      </c>
      <c r="R415" s="34" t="str">
        <f t="shared" si="2"/>
        <v/>
      </c>
      <c r="S415" s="37" t="str">
        <f t="shared" si="3"/>
        <v/>
      </c>
      <c r="T415" s="38" t="str">
        <f t="shared" si="4"/>
        <v/>
      </c>
      <c r="U415" s="28" t="str">
        <f t="shared" si="5"/>
        <v/>
      </c>
      <c r="V415" s="39" t="str">
        <f>IFERROR(__xludf.DUMMYFUNCTION(" IF(Account!$F415&lt;&gt;"""", SPLIT(Account!$F415, "" ""), """")"),"")</f>
        <v/>
      </c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</row>
    <row r="416">
      <c r="A416" s="7"/>
      <c r="B416" s="7"/>
      <c r="C416" s="7"/>
      <c r="D416" s="7"/>
      <c r="E416" s="7"/>
      <c r="F416" s="9"/>
      <c r="G416" s="341"/>
      <c r="H416" s="7"/>
      <c r="I416" s="7"/>
      <c r="J416" s="7"/>
      <c r="K416" s="7"/>
      <c r="L416" s="26" t="str">
        <f t="shared" si="1"/>
        <v/>
      </c>
      <c r="M416" s="28" t="str">
        <f>IFERROR(__xludf.DUMMYFUNCTION("IF(Account!$F416&lt;&gt;"""", VALUE(REGEXREPLACE($I416, ""\,"", ""."")), """")"),"")</f>
        <v/>
      </c>
      <c r="N416" s="31" t="str">
        <f>IF(Account!$F416&lt;&gt;"", DATEVALUE(MID($A416,4,3) &amp; LEFT($A416,3) &amp; RIGHT($A416,4)) + TIMEVALUE($B416), "")</f>
        <v/>
      </c>
      <c r="O416" s="33" t="str">
        <f>IF(Account!$F416&lt;&gt;"", DATEVALUE(MID($A416,4,3) &amp; LEFT($A416,3) &amp; RIGHT($A416,4)), "")</f>
        <v/>
      </c>
      <c r="P416" s="34" t="str">
        <f>IFERROR(VLOOKUP($Q416,Selection!$F:$G,2,false))</f>
        <v/>
      </c>
      <c r="Q416" s="36" t="str">
        <f>IF(AND($X416="change",$H416="EUR"),IF(AND($Z416="Crédit",$N416=$N417),$Q417,IF(AND($Z416="Débit",$N416=$N415),$Q415)),IF(OR(AND(OR($E416&lt;&gt;"",$L416=""),$M416&lt;&gt;0),$A416=""),IFERROR(VLOOKUP($E416,Selection!$E:$F,2,false)),IFERROR(VLOOKUP(SUBSTITUTE($I416,"-","",1),$K417:$Q1119,7,false),VLOOKUP($K416,$K417:$Q1119,7,false))))</f>
        <v/>
      </c>
      <c r="R416" s="34" t="str">
        <f t="shared" si="2"/>
        <v/>
      </c>
      <c r="S416" s="37" t="str">
        <f t="shared" si="3"/>
        <v/>
      </c>
      <c r="T416" s="38" t="str">
        <f t="shared" si="4"/>
        <v/>
      </c>
      <c r="U416" s="28" t="str">
        <f t="shared" si="5"/>
        <v/>
      </c>
      <c r="V416" s="39" t="str">
        <f>IFERROR(__xludf.DUMMYFUNCTION(" IF(Account!$F416&lt;&gt;"""", SPLIT(Account!$F416, "" ""), """")"),"")</f>
        <v/>
      </c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</row>
    <row r="417">
      <c r="A417" s="7"/>
      <c r="B417" s="7"/>
      <c r="C417" s="7"/>
      <c r="D417" s="7"/>
      <c r="E417" s="7"/>
      <c r="F417" s="9"/>
      <c r="G417" s="341"/>
      <c r="H417" s="7"/>
      <c r="I417" s="7"/>
      <c r="J417" s="7"/>
      <c r="K417" s="7"/>
      <c r="L417" s="26" t="str">
        <f t="shared" si="1"/>
        <v/>
      </c>
      <c r="M417" s="28" t="str">
        <f>IFERROR(__xludf.DUMMYFUNCTION("IF(Account!$F417&lt;&gt;"""", VALUE(REGEXREPLACE($I417, ""\,"", ""."")), """")"),"")</f>
        <v/>
      </c>
      <c r="N417" s="31" t="str">
        <f>IF(Account!$F417&lt;&gt;"", DATEVALUE(MID($A417,4,3) &amp; LEFT($A417,3) &amp; RIGHT($A417,4)) + TIMEVALUE($B417), "")</f>
        <v/>
      </c>
      <c r="O417" s="33" t="str">
        <f>IF(Account!$F417&lt;&gt;"", DATEVALUE(MID($A417,4,3) &amp; LEFT($A417,3) &amp; RIGHT($A417,4)), "")</f>
        <v/>
      </c>
      <c r="P417" s="34" t="str">
        <f>IFERROR(VLOOKUP($Q417,Selection!$F:$G,2,false))</f>
        <v/>
      </c>
      <c r="Q417" s="36" t="str">
        <f>IF(AND($X417="change",$H417="EUR"),IF(AND($Z417="Crédit",$N417=$N418),$Q418,IF(AND($Z417="Débit",$N417=$N416),$Q416)),IF(OR(AND(OR($E417&lt;&gt;"",$L417=""),$M417&lt;&gt;0),$A417=""),IFERROR(VLOOKUP($E417,Selection!$E:$F,2,false)),IFERROR(VLOOKUP(SUBSTITUTE($I417,"-","",1),$K418:$Q1119,7,false),VLOOKUP($K417,$K418:$Q1119,7,false))))</f>
        <v/>
      </c>
      <c r="R417" s="34" t="str">
        <f t="shared" si="2"/>
        <v/>
      </c>
      <c r="S417" s="37" t="str">
        <f t="shared" si="3"/>
        <v/>
      </c>
      <c r="T417" s="38" t="str">
        <f t="shared" si="4"/>
        <v/>
      </c>
      <c r="U417" s="28" t="str">
        <f t="shared" si="5"/>
        <v/>
      </c>
      <c r="V417" s="39" t="str">
        <f>IFERROR(__xludf.DUMMYFUNCTION(" IF(Account!$F417&lt;&gt;"""", SPLIT(Account!$F417, "" ""), """")"),"")</f>
        <v/>
      </c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</row>
    <row r="418">
      <c r="A418" s="7"/>
      <c r="B418" s="7"/>
      <c r="C418" s="7"/>
      <c r="D418" s="7"/>
      <c r="E418" s="7"/>
      <c r="F418" s="9"/>
      <c r="G418" s="341"/>
      <c r="H418" s="7"/>
      <c r="I418" s="7"/>
      <c r="J418" s="7"/>
      <c r="K418" s="7"/>
      <c r="L418" s="26" t="str">
        <f t="shared" si="1"/>
        <v/>
      </c>
      <c r="M418" s="28" t="str">
        <f>IFERROR(__xludf.DUMMYFUNCTION("IF(Account!$F418&lt;&gt;"""", VALUE(REGEXREPLACE($I418, ""\,"", ""."")), """")"),"")</f>
        <v/>
      </c>
      <c r="N418" s="31" t="str">
        <f>IF(Account!$F418&lt;&gt;"", DATEVALUE(MID($A418,4,3) &amp; LEFT($A418,3) &amp; RIGHT($A418,4)) + TIMEVALUE($B418), "")</f>
        <v/>
      </c>
      <c r="O418" s="33" t="str">
        <f>IF(Account!$F418&lt;&gt;"", DATEVALUE(MID($A418,4,3) &amp; LEFT($A418,3) &amp; RIGHT($A418,4)), "")</f>
        <v/>
      </c>
      <c r="P418" s="34" t="str">
        <f>IFERROR(VLOOKUP($Q418,Selection!$F:$G,2,false))</f>
        <v/>
      </c>
      <c r="Q418" s="36" t="str">
        <f>IF(AND($X418="change",$H418="EUR"),IF(AND($Z418="Crédit",$N418=$N419),$Q419,IF(AND($Z418="Débit",$N418=$N417),$Q417)),IF(OR(AND(OR($E418&lt;&gt;"",$L418=""),$M418&lt;&gt;0),$A418=""),IFERROR(VLOOKUP($E418,Selection!$E:$F,2,false)),IFERROR(VLOOKUP(SUBSTITUTE($I418,"-","",1),$K419:$Q1119,7,false),VLOOKUP($K418,$K419:$Q1119,7,false))))</f>
        <v/>
      </c>
      <c r="R418" s="34" t="str">
        <f t="shared" si="2"/>
        <v/>
      </c>
      <c r="S418" s="37" t="str">
        <f t="shared" si="3"/>
        <v/>
      </c>
      <c r="T418" s="38" t="str">
        <f t="shared" si="4"/>
        <v/>
      </c>
      <c r="U418" s="28" t="str">
        <f t="shared" si="5"/>
        <v/>
      </c>
      <c r="V418" s="39" t="str">
        <f>IFERROR(__xludf.DUMMYFUNCTION(" IF(Account!$F418&lt;&gt;"""", SPLIT(Account!$F418, "" ""), """")"),"")</f>
        <v/>
      </c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</row>
    <row r="419">
      <c r="A419" s="7"/>
      <c r="B419" s="7"/>
      <c r="C419" s="7"/>
      <c r="D419" s="7"/>
      <c r="E419" s="7"/>
      <c r="F419" s="9"/>
      <c r="G419" s="341"/>
      <c r="H419" s="7"/>
      <c r="I419" s="7"/>
      <c r="J419" s="7"/>
      <c r="K419" s="7"/>
      <c r="L419" s="26" t="str">
        <f t="shared" si="1"/>
        <v/>
      </c>
      <c r="M419" s="28" t="str">
        <f>IFERROR(__xludf.DUMMYFUNCTION("IF(Account!$F419&lt;&gt;"""", VALUE(REGEXREPLACE($I419, ""\,"", ""."")), """")"),"")</f>
        <v/>
      </c>
      <c r="N419" s="31" t="str">
        <f>IF(Account!$F419&lt;&gt;"", DATEVALUE(MID($A419,4,3) &amp; LEFT($A419,3) &amp; RIGHT($A419,4)) + TIMEVALUE($B419), "")</f>
        <v/>
      </c>
      <c r="O419" s="33" t="str">
        <f>IF(Account!$F419&lt;&gt;"", DATEVALUE(MID($A419,4,3) &amp; LEFT($A419,3) &amp; RIGHT($A419,4)), "")</f>
        <v/>
      </c>
      <c r="P419" s="34" t="str">
        <f>IFERROR(VLOOKUP($Q419,Selection!$F:$G,2,false))</f>
        <v/>
      </c>
      <c r="Q419" s="36" t="str">
        <f>IF(AND($X419="change",$H419="EUR"),IF(AND($Z419="Crédit",$N419=$N420),$Q420,IF(AND($Z419="Débit",$N419=$N418),$Q418)),IF(OR(AND(OR($E419&lt;&gt;"",$L419=""),$M419&lt;&gt;0),$A419=""),IFERROR(VLOOKUP($E419,Selection!$E:$F,2,false)),IFERROR(VLOOKUP(SUBSTITUTE($I419,"-","",1),$K420:$Q1119,7,false),VLOOKUP($K419,$K420:$Q1119,7,false))))</f>
        <v/>
      </c>
      <c r="R419" s="34" t="str">
        <f t="shared" si="2"/>
        <v/>
      </c>
      <c r="S419" s="37" t="str">
        <f t="shared" si="3"/>
        <v/>
      </c>
      <c r="T419" s="38" t="str">
        <f t="shared" si="4"/>
        <v/>
      </c>
      <c r="U419" s="28" t="str">
        <f t="shared" si="5"/>
        <v/>
      </c>
      <c r="V419" s="39" t="str">
        <f>IFERROR(__xludf.DUMMYFUNCTION(" IF(Account!$F419&lt;&gt;"""", SPLIT(Account!$F419, "" ""), """")"),"")</f>
        <v/>
      </c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</row>
    <row r="420">
      <c r="A420" s="7"/>
      <c r="B420" s="7"/>
      <c r="C420" s="7"/>
      <c r="D420" s="7"/>
      <c r="E420" s="7"/>
      <c r="F420" s="9"/>
      <c r="G420" s="7"/>
      <c r="H420" s="7"/>
      <c r="I420" s="7"/>
      <c r="J420" s="7"/>
      <c r="K420" s="7"/>
      <c r="L420" s="26" t="str">
        <f t="shared" si="1"/>
        <v/>
      </c>
      <c r="M420" s="28" t="str">
        <f>IFERROR(__xludf.DUMMYFUNCTION("IF(Account!$F420&lt;&gt;"""", VALUE(REGEXREPLACE($I420, ""\,"", ""."")), """")"),"")</f>
        <v/>
      </c>
      <c r="N420" s="31" t="str">
        <f>IF(Account!$F420&lt;&gt;"", DATEVALUE(MID($A420,4,3) &amp; LEFT($A420,3) &amp; RIGHT($A420,4)) + TIMEVALUE($B420), "")</f>
        <v/>
      </c>
      <c r="O420" s="33" t="str">
        <f>IF(Account!$F420&lt;&gt;"", DATEVALUE(MID($A420,4,3) &amp; LEFT($A420,3) &amp; RIGHT($A420,4)), "")</f>
        <v/>
      </c>
      <c r="P420" s="34" t="str">
        <f>IFERROR(VLOOKUP($Q420,Selection!$F:$G,2,false))</f>
        <v/>
      </c>
      <c r="Q420" s="36" t="str">
        <f>IF(AND($X420="change",$H420="EUR"),IF(AND($Z420="Crédit",$N420=$N421),$Q421,IF(AND($Z420="Débit",$N420=$N419),$Q419)),IF(OR(AND(OR($E420&lt;&gt;"",$L420=""),$M420&lt;&gt;0),$A420=""),IFERROR(VLOOKUP($E420,Selection!$E:$F,2,false)),IFERROR(VLOOKUP(SUBSTITUTE($I420,"-","",1),$K421:$Q1119,7,false),VLOOKUP($K420,$K421:$Q1119,7,false))))</f>
        <v/>
      </c>
      <c r="R420" s="34" t="str">
        <f t="shared" si="2"/>
        <v/>
      </c>
      <c r="S420" s="37" t="str">
        <f t="shared" si="3"/>
        <v/>
      </c>
      <c r="T420" s="38" t="str">
        <f t="shared" si="4"/>
        <v/>
      </c>
      <c r="U420" s="28" t="str">
        <f t="shared" si="5"/>
        <v/>
      </c>
      <c r="V420" s="39" t="str">
        <f>IFERROR(__xludf.DUMMYFUNCTION(" IF(Account!$F420&lt;&gt;"""", SPLIT(Account!$F420, "" ""), """")"),"")</f>
        <v/>
      </c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</row>
    <row r="421">
      <c r="A421" s="7"/>
      <c r="B421" s="7"/>
      <c r="C421" s="7"/>
      <c r="D421" s="7"/>
      <c r="E421" s="7"/>
      <c r="F421" s="9"/>
      <c r="G421" s="341"/>
      <c r="H421" s="7"/>
      <c r="I421" s="7"/>
      <c r="J421" s="7"/>
      <c r="K421" s="7"/>
      <c r="L421" s="26" t="str">
        <f t="shared" si="1"/>
        <v/>
      </c>
      <c r="M421" s="28" t="str">
        <f>IFERROR(__xludf.DUMMYFUNCTION("IF(Account!$F421&lt;&gt;"""", VALUE(REGEXREPLACE($I421, ""\,"", ""."")), """")"),"")</f>
        <v/>
      </c>
      <c r="N421" s="31" t="str">
        <f>IF(Account!$F421&lt;&gt;"", DATEVALUE(MID($A421,4,3) &amp; LEFT($A421,3) &amp; RIGHT($A421,4)) + TIMEVALUE($B421), "")</f>
        <v/>
      </c>
      <c r="O421" s="33" t="str">
        <f>IF(Account!$F421&lt;&gt;"", DATEVALUE(MID($A421,4,3) &amp; LEFT($A421,3) &amp; RIGHT($A421,4)), "")</f>
        <v/>
      </c>
      <c r="P421" s="34" t="str">
        <f>IFERROR(VLOOKUP($Q421,Selection!$F:$G,2,false))</f>
        <v/>
      </c>
      <c r="Q421" s="36" t="str">
        <f>IF(AND($X421="change",$H421="EUR"),IF(AND($Z421="Crédit",$N421=$N422),$Q422,IF(AND($Z421="Débit",$N421=$N420),$Q420)),IF(OR(AND(OR($E421&lt;&gt;"",$L421=""),$M421&lt;&gt;0),$A421=""),IFERROR(VLOOKUP($E421,Selection!$E:$F,2,false)),IFERROR(VLOOKUP(SUBSTITUTE($I421,"-","",1),$K422:$Q1119,7,false),VLOOKUP($K421,$K422:$Q1119,7,false))))</f>
        <v/>
      </c>
      <c r="R421" s="34" t="str">
        <f t="shared" si="2"/>
        <v/>
      </c>
      <c r="S421" s="37" t="str">
        <f t="shared" si="3"/>
        <v/>
      </c>
      <c r="T421" s="38" t="str">
        <f t="shared" si="4"/>
        <v/>
      </c>
      <c r="U421" s="28" t="str">
        <f t="shared" si="5"/>
        <v/>
      </c>
      <c r="V421" s="39" t="str">
        <f>IFERROR(__xludf.DUMMYFUNCTION(" IF(Account!$F421&lt;&gt;"""", SPLIT(Account!$F421, "" ""), """")"),"")</f>
        <v/>
      </c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</row>
    <row r="422">
      <c r="A422" s="7"/>
      <c r="B422" s="7"/>
      <c r="C422" s="7"/>
      <c r="D422" s="7"/>
      <c r="E422" s="7"/>
      <c r="F422" s="9"/>
      <c r="G422" s="7"/>
      <c r="H422" s="7"/>
      <c r="I422" s="7"/>
      <c r="J422" s="7"/>
      <c r="K422" s="7"/>
      <c r="L422" s="26" t="str">
        <f t="shared" si="1"/>
        <v/>
      </c>
      <c r="M422" s="28" t="str">
        <f>IFERROR(__xludf.DUMMYFUNCTION("IF(Account!$F422&lt;&gt;"""", VALUE(REGEXREPLACE($I422, ""\,"", ""."")), """")"),"")</f>
        <v/>
      </c>
      <c r="N422" s="31" t="str">
        <f>IF(Account!$F422&lt;&gt;"", DATEVALUE(MID($A422,4,3) &amp; LEFT($A422,3) &amp; RIGHT($A422,4)) + TIMEVALUE($B422), "")</f>
        <v/>
      </c>
      <c r="O422" s="33" t="str">
        <f>IF(Account!$F422&lt;&gt;"", DATEVALUE(MID($A422,4,3) &amp; LEFT($A422,3) &amp; RIGHT($A422,4)), "")</f>
        <v/>
      </c>
      <c r="P422" s="34" t="str">
        <f>IFERROR(VLOOKUP($Q422,Selection!$F:$G,2,false))</f>
        <v/>
      </c>
      <c r="Q422" s="36" t="str">
        <f>IF(AND($X422="change",$H422="EUR"),IF(AND($Z422="Crédit",$N422=$N423),$Q423,IF(AND($Z422="Débit",$N422=$N421),$Q421)),IF(OR(AND(OR($E422&lt;&gt;"",$L422=""),$M422&lt;&gt;0),$A422=""),IFERROR(VLOOKUP($E422,Selection!$E:$F,2,false)),IFERROR(VLOOKUP(SUBSTITUTE($I422,"-","",1),$K423:$Q1119,7,false),VLOOKUP($K422,$K423:$Q1119,7,false))))</f>
        <v/>
      </c>
      <c r="R422" s="34" t="str">
        <f t="shared" si="2"/>
        <v/>
      </c>
      <c r="S422" s="37" t="str">
        <f t="shared" si="3"/>
        <v/>
      </c>
      <c r="T422" s="38" t="str">
        <f t="shared" si="4"/>
        <v/>
      </c>
      <c r="U422" s="28" t="str">
        <f t="shared" si="5"/>
        <v/>
      </c>
      <c r="V422" s="39" t="str">
        <f>IFERROR(__xludf.DUMMYFUNCTION(" IF(Account!$F422&lt;&gt;"""", SPLIT(Account!$F422, "" ""), """")"),"")</f>
        <v/>
      </c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</row>
    <row r="423">
      <c r="A423" s="7"/>
      <c r="B423" s="7"/>
      <c r="C423" s="7"/>
      <c r="D423" s="7"/>
      <c r="E423" s="7"/>
      <c r="F423" s="9"/>
      <c r="G423" s="341"/>
      <c r="H423" s="7"/>
      <c r="I423" s="7"/>
      <c r="J423" s="7"/>
      <c r="K423" s="7"/>
      <c r="L423" s="26" t="str">
        <f t="shared" si="1"/>
        <v/>
      </c>
      <c r="M423" s="28" t="str">
        <f>IFERROR(__xludf.DUMMYFUNCTION("IF(Account!$F423&lt;&gt;"""", VALUE(REGEXREPLACE($I423, ""\,"", ""."")), """")"),"")</f>
        <v/>
      </c>
      <c r="N423" s="31" t="str">
        <f>IF(Account!$F423&lt;&gt;"", DATEVALUE(MID($A423,4,3) &amp; LEFT($A423,3) &amp; RIGHT($A423,4)) + TIMEVALUE($B423), "")</f>
        <v/>
      </c>
      <c r="O423" s="33" t="str">
        <f>IF(Account!$F423&lt;&gt;"", DATEVALUE(MID($A423,4,3) &amp; LEFT($A423,3) &amp; RIGHT($A423,4)), "")</f>
        <v/>
      </c>
      <c r="P423" s="34" t="str">
        <f>IFERROR(VLOOKUP($Q423,Selection!$F:$G,2,false))</f>
        <v/>
      </c>
      <c r="Q423" s="36" t="str">
        <f>IF(AND($X423="change",$H423="EUR"),IF(AND($Z423="Crédit",$N423=$N424),$Q424,IF(AND($Z423="Débit",$N423=$N422),$Q422)),IF(OR(AND(OR($E423&lt;&gt;"",$L423=""),$M423&lt;&gt;0),$A423=""),IFERROR(VLOOKUP($E423,Selection!$E:$F,2,false)),IFERROR(VLOOKUP(SUBSTITUTE($I423,"-","",1),$K424:$Q1119,7,false),VLOOKUP($K423,$K424:$Q1119,7,false))))</f>
        <v/>
      </c>
      <c r="R423" s="34" t="str">
        <f t="shared" si="2"/>
        <v/>
      </c>
      <c r="S423" s="37" t="str">
        <f t="shared" si="3"/>
        <v/>
      </c>
      <c r="T423" s="38" t="str">
        <f t="shared" si="4"/>
        <v/>
      </c>
      <c r="U423" s="28" t="str">
        <f t="shared" si="5"/>
        <v/>
      </c>
      <c r="V423" s="39" t="str">
        <f>IFERROR(__xludf.DUMMYFUNCTION(" IF(Account!$F423&lt;&gt;"""", SPLIT(Account!$F423, "" ""), """")"),"")</f>
        <v/>
      </c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</row>
    <row r="424">
      <c r="A424" s="7"/>
      <c r="B424" s="7"/>
      <c r="C424" s="7"/>
      <c r="D424" s="7"/>
      <c r="E424" s="7"/>
      <c r="F424" s="9"/>
      <c r="G424" s="7"/>
      <c r="H424" s="7"/>
      <c r="I424" s="7"/>
      <c r="J424" s="7"/>
      <c r="K424" s="7"/>
      <c r="L424" s="26" t="str">
        <f t="shared" si="1"/>
        <v/>
      </c>
      <c r="M424" s="28" t="str">
        <f>IFERROR(__xludf.DUMMYFUNCTION("IF(Account!$F424&lt;&gt;"""", VALUE(REGEXREPLACE($I424, ""\,"", ""."")), """")"),"")</f>
        <v/>
      </c>
      <c r="N424" s="31" t="str">
        <f>IF(Account!$F424&lt;&gt;"", DATEVALUE(MID($A424,4,3) &amp; LEFT($A424,3) &amp; RIGHT($A424,4)) + TIMEVALUE($B424), "")</f>
        <v/>
      </c>
      <c r="O424" s="33" t="str">
        <f>IF(Account!$F424&lt;&gt;"", DATEVALUE(MID($A424,4,3) &amp; LEFT($A424,3) &amp; RIGHT($A424,4)), "")</f>
        <v/>
      </c>
      <c r="P424" s="34" t="str">
        <f>IFERROR(VLOOKUP($Q424,Selection!$F:$G,2,false))</f>
        <v/>
      </c>
      <c r="Q424" s="36" t="str">
        <f>IF(AND($X424="change",$H424="EUR"),IF(AND($Z424="Crédit",$N424=$N425),$Q425,IF(AND($Z424="Débit",$N424=$N423),$Q423)),IF(OR(AND(OR($E424&lt;&gt;"",$L424=""),$M424&lt;&gt;0),$A424=""),IFERROR(VLOOKUP($E424,Selection!$E:$F,2,false)),IFERROR(VLOOKUP(SUBSTITUTE($I424,"-","",1),$K425:$Q1119,7,false),VLOOKUP($K424,$K425:$Q1119,7,false))))</f>
        <v/>
      </c>
      <c r="R424" s="34" t="str">
        <f t="shared" si="2"/>
        <v/>
      </c>
      <c r="S424" s="37" t="str">
        <f t="shared" si="3"/>
        <v/>
      </c>
      <c r="T424" s="38" t="str">
        <f t="shared" si="4"/>
        <v/>
      </c>
      <c r="U424" s="28" t="str">
        <f t="shared" si="5"/>
        <v/>
      </c>
      <c r="V424" s="39" t="str">
        <f>IFERROR(__xludf.DUMMYFUNCTION(" IF(Account!$F424&lt;&gt;"""", SPLIT(Account!$F424, "" ""), """")"),"")</f>
        <v/>
      </c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</row>
    <row r="425">
      <c r="A425" s="7"/>
      <c r="B425" s="7"/>
      <c r="C425" s="7"/>
      <c r="D425" s="7"/>
      <c r="E425" s="7"/>
      <c r="F425" s="9"/>
      <c r="G425" s="341"/>
      <c r="H425" s="7"/>
      <c r="I425" s="7"/>
      <c r="J425" s="7"/>
      <c r="K425" s="7"/>
      <c r="L425" s="26" t="str">
        <f t="shared" si="1"/>
        <v/>
      </c>
      <c r="M425" s="28" t="str">
        <f>IFERROR(__xludf.DUMMYFUNCTION("IF(Account!$F425&lt;&gt;"""", VALUE(REGEXREPLACE($I425, ""\,"", ""."")), """")"),"")</f>
        <v/>
      </c>
      <c r="N425" s="31" t="str">
        <f>IF(Account!$F425&lt;&gt;"", DATEVALUE(MID($A425,4,3) &amp; LEFT($A425,3) &amp; RIGHT($A425,4)) + TIMEVALUE($B425), "")</f>
        <v/>
      </c>
      <c r="O425" s="33" t="str">
        <f>IF(Account!$F425&lt;&gt;"", DATEVALUE(MID($A425,4,3) &amp; LEFT($A425,3) &amp; RIGHT($A425,4)), "")</f>
        <v/>
      </c>
      <c r="P425" s="34" t="str">
        <f>IFERROR(VLOOKUP($Q425,Selection!$F:$G,2,false))</f>
        <v/>
      </c>
      <c r="Q425" s="36" t="str">
        <f>IF(AND($X425="change",$H425="EUR"),IF(AND($Z425="Crédit",$N425=$N426),$Q426,IF(AND($Z425="Débit",$N425=$N424),$Q424)),IF(OR(AND(OR($E425&lt;&gt;"",$L425=""),$M425&lt;&gt;0),$A425=""),IFERROR(VLOOKUP($E425,Selection!$E:$F,2,false)),IFERROR(VLOOKUP(SUBSTITUTE($I425,"-","",1),$K426:$Q1119,7,false),VLOOKUP($K425,$K426:$Q1119,7,false))))</f>
        <v/>
      </c>
      <c r="R425" s="34" t="str">
        <f t="shared" si="2"/>
        <v/>
      </c>
      <c r="S425" s="37" t="str">
        <f t="shared" si="3"/>
        <v/>
      </c>
      <c r="T425" s="38" t="str">
        <f t="shared" si="4"/>
        <v/>
      </c>
      <c r="U425" s="28" t="str">
        <f t="shared" si="5"/>
        <v/>
      </c>
      <c r="V425" s="39" t="str">
        <f>IFERROR(__xludf.DUMMYFUNCTION(" IF(Account!$F425&lt;&gt;"""", SPLIT(Account!$F425, "" ""), """")"),"")</f>
        <v/>
      </c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</row>
    <row r="426">
      <c r="A426" s="7"/>
      <c r="B426" s="7"/>
      <c r="C426" s="7"/>
      <c r="D426" s="7"/>
      <c r="E426" s="7"/>
      <c r="F426" s="9"/>
      <c r="G426" s="7"/>
      <c r="H426" s="7"/>
      <c r="I426" s="7"/>
      <c r="J426" s="7"/>
      <c r="K426" s="7"/>
      <c r="L426" s="26" t="str">
        <f t="shared" si="1"/>
        <v/>
      </c>
      <c r="M426" s="28" t="str">
        <f>IFERROR(__xludf.DUMMYFUNCTION("IF(Account!$F426&lt;&gt;"""", VALUE(REGEXREPLACE($I426, ""\,"", ""."")), """")"),"")</f>
        <v/>
      </c>
      <c r="N426" s="31" t="str">
        <f>IF(Account!$F426&lt;&gt;"", DATEVALUE(MID($A426,4,3) &amp; LEFT($A426,3) &amp; RIGHT($A426,4)) + TIMEVALUE($B426), "")</f>
        <v/>
      </c>
      <c r="O426" s="33" t="str">
        <f>IF(Account!$F426&lt;&gt;"", DATEVALUE(MID($A426,4,3) &amp; LEFT($A426,3) &amp; RIGHT($A426,4)), "")</f>
        <v/>
      </c>
      <c r="P426" s="34" t="str">
        <f>IFERROR(VLOOKUP($Q426,Selection!$F:$G,2,false))</f>
        <v/>
      </c>
      <c r="Q426" s="36" t="str">
        <f>IF(AND($X426="change",$H426="EUR"),IF(AND($Z426="Crédit",$N426=$N427),$Q427,IF(AND($Z426="Débit",$N426=$N425),$Q425)),IF(OR(AND(OR($E426&lt;&gt;"",$L426=""),$M426&lt;&gt;0),$A426=""),IFERROR(VLOOKUP($E426,Selection!$E:$F,2,false)),IFERROR(VLOOKUP(SUBSTITUTE($I426,"-","",1),$K427:$Q1119,7,false),VLOOKUP($K426,$K427:$Q1119,7,false))))</f>
        <v/>
      </c>
      <c r="R426" s="34" t="str">
        <f t="shared" si="2"/>
        <v/>
      </c>
      <c r="S426" s="37" t="str">
        <f t="shared" si="3"/>
        <v/>
      </c>
      <c r="T426" s="38" t="str">
        <f t="shared" si="4"/>
        <v/>
      </c>
      <c r="U426" s="28" t="str">
        <f t="shared" si="5"/>
        <v/>
      </c>
      <c r="V426" s="39" t="str">
        <f>IFERROR(__xludf.DUMMYFUNCTION(" IF(Account!$F426&lt;&gt;"""", SPLIT(Account!$F426, "" ""), """")"),"")</f>
        <v/>
      </c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</row>
    <row r="427">
      <c r="A427" s="7"/>
      <c r="B427" s="7"/>
      <c r="C427" s="7"/>
      <c r="D427" s="7"/>
      <c r="E427" s="7"/>
      <c r="F427" s="9"/>
      <c r="G427" s="341"/>
      <c r="H427" s="7"/>
      <c r="I427" s="7"/>
      <c r="J427" s="7"/>
      <c r="K427" s="7"/>
      <c r="L427" s="26" t="str">
        <f t="shared" si="1"/>
        <v/>
      </c>
      <c r="M427" s="28" t="str">
        <f>IFERROR(__xludf.DUMMYFUNCTION("IF(Account!$F427&lt;&gt;"""", VALUE(REGEXREPLACE($I427, ""\,"", ""."")), """")"),"")</f>
        <v/>
      </c>
      <c r="N427" s="31" t="str">
        <f>IF(Account!$F427&lt;&gt;"", DATEVALUE(MID($A427,4,3) &amp; LEFT($A427,3) &amp; RIGHT($A427,4)) + TIMEVALUE($B427), "")</f>
        <v/>
      </c>
      <c r="O427" s="33" t="str">
        <f>IF(Account!$F427&lt;&gt;"", DATEVALUE(MID($A427,4,3) &amp; LEFT($A427,3) &amp; RIGHT($A427,4)), "")</f>
        <v/>
      </c>
      <c r="P427" s="34" t="str">
        <f>IFERROR(VLOOKUP($Q427,Selection!$F:$G,2,false))</f>
        <v/>
      </c>
      <c r="Q427" s="36" t="str">
        <f>IF(AND($X427="change",$H427="EUR"),IF(AND($Z427="Crédit",$N427=$N428),$Q428,IF(AND($Z427="Débit",$N427=$N426),$Q426)),IF(OR(AND(OR($E427&lt;&gt;"",$L427=""),$M427&lt;&gt;0),$A427=""),IFERROR(VLOOKUP($E427,Selection!$E:$F,2,false)),IFERROR(VLOOKUP(SUBSTITUTE($I427,"-","",1),$K428:$Q1119,7,false),VLOOKUP($K427,$K428:$Q1119,7,false))))</f>
        <v/>
      </c>
      <c r="R427" s="34" t="str">
        <f t="shared" si="2"/>
        <v/>
      </c>
      <c r="S427" s="37" t="str">
        <f t="shared" si="3"/>
        <v/>
      </c>
      <c r="T427" s="38" t="str">
        <f t="shared" si="4"/>
        <v/>
      </c>
      <c r="U427" s="28" t="str">
        <f t="shared" si="5"/>
        <v/>
      </c>
      <c r="V427" s="39" t="str">
        <f>IFERROR(__xludf.DUMMYFUNCTION(" IF(Account!$F427&lt;&gt;"""", SPLIT(Account!$F427, "" ""), """")"),"")</f>
        <v/>
      </c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</row>
    <row r="428">
      <c r="A428" s="7"/>
      <c r="B428" s="7"/>
      <c r="C428" s="7"/>
      <c r="D428" s="7"/>
      <c r="E428" s="7"/>
      <c r="F428" s="9"/>
      <c r="G428" s="7"/>
      <c r="H428" s="7"/>
      <c r="I428" s="7"/>
      <c r="J428" s="7"/>
      <c r="K428" s="7"/>
      <c r="L428" s="26" t="str">
        <f t="shared" si="1"/>
        <v/>
      </c>
      <c r="M428" s="28" t="str">
        <f>IFERROR(__xludf.DUMMYFUNCTION("IF(Account!$F428&lt;&gt;"""", VALUE(REGEXREPLACE($I428, ""\,"", ""."")), """")"),"")</f>
        <v/>
      </c>
      <c r="N428" s="31" t="str">
        <f>IF(Account!$F428&lt;&gt;"", DATEVALUE(MID($A428,4,3) &amp; LEFT($A428,3) &amp; RIGHT($A428,4)) + TIMEVALUE($B428), "")</f>
        <v/>
      </c>
      <c r="O428" s="33" t="str">
        <f>IF(Account!$F428&lt;&gt;"", DATEVALUE(MID($A428,4,3) &amp; LEFT($A428,3) &amp; RIGHT($A428,4)), "")</f>
        <v/>
      </c>
      <c r="P428" s="34" t="str">
        <f>IFERROR(VLOOKUP($Q428,Selection!$F:$G,2,false))</f>
        <v/>
      </c>
      <c r="Q428" s="36" t="str">
        <f>IF(AND($X428="change",$H428="EUR"),IF(AND($Z428="Crédit",$N428=$N429),$Q429,IF(AND($Z428="Débit",$N428=$N427),$Q427)),IF(OR(AND(OR($E428&lt;&gt;"",$L428=""),$M428&lt;&gt;0),$A428=""),IFERROR(VLOOKUP($E428,Selection!$E:$F,2,false)),IFERROR(VLOOKUP(SUBSTITUTE($I428,"-","",1),$K429:$Q1119,7,false),VLOOKUP($K428,$K429:$Q1119,7,false))))</f>
        <v/>
      </c>
      <c r="R428" s="34" t="str">
        <f t="shared" si="2"/>
        <v/>
      </c>
      <c r="S428" s="37" t="str">
        <f t="shared" si="3"/>
        <v/>
      </c>
      <c r="T428" s="38" t="str">
        <f t="shared" si="4"/>
        <v/>
      </c>
      <c r="U428" s="28" t="str">
        <f t="shared" si="5"/>
        <v/>
      </c>
      <c r="V428" s="39" t="str">
        <f>IFERROR(__xludf.DUMMYFUNCTION(" IF(Account!$F428&lt;&gt;"""", SPLIT(Account!$F428, "" ""), """")"),"")</f>
        <v/>
      </c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</row>
    <row r="429">
      <c r="A429" s="7"/>
      <c r="B429" s="7"/>
      <c r="C429" s="7"/>
      <c r="D429" s="7"/>
      <c r="E429" s="7"/>
      <c r="F429" s="9"/>
      <c r="G429" s="341"/>
      <c r="H429" s="7"/>
      <c r="I429" s="7"/>
      <c r="J429" s="7"/>
      <c r="K429" s="7"/>
      <c r="L429" s="26" t="str">
        <f t="shared" si="1"/>
        <v/>
      </c>
      <c r="M429" s="28" t="str">
        <f>IFERROR(__xludf.DUMMYFUNCTION("IF(Account!$F429&lt;&gt;"""", VALUE(REGEXREPLACE($I429, ""\,"", ""."")), """")"),"")</f>
        <v/>
      </c>
      <c r="N429" s="31" t="str">
        <f>IF(Account!$F429&lt;&gt;"", DATEVALUE(MID($A429,4,3) &amp; LEFT($A429,3) &amp; RIGHT($A429,4)) + TIMEVALUE($B429), "")</f>
        <v/>
      </c>
      <c r="O429" s="33" t="str">
        <f>IF(Account!$F429&lt;&gt;"", DATEVALUE(MID($A429,4,3) &amp; LEFT($A429,3) &amp; RIGHT($A429,4)), "")</f>
        <v/>
      </c>
      <c r="P429" s="34" t="str">
        <f>IFERROR(VLOOKUP($Q429,Selection!$F:$G,2,false))</f>
        <v/>
      </c>
      <c r="Q429" s="36" t="str">
        <f>IF(AND($X429="change",$H429="EUR"),IF(AND($Z429="Crédit",$N429=$N430),$Q430,IF(AND($Z429="Débit",$N429=$N428),$Q428)),IF(OR(AND(OR($E429&lt;&gt;"",$L429=""),$M429&lt;&gt;0),$A429=""),IFERROR(VLOOKUP($E429,Selection!$E:$F,2,false)),IFERROR(VLOOKUP(SUBSTITUTE($I429,"-","",1),$K430:$Q1119,7,false),VLOOKUP($K429,$K430:$Q1119,7,false))))</f>
        <v/>
      </c>
      <c r="R429" s="34" t="str">
        <f t="shared" si="2"/>
        <v/>
      </c>
      <c r="S429" s="37" t="str">
        <f t="shared" si="3"/>
        <v/>
      </c>
      <c r="T429" s="38" t="str">
        <f t="shared" si="4"/>
        <v/>
      </c>
      <c r="U429" s="28" t="str">
        <f t="shared" si="5"/>
        <v/>
      </c>
      <c r="V429" s="39" t="str">
        <f>IFERROR(__xludf.DUMMYFUNCTION(" IF(Account!$F429&lt;&gt;"""", SPLIT(Account!$F429, "" ""), """")"),"")</f>
        <v/>
      </c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</row>
    <row r="430">
      <c r="A430" s="7"/>
      <c r="B430" s="7"/>
      <c r="C430" s="7"/>
      <c r="D430" s="7"/>
      <c r="E430" s="7"/>
      <c r="F430" s="9"/>
      <c r="G430" s="341"/>
      <c r="H430" s="7"/>
      <c r="I430" s="7"/>
      <c r="J430" s="7"/>
      <c r="K430" s="7"/>
      <c r="L430" s="26" t="str">
        <f t="shared" si="1"/>
        <v/>
      </c>
      <c r="M430" s="28" t="str">
        <f>IFERROR(__xludf.DUMMYFUNCTION("IF(Account!$F430&lt;&gt;"""", VALUE(REGEXREPLACE($I430, ""\,"", ""."")), """")"),"")</f>
        <v/>
      </c>
      <c r="N430" s="31" t="str">
        <f>IF(Account!$F430&lt;&gt;"", DATEVALUE(MID($A430,4,3) &amp; LEFT($A430,3) &amp; RIGHT($A430,4)) + TIMEVALUE($B430), "")</f>
        <v/>
      </c>
      <c r="O430" s="33" t="str">
        <f>IF(Account!$F430&lt;&gt;"", DATEVALUE(MID($A430,4,3) &amp; LEFT($A430,3) &amp; RIGHT($A430,4)), "")</f>
        <v/>
      </c>
      <c r="P430" s="34" t="str">
        <f>IFERROR(VLOOKUP($Q430,Selection!$F:$G,2,false))</f>
        <v/>
      </c>
      <c r="Q430" s="36" t="str">
        <f>IF(AND($X430="change",$H430="EUR"),IF(AND($Z430="Crédit",$N430=$N431),$Q431,IF(AND($Z430="Débit",$N430=$N429),$Q429)),IF(OR(AND(OR($E430&lt;&gt;"",$L430=""),$M430&lt;&gt;0),$A430=""),IFERROR(VLOOKUP($E430,Selection!$E:$F,2,false)),IFERROR(VLOOKUP(SUBSTITUTE($I430,"-","",1),$K431:$Q1119,7,false),VLOOKUP($K430,$K431:$Q1119,7,false))))</f>
        <v/>
      </c>
      <c r="R430" s="34" t="str">
        <f t="shared" si="2"/>
        <v/>
      </c>
      <c r="S430" s="37" t="str">
        <f t="shared" si="3"/>
        <v/>
      </c>
      <c r="T430" s="38" t="str">
        <f t="shared" si="4"/>
        <v/>
      </c>
      <c r="U430" s="28" t="str">
        <f t="shared" si="5"/>
        <v/>
      </c>
      <c r="V430" s="39" t="str">
        <f>IFERROR(__xludf.DUMMYFUNCTION(" IF(Account!$F430&lt;&gt;"""", SPLIT(Account!$F430, "" ""), """")"),"")</f>
        <v/>
      </c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</row>
    <row r="431">
      <c r="A431" s="7"/>
      <c r="B431" s="7"/>
      <c r="C431" s="7"/>
      <c r="D431" s="7"/>
      <c r="E431" s="7"/>
      <c r="F431" s="9"/>
      <c r="G431" s="341"/>
      <c r="H431" s="7"/>
      <c r="I431" s="7"/>
      <c r="J431" s="7"/>
      <c r="K431" s="7"/>
      <c r="L431" s="26" t="str">
        <f t="shared" si="1"/>
        <v/>
      </c>
      <c r="M431" s="28" t="str">
        <f>IFERROR(__xludf.DUMMYFUNCTION("IF(Account!$F431&lt;&gt;"""", VALUE(REGEXREPLACE($I431, ""\,"", ""."")), """")"),"")</f>
        <v/>
      </c>
      <c r="N431" s="31" t="str">
        <f>IF(Account!$F431&lt;&gt;"", DATEVALUE(MID($A431,4,3) &amp; LEFT($A431,3) &amp; RIGHT($A431,4)) + TIMEVALUE($B431), "")</f>
        <v/>
      </c>
      <c r="O431" s="33" t="str">
        <f>IF(Account!$F431&lt;&gt;"", DATEVALUE(MID($A431,4,3) &amp; LEFT($A431,3) &amp; RIGHT($A431,4)), "")</f>
        <v/>
      </c>
      <c r="P431" s="34" t="str">
        <f>IFERROR(VLOOKUP($Q431,Selection!$F:$G,2,false))</f>
        <v/>
      </c>
      <c r="Q431" s="36" t="str">
        <f>IF(AND($X431="change",$H431="EUR"),IF(AND($Z431="Crédit",$N431=$N432),$Q432,IF(AND($Z431="Débit",$N431=$N430),$Q430)),IF(OR(AND(OR($E431&lt;&gt;"",$L431=""),$M431&lt;&gt;0),$A431=""),IFERROR(VLOOKUP($E431,Selection!$E:$F,2,false)),IFERROR(VLOOKUP(SUBSTITUTE($I431,"-","",1),$K432:$Q1119,7,false),VLOOKUP($K431,$K432:$Q1119,7,false))))</f>
        <v/>
      </c>
      <c r="R431" s="34" t="str">
        <f t="shared" si="2"/>
        <v/>
      </c>
      <c r="S431" s="37" t="str">
        <f t="shared" si="3"/>
        <v/>
      </c>
      <c r="T431" s="38" t="str">
        <f t="shared" si="4"/>
        <v/>
      </c>
      <c r="U431" s="28" t="str">
        <f t="shared" si="5"/>
        <v/>
      </c>
      <c r="V431" s="39" t="str">
        <f>IFERROR(__xludf.DUMMYFUNCTION(" IF(Account!$F431&lt;&gt;"""", SPLIT(Account!$F431, "" ""), """")"),"")</f>
        <v/>
      </c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</row>
    <row r="432">
      <c r="A432" s="7"/>
      <c r="B432" s="7"/>
      <c r="C432" s="7"/>
      <c r="D432" s="7"/>
      <c r="E432" s="7"/>
      <c r="F432" s="9"/>
      <c r="G432" s="341"/>
      <c r="H432" s="7"/>
      <c r="I432" s="7"/>
      <c r="J432" s="7"/>
      <c r="K432" s="7"/>
      <c r="L432" s="26" t="str">
        <f t="shared" si="1"/>
        <v/>
      </c>
      <c r="M432" s="28" t="str">
        <f>IFERROR(__xludf.DUMMYFUNCTION("IF(Account!$F432&lt;&gt;"""", VALUE(REGEXREPLACE($I432, ""\,"", ""."")), """")"),"")</f>
        <v/>
      </c>
      <c r="N432" s="31" t="str">
        <f>IF(Account!$F432&lt;&gt;"", DATEVALUE(MID($A432,4,3) &amp; LEFT($A432,3) &amp; RIGHT($A432,4)) + TIMEVALUE($B432), "")</f>
        <v/>
      </c>
      <c r="O432" s="33" t="str">
        <f>IF(Account!$F432&lt;&gt;"", DATEVALUE(MID($A432,4,3) &amp; LEFT($A432,3) &amp; RIGHT($A432,4)), "")</f>
        <v/>
      </c>
      <c r="P432" s="34" t="str">
        <f>IFERROR(VLOOKUP($Q432,Selection!$F:$G,2,false))</f>
        <v/>
      </c>
      <c r="Q432" s="36" t="str">
        <f>IF(AND($X432="change",$H432="EUR"),IF(AND($Z432="Crédit",$N432=$N433),$Q433,IF(AND($Z432="Débit",$N432=$N431),$Q431)),IF(OR(AND(OR($E432&lt;&gt;"",$L432=""),$M432&lt;&gt;0),$A432=""),IFERROR(VLOOKUP($E432,Selection!$E:$F,2,false)),IFERROR(VLOOKUP(SUBSTITUTE($I432,"-","",1),$K433:$Q1119,7,false),VLOOKUP($K432,$K433:$Q1119,7,false))))</f>
        <v/>
      </c>
      <c r="R432" s="34" t="str">
        <f t="shared" si="2"/>
        <v/>
      </c>
      <c r="S432" s="37" t="str">
        <f t="shared" si="3"/>
        <v/>
      </c>
      <c r="T432" s="38" t="str">
        <f t="shared" si="4"/>
        <v/>
      </c>
      <c r="U432" s="28" t="str">
        <f t="shared" si="5"/>
        <v/>
      </c>
      <c r="V432" s="39" t="str">
        <f>IFERROR(__xludf.DUMMYFUNCTION(" IF(Account!$F432&lt;&gt;"""", SPLIT(Account!$F432, "" ""), """")"),"")</f>
        <v/>
      </c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</row>
    <row r="433">
      <c r="A433" s="7"/>
      <c r="B433" s="7"/>
      <c r="C433" s="7"/>
      <c r="D433" s="7"/>
      <c r="E433" s="7"/>
      <c r="F433" s="9"/>
      <c r="G433" s="341"/>
      <c r="H433" s="7"/>
      <c r="I433" s="7"/>
      <c r="J433" s="7"/>
      <c r="K433" s="7"/>
      <c r="L433" s="26" t="str">
        <f t="shared" si="1"/>
        <v/>
      </c>
      <c r="M433" s="28" t="str">
        <f>IFERROR(__xludf.DUMMYFUNCTION("IF(Account!$F433&lt;&gt;"""", VALUE(REGEXREPLACE($I433, ""\,"", ""."")), """")"),"")</f>
        <v/>
      </c>
      <c r="N433" s="31" t="str">
        <f>IF(Account!$F433&lt;&gt;"", DATEVALUE(MID($A433,4,3) &amp; LEFT($A433,3) &amp; RIGHT($A433,4)) + TIMEVALUE($B433), "")</f>
        <v/>
      </c>
      <c r="O433" s="33" t="str">
        <f>IF(Account!$F433&lt;&gt;"", DATEVALUE(MID($A433,4,3) &amp; LEFT($A433,3) &amp; RIGHT($A433,4)), "")</f>
        <v/>
      </c>
      <c r="P433" s="34" t="str">
        <f>IFERROR(VLOOKUP($Q433,Selection!$F:$G,2,false))</f>
        <v/>
      </c>
      <c r="Q433" s="36" t="str">
        <f>IF(AND($X433="change",$H433="EUR"),IF(AND($Z433="Crédit",$N433=$N434),$Q434,IF(AND($Z433="Débit",$N433=$N432),$Q432)),IF(OR(AND(OR($E433&lt;&gt;"",$L433=""),$M433&lt;&gt;0),$A433=""),IFERROR(VLOOKUP($E433,Selection!$E:$F,2,false)),IFERROR(VLOOKUP(SUBSTITUTE($I433,"-","",1),$K434:$Q1119,7,false),VLOOKUP($K433,$K434:$Q1119,7,false))))</f>
        <v/>
      </c>
      <c r="R433" s="34" t="str">
        <f t="shared" si="2"/>
        <v/>
      </c>
      <c r="S433" s="37" t="str">
        <f t="shared" si="3"/>
        <v/>
      </c>
      <c r="T433" s="38" t="str">
        <f t="shared" si="4"/>
        <v/>
      </c>
      <c r="U433" s="28" t="str">
        <f t="shared" si="5"/>
        <v/>
      </c>
      <c r="V433" s="39" t="str">
        <f>IFERROR(__xludf.DUMMYFUNCTION(" IF(Account!$F433&lt;&gt;"""", SPLIT(Account!$F433, "" ""), """")"),"")</f>
        <v/>
      </c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</row>
    <row r="434">
      <c r="A434" s="7"/>
      <c r="B434" s="7"/>
      <c r="C434" s="7"/>
      <c r="D434" s="7"/>
      <c r="E434" s="7"/>
      <c r="F434" s="9"/>
      <c r="G434" s="341"/>
      <c r="H434" s="7"/>
      <c r="I434" s="7"/>
      <c r="J434" s="7"/>
      <c r="K434" s="7"/>
      <c r="L434" s="26" t="str">
        <f t="shared" si="1"/>
        <v/>
      </c>
      <c r="M434" s="28" t="str">
        <f>IFERROR(__xludf.DUMMYFUNCTION("IF(Account!$F434&lt;&gt;"""", VALUE(REGEXREPLACE($I434, ""\,"", ""."")), """")"),"")</f>
        <v/>
      </c>
      <c r="N434" s="31" t="str">
        <f>IF(Account!$F434&lt;&gt;"", DATEVALUE(MID($A434,4,3) &amp; LEFT($A434,3) &amp; RIGHT($A434,4)) + TIMEVALUE($B434), "")</f>
        <v/>
      </c>
      <c r="O434" s="33" t="str">
        <f>IF(Account!$F434&lt;&gt;"", DATEVALUE(MID($A434,4,3) &amp; LEFT($A434,3) &amp; RIGHT($A434,4)), "")</f>
        <v/>
      </c>
      <c r="P434" s="34" t="str">
        <f>IFERROR(VLOOKUP($Q434,Selection!$F:$G,2,false))</f>
        <v/>
      </c>
      <c r="Q434" s="36" t="str">
        <f>IF(AND($X434="change",$H434="EUR"),IF(AND($Z434="Crédit",$N434=$N435),$Q435,IF(AND($Z434="Débit",$N434=$N433),$Q433)),IF(OR(AND(OR($E434&lt;&gt;"",$L434=""),$M434&lt;&gt;0),$A434=""),IFERROR(VLOOKUP($E434,Selection!$E:$F,2,false)),IFERROR(VLOOKUP(SUBSTITUTE($I434,"-","",1),$K435:$Q1119,7,false),VLOOKUP($K434,$K435:$Q1119,7,false))))</f>
        <v/>
      </c>
      <c r="R434" s="34" t="str">
        <f t="shared" si="2"/>
        <v/>
      </c>
      <c r="S434" s="37" t="str">
        <f t="shared" si="3"/>
        <v/>
      </c>
      <c r="T434" s="38" t="str">
        <f t="shared" si="4"/>
        <v/>
      </c>
      <c r="U434" s="28" t="str">
        <f t="shared" si="5"/>
        <v/>
      </c>
      <c r="V434" s="39" t="str">
        <f>IFERROR(__xludf.DUMMYFUNCTION(" IF(Account!$F434&lt;&gt;"""", SPLIT(Account!$F434, "" ""), """")"),"")</f>
        <v/>
      </c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</row>
    <row r="435">
      <c r="A435" s="7"/>
      <c r="B435" s="7"/>
      <c r="C435" s="7"/>
      <c r="D435" s="7"/>
      <c r="E435" s="7"/>
      <c r="F435" s="9"/>
      <c r="G435" s="7"/>
      <c r="H435" s="7"/>
      <c r="I435" s="7"/>
      <c r="J435" s="7"/>
      <c r="K435" s="7"/>
      <c r="L435" s="26" t="str">
        <f t="shared" si="1"/>
        <v/>
      </c>
      <c r="M435" s="28" t="str">
        <f>IFERROR(__xludf.DUMMYFUNCTION("IF(Account!$F435&lt;&gt;"""", VALUE(REGEXREPLACE($I435, ""\,"", ""."")), """")"),"")</f>
        <v/>
      </c>
      <c r="N435" s="31" t="str">
        <f>IF(Account!$F435&lt;&gt;"", DATEVALUE(MID($A435,4,3) &amp; LEFT($A435,3) &amp; RIGHT($A435,4)) + TIMEVALUE($B435), "")</f>
        <v/>
      </c>
      <c r="O435" s="33" t="str">
        <f>IF(Account!$F435&lt;&gt;"", DATEVALUE(MID($A435,4,3) &amp; LEFT($A435,3) &amp; RIGHT($A435,4)), "")</f>
        <v/>
      </c>
      <c r="P435" s="34" t="str">
        <f>IFERROR(VLOOKUP($Q435,Selection!$F:$G,2,false))</f>
        <v/>
      </c>
      <c r="Q435" s="36" t="str">
        <f>IF(AND($X435="change",$H435="EUR"),IF(AND($Z435="Crédit",$N435=$N436),$Q436,IF(AND($Z435="Débit",$N435=$N434),$Q434)),IF(OR(AND(OR($E435&lt;&gt;"",$L435=""),$M435&lt;&gt;0),$A435=""),IFERROR(VLOOKUP($E435,Selection!$E:$F,2,false)),IFERROR(VLOOKUP(SUBSTITUTE($I435,"-","",1),$K436:$Q1119,7,false),VLOOKUP($K435,$K436:$Q1119,7,false))))</f>
        <v/>
      </c>
      <c r="R435" s="34" t="str">
        <f t="shared" si="2"/>
        <v/>
      </c>
      <c r="S435" s="37" t="str">
        <f t="shared" si="3"/>
        <v/>
      </c>
      <c r="T435" s="38" t="str">
        <f t="shared" si="4"/>
        <v/>
      </c>
      <c r="U435" s="28" t="str">
        <f t="shared" si="5"/>
        <v/>
      </c>
      <c r="V435" s="39" t="str">
        <f>IFERROR(__xludf.DUMMYFUNCTION(" IF(Account!$F435&lt;&gt;"""", SPLIT(Account!$F435, "" ""), """")"),"")</f>
        <v/>
      </c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</row>
    <row r="436">
      <c r="A436" s="7"/>
      <c r="B436" s="7"/>
      <c r="C436" s="7"/>
      <c r="D436" s="7"/>
      <c r="E436" s="7"/>
      <c r="F436" s="9"/>
      <c r="G436" s="341"/>
      <c r="H436" s="7"/>
      <c r="I436" s="7"/>
      <c r="J436" s="7"/>
      <c r="K436" s="7"/>
      <c r="L436" s="26" t="str">
        <f t="shared" si="1"/>
        <v/>
      </c>
      <c r="M436" s="28" t="str">
        <f>IFERROR(__xludf.DUMMYFUNCTION("IF(Account!$F436&lt;&gt;"""", VALUE(REGEXREPLACE($I436, ""\,"", ""."")), """")"),"")</f>
        <v/>
      </c>
      <c r="N436" s="31" t="str">
        <f>IF(Account!$F436&lt;&gt;"", DATEVALUE(MID($A436,4,3) &amp; LEFT($A436,3) &amp; RIGHT($A436,4)) + TIMEVALUE($B436), "")</f>
        <v/>
      </c>
      <c r="O436" s="33" t="str">
        <f>IF(Account!$F436&lt;&gt;"", DATEVALUE(MID($A436,4,3) &amp; LEFT($A436,3) &amp; RIGHT($A436,4)), "")</f>
        <v/>
      </c>
      <c r="P436" s="34" t="str">
        <f>IFERROR(VLOOKUP($Q436,Selection!$F:$G,2,false))</f>
        <v/>
      </c>
      <c r="Q436" s="36" t="str">
        <f>IF(AND($X436="change",$H436="EUR"),IF(AND($Z436="Crédit",$N436=$N437),$Q437,IF(AND($Z436="Débit",$N436=$N435),$Q435)),IF(OR(AND(OR($E436&lt;&gt;"",$L436=""),$M436&lt;&gt;0),$A436=""),IFERROR(VLOOKUP($E436,Selection!$E:$F,2,false)),IFERROR(VLOOKUP(SUBSTITUTE($I436,"-","",1),$K437:$Q1119,7,false),VLOOKUP($K436,$K437:$Q1119,7,false))))</f>
        <v/>
      </c>
      <c r="R436" s="34" t="str">
        <f t="shared" si="2"/>
        <v/>
      </c>
      <c r="S436" s="37" t="str">
        <f t="shared" si="3"/>
        <v/>
      </c>
      <c r="T436" s="38" t="str">
        <f t="shared" si="4"/>
        <v/>
      </c>
      <c r="U436" s="28" t="str">
        <f t="shared" si="5"/>
        <v/>
      </c>
      <c r="V436" s="39" t="str">
        <f>IFERROR(__xludf.DUMMYFUNCTION(" IF(Account!$F436&lt;&gt;"""", SPLIT(Account!$F436, "" ""), """")"),"")</f>
        <v/>
      </c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</row>
    <row r="437">
      <c r="A437" s="7"/>
      <c r="B437" s="7"/>
      <c r="C437" s="7"/>
      <c r="D437" s="7"/>
      <c r="E437" s="7"/>
      <c r="F437" s="9"/>
      <c r="G437" s="341"/>
      <c r="H437" s="7"/>
      <c r="I437" s="7"/>
      <c r="J437" s="7"/>
      <c r="K437" s="7"/>
      <c r="L437" s="26" t="str">
        <f t="shared" si="1"/>
        <v/>
      </c>
      <c r="M437" s="28" t="str">
        <f>IFERROR(__xludf.DUMMYFUNCTION("IF(Account!$F437&lt;&gt;"""", VALUE(REGEXREPLACE($I437, ""\,"", ""."")), """")"),"")</f>
        <v/>
      </c>
      <c r="N437" s="31" t="str">
        <f>IF(Account!$F437&lt;&gt;"", DATEVALUE(MID($A437,4,3) &amp; LEFT($A437,3) &amp; RIGHT($A437,4)) + TIMEVALUE($B437), "")</f>
        <v/>
      </c>
      <c r="O437" s="33" t="str">
        <f>IF(Account!$F437&lt;&gt;"", DATEVALUE(MID($A437,4,3) &amp; LEFT($A437,3) &amp; RIGHT($A437,4)), "")</f>
        <v/>
      </c>
      <c r="P437" s="34" t="str">
        <f>IFERROR(VLOOKUP($Q437,Selection!$F:$G,2,false))</f>
        <v/>
      </c>
      <c r="Q437" s="36" t="str">
        <f>IF(AND($X437="change",$H437="EUR"),IF(AND($Z437="Crédit",$N437=$N438),$Q438,IF(AND($Z437="Débit",$N437=$N436),$Q436)),IF(OR(AND(OR($E437&lt;&gt;"",$L437=""),$M437&lt;&gt;0),$A437=""),IFERROR(VLOOKUP($E437,Selection!$E:$F,2,false)),IFERROR(VLOOKUP(SUBSTITUTE($I437,"-","",1),$K438:$Q1119,7,false),VLOOKUP($K437,$K438:$Q1119,7,false))))</f>
        <v/>
      </c>
      <c r="R437" s="34" t="str">
        <f t="shared" si="2"/>
        <v/>
      </c>
      <c r="S437" s="37" t="str">
        <f t="shared" si="3"/>
        <v/>
      </c>
      <c r="T437" s="38" t="str">
        <f t="shared" si="4"/>
        <v/>
      </c>
      <c r="U437" s="28" t="str">
        <f t="shared" si="5"/>
        <v/>
      </c>
      <c r="V437" s="39" t="str">
        <f>IFERROR(__xludf.DUMMYFUNCTION(" IF(Account!$F437&lt;&gt;"""", SPLIT(Account!$F437, "" ""), """")"),"")</f>
        <v/>
      </c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</row>
    <row r="438">
      <c r="A438" s="7"/>
      <c r="B438" s="7"/>
      <c r="C438" s="7"/>
      <c r="D438" s="7"/>
      <c r="E438" s="7"/>
      <c r="F438" s="9"/>
      <c r="G438" s="341"/>
      <c r="H438" s="7"/>
      <c r="I438" s="7"/>
      <c r="J438" s="7"/>
      <c r="K438" s="7"/>
      <c r="L438" s="26" t="str">
        <f t="shared" si="1"/>
        <v/>
      </c>
      <c r="M438" s="28" t="str">
        <f>IFERROR(__xludf.DUMMYFUNCTION("IF(Account!$F438&lt;&gt;"""", VALUE(REGEXREPLACE($I438, ""\,"", ""."")), """")"),"")</f>
        <v/>
      </c>
      <c r="N438" s="31" t="str">
        <f>IF(Account!$F438&lt;&gt;"", DATEVALUE(MID($A438,4,3) &amp; LEFT($A438,3) &amp; RIGHT($A438,4)) + TIMEVALUE($B438), "")</f>
        <v/>
      </c>
      <c r="O438" s="33" t="str">
        <f>IF(Account!$F438&lt;&gt;"", DATEVALUE(MID($A438,4,3) &amp; LEFT($A438,3) &amp; RIGHT($A438,4)), "")</f>
        <v/>
      </c>
      <c r="P438" s="34" t="str">
        <f>IFERROR(VLOOKUP($Q438,Selection!$F:$G,2,false))</f>
        <v/>
      </c>
      <c r="Q438" s="36" t="str">
        <f>IF(AND($X438="change",$H438="EUR"),IF(AND($Z438="Crédit",$N438=$N439),$Q439,IF(AND($Z438="Débit",$N438=$N437),$Q437)),IF(OR(AND(OR($E438&lt;&gt;"",$L438=""),$M438&lt;&gt;0),$A438=""),IFERROR(VLOOKUP($E438,Selection!$E:$F,2,false)),IFERROR(VLOOKUP(SUBSTITUTE($I438,"-","",1),$K439:$Q1119,7,false),VLOOKUP($K438,$K439:$Q1119,7,false))))</f>
        <v/>
      </c>
      <c r="R438" s="34" t="str">
        <f t="shared" si="2"/>
        <v/>
      </c>
      <c r="S438" s="37" t="str">
        <f t="shared" si="3"/>
        <v/>
      </c>
      <c r="T438" s="38" t="str">
        <f t="shared" si="4"/>
        <v/>
      </c>
      <c r="U438" s="28" t="str">
        <f t="shared" si="5"/>
        <v/>
      </c>
      <c r="V438" s="39" t="str">
        <f>IFERROR(__xludf.DUMMYFUNCTION(" IF(Account!$F438&lt;&gt;"""", SPLIT(Account!$F438, "" ""), """")"),"")</f>
        <v/>
      </c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</row>
    <row r="439">
      <c r="A439" s="7"/>
      <c r="B439" s="7"/>
      <c r="C439" s="7"/>
      <c r="D439" s="7"/>
      <c r="E439" s="7"/>
      <c r="F439" s="9"/>
      <c r="G439" s="341"/>
      <c r="H439" s="7"/>
      <c r="I439" s="7"/>
      <c r="J439" s="7"/>
      <c r="K439" s="7"/>
      <c r="L439" s="26" t="str">
        <f t="shared" si="1"/>
        <v/>
      </c>
      <c r="M439" s="28" t="str">
        <f>IFERROR(__xludf.DUMMYFUNCTION("IF(Account!$F439&lt;&gt;"""", VALUE(REGEXREPLACE($I439, ""\,"", ""."")), """")"),"")</f>
        <v/>
      </c>
      <c r="N439" s="31" t="str">
        <f>IF(Account!$F439&lt;&gt;"", DATEVALUE(MID($A439,4,3) &amp; LEFT($A439,3) &amp; RIGHT($A439,4)) + TIMEVALUE($B439), "")</f>
        <v/>
      </c>
      <c r="O439" s="33" t="str">
        <f>IF(Account!$F439&lt;&gt;"", DATEVALUE(MID($A439,4,3) &amp; LEFT($A439,3) &amp; RIGHT($A439,4)), "")</f>
        <v/>
      </c>
      <c r="P439" s="34" t="str">
        <f>IFERROR(VLOOKUP($Q439,Selection!$F:$G,2,false))</f>
        <v/>
      </c>
      <c r="Q439" s="36" t="str">
        <f>IF(AND($X439="change",$H439="EUR"),IF(AND($Z439="Crédit",$N439=$N440),$Q440,IF(AND($Z439="Débit",$N439=$N438),$Q438)),IF(OR(AND(OR($E439&lt;&gt;"",$L439=""),$M439&lt;&gt;0),$A439=""),IFERROR(VLOOKUP($E439,Selection!$E:$F,2,false)),IFERROR(VLOOKUP(SUBSTITUTE($I439,"-","",1),$K440:$Q1119,7,false),VLOOKUP($K439,$K440:$Q1119,7,false))))</f>
        <v/>
      </c>
      <c r="R439" s="34" t="str">
        <f t="shared" si="2"/>
        <v/>
      </c>
      <c r="S439" s="37" t="str">
        <f t="shared" si="3"/>
        <v/>
      </c>
      <c r="T439" s="38" t="str">
        <f t="shared" si="4"/>
        <v/>
      </c>
      <c r="U439" s="28" t="str">
        <f t="shared" si="5"/>
        <v/>
      </c>
      <c r="V439" s="39" t="str">
        <f>IFERROR(__xludf.DUMMYFUNCTION(" IF(Account!$F439&lt;&gt;"""", SPLIT(Account!$F439, "" ""), """")"),"")</f>
        <v/>
      </c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</row>
    <row r="440">
      <c r="A440" s="7"/>
      <c r="B440" s="7"/>
      <c r="C440" s="7"/>
      <c r="D440" s="7"/>
      <c r="E440" s="7"/>
      <c r="F440" s="9"/>
      <c r="G440" s="341"/>
      <c r="H440" s="7"/>
      <c r="I440" s="7"/>
      <c r="J440" s="7"/>
      <c r="K440" s="7"/>
      <c r="L440" s="26" t="str">
        <f t="shared" si="1"/>
        <v/>
      </c>
      <c r="M440" s="28" t="str">
        <f>IFERROR(__xludf.DUMMYFUNCTION("IF(Account!$F440&lt;&gt;"""", VALUE(REGEXREPLACE($I440, ""\,"", ""."")), """")"),"")</f>
        <v/>
      </c>
      <c r="N440" s="31" t="str">
        <f>IF(Account!$F440&lt;&gt;"", DATEVALUE(MID($A440,4,3) &amp; LEFT($A440,3) &amp; RIGHT($A440,4)) + TIMEVALUE($B440), "")</f>
        <v/>
      </c>
      <c r="O440" s="33" t="str">
        <f>IF(Account!$F440&lt;&gt;"", DATEVALUE(MID($A440,4,3) &amp; LEFT($A440,3) &amp; RIGHT($A440,4)), "")</f>
        <v/>
      </c>
      <c r="P440" s="34" t="str">
        <f>IFERROR(VLOOKUP($Q440,Selection!$F:$G,2,false))</f>
        <v/>
      </c>
      <c r="Q440" s="36" t="str">
        <f>IF(AND($X440="change",$H440="EUR"),IF(AND($Z440="Crédit",$N440=$N441),$Q441,IF(AND($Z440="Débit",$N440=$N439),$Q439)),IF(OR(AND(OR($E440&lt;&gt;"",$L440=""),$M440&lt;&gt;0),$A440=""),IFERROR(VLOOKUP($E440,Selection!$E:$F,2,false)),IFERROR(VLOOKUP(SUBSTITUTE($I440,"-","",1),$K441:$Q1119,7,false),VLOOKUP($K440,$K441:$Q1119,7,false))))</f>
        <v/>
      </c>
      <c r="R440" s="34" t="str">
        <f t="shared" si="2"/>
        <v/>
      </c>
      <c r="S440" s="37" t="str">
        <f t="shared" si="3"/>
        <v/>
      </c>
      <c r="T440" s="38" t="str">
        <f t="shared" si="4"/>
        <v/>
      </c>
      <c r="U440" s="28" t="str">
        <f t="shared" si="5"/>
        <v/>
      </c>
      <c r="V440" s="39" t="str">
        <f>IFERROR(__xludf.DUMMYFUNCTION(" IF(Account!$F440&lt;&gt;"""", SPLIT(Account!$F440, "" ""), """")"),"")</f>
        <v/>
      </c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</row>
    <row r="441">
      <c r="A441" s="7"/>
      <c r="B441" s="7"/>
      <c r="C441" s="7"/>
      <c r="D441" s="7"/>
      <c r="E441" s="7"/>
      <c r="F441" s="9"/>
      <c r="G441" s="341"/>
      <c r="H441" s="7"/>
      <c r="I441" s="7"/>
      <c r="J441" s="7"/>
      <c r="K441" s="7"/>
      <c r="L441" s="26" t="str">
        <f t="shared" si="1"/>
        <v/>
      </c>
      <c r="M441" s="28" t="str">
        <f>IFERROR(__xludf.DUMMYFUNCTION("IF(Account!$F441&lt;&gt;"""", VALUE(REGEXREPLACE($I441, ""\,"", ""."")), """")"),"")</f>
        <v/>
      </c>
      <c r="N441" s="31" t="str">
        <f>IF(Account!$F441&lt;&gt;"", DATEVALUE(MID($A441,4,3) &amp; LEFT($A441,3) &amp; RIGHT($A441,4)) + TIMEVALUE($B441), "")</f>
        <v/>
      </c>
      <c r="O441" s="33" t="str">
        <f>IF(Account!$F441&lt;&gt;"", DATEVALUE(MID($A441,4,3) &amp; LEFT($A441,3) &amp; RIGHT($A441,4)), "")</f>
        <v/>
      </c>
      <c r="P441" s="34" t="str">
        <f>IFERROR(VLOOKUP($Q441,Selection!$F:$G,2,false))</f>
        <v/>
      </c>
      <c r="Q441" s="36" t="str">
        <f>IF(AND($X441="change",$H441="EUR"),IF(AND($Z441="Crédit",$N441=$N442),$Q442,IF(AND($Z441="Débit",$N441=$N440),$Q440)),IF(OR(AND(OR($E441&lt;&gt;"",$L441=""),$M441&lt;&gt;0),$A441=""),IFERROR(VLOOKUP($E441,Selection!$E:$F,2,false)),IFERROR(VLOOKUP(SUBSTITUTE($I441,"-","",1),$K442:$Q1119,7,false),VLOOKUP($K441,$K442:$Q1119,7,false))))</f>
        <v/>
      </c>
      <c r="R441" s="34" t="str">
        <f t="shared" si="2"/>
        <v/>
      </c>
      <c r="S441" s="37" t="str">
        <f t="shared" si="3"/>
        <v/>
      </c>
      <c r="T441" s="38" t="str">
        <f t="shared" si="4"/>
        <v/>
      </c>
      <c r="U441" s="28" t="str">
        <f t="shared" si="5"/>
        <v/>
      </c>
      <c r="V441" s="39" t="str">
        <f>IFERROR(__xludf.DUMMYFUNCTION(" IF(Account!$F441&lt;&gt;"""", SPLIT(Account!$F441, "" ""), """")"),"")</f>
        <v/>
      </c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</row>
    <row r="442">
      <c r="A442" s="7"/>
      <c r="B442" s="7"/>
      <c r="C442" s="7"/>
      <c r="D442" s="7"/>
      <c r="E442" s="7"/>
      <c r="F442" s="9"/>
      <c r="G442" s="341"/>
      <c r="H442" s="341"/>
      <c r="I442" s="341"/>
      <c r="J442" s="7"/>
      <c r="K442" s="7"/>
      <c r="L442" s="26" t="str">
        <f t="shared" si="1"/>
        <v/>
      </c>
      <c r="M442" s="28" t="str">
        <f>IFERROR(__xludf.DUMMYFUNCTION("IF(Account!$F442&lt;&gt;"""", VALUE(REGEXREPLACE($I442, ""\,"", ""."")), """")"),"")</f>
        <v/>
      </c>
      <c r="N442" s="31" t="str">
        <f>IF(Account!$F442&lt;&gt;"", DATEVALUE(MID($A442,4,3) &amp; LEFT($A442,3) &amp; RIGHT($A442,4)) + TIMEVALUE($B442), "")</f>
        <v/>
      </c>
      <c r="O442" s="33" t="str">
        <f>IF(Account!$F442&lt;&gt;"", DATEVALUE(MID($A442,4,3) &amp; LEFT($A442,3) &amp; RIGHT($A442,4)), "")</f>
        <v/>
      </c>
      <c r="P442" s="34" t="str">
        <f>IFERROR(VLOOKUP($Q442,Selection!$F:$G,2,false))</f>
        <v/>
      </c>
      <c r="Q442" s="36" t="str">
        <f>IF(AND($X442="change",$H442="EUR"),IF(AND($Z442="Crédit",$N442=$N443),$Q443,IF(AND($Z442="Débit",$N442=$N441),$Q441)),IF(OR(AND(OR($E442&lt;&gt;"",$L442=""),$M442&lt;&gt;0),$A442=""),IFERROR(VLOOKUP($E442,Selection!$E:$F,2,false)),IFERROR(VLOOKUP(SUBSTITUTE($I442,"-","",1),$K443:$Q1119,7,false),VLOOKUP($K442,$K443:$Q1119,7,false))))</f>
        <v/>
      </c>
      <c r="R442" s="34" t="str">
        <f t="shared" si="2"/>
        <v/>
      </c>
      <c r="S442" s="37" t="str">
        <f t="shared" si="3"/>
        <v/>
      </c>
      <c r="T442" s="38" t="str">
        <f t="shared" si="4"/>
        <v/>
      </c>
      <c r="U442" s="28" t="str">
        <f t="shared" si="5"/>
        <v/>
      </c>
      <c r="V442" s="39" t="str">
        <f>IFERROR(__xludf.DUMMYFUNCTION(" IF(Account!$F442&lt;&gt;"""", SPLIT(Account!$F442, "" ""), """")"),"")</f>
        <v/>
      </c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</row>
    <row r="443">
      <c r="A443" s="7"/>
      <c r="B443" s="7"/>
      <c r="C443" s="7"/>
      <c r="D443" s="341"/>
      <c r="E443" s="341"/>
      <c r="F443" s="9"/>
      <c r="G443" s="7"/>
      <c r="H443" s="7"/>
      <c r="I443" s="7"/>
      <c r="J443" s="7"/>
      <c r="K443" s="7"/>
      <c r="L443" s="26" t="str">
        <f t="shared" si="1"/>
        <v/>
      </c>
      <c r="M443" s="28" t="str">
        <f>IFERROR(__xludf.DUMMYFUNCTION("IF(Account!$F443&lt;&gt;"""", VALUE(REGEXREPLACE($I443, ""\,"", ""."")), """")"),"")</f>
        <v/>
      </c>
      <c r="N443" s="31" t="str">
        <f>IF(Account!$F443&lt;&gt;"", DATEVALUE(MID($A443,4,3) &amp; LEFT($A443,3) &amp; RIGHT($A443,4)) + TIMEVALUE($B443), "")</f>
        <v/>
      </c>
      <c r="O443" s="33" t="str">
        <f>IF(Account!$F443&lt;&gt;"", DATEVALUE(MID($A443,4,3) &amp; LEFT($A443,3) &amp; RIGHT($A443,4)), "")</f>
        <v/>
      </c>
      <c r="P443" s="34" t="str">
        <f>IFERROR(VLOOKUP($Q443,Selection!$F:$G,2,false))</f>
        <v/>
      </c>
      <c r="Q443" s="36" t="str">
        <f>IF(AND($X443="change",$H443="EUR"),IF(AND($Z443="Crédit",$N443=$N444),$Q444,IF(AND($Z443="Débit",$N443=$N442),$Q442)),IF(OR(AND(OR($E443&lt;&gt;"",$L443=""),$M443&lt;&gt;0),$A443=""),IFERROR(VLOOKUP($E443,Selection!$E:$F,2,false)),IFERROR(VLOOKUP(SUBSTITUTE($I443,"-","",1),$K444:$Q1119,7,false),VLOOKUP($K443,$K444:$Q1119,7,false))))</f>
        <v/>
      </c>
      <c r="R443" s="34" t="str">
        <f t="shared" si="2"/>
        <v/>
      </c>
      <c r="S443" s="37" t="str">
        <f t="shared" si="3"/>
        <v/>
      </c>
      <c r="T443" s="38" t="str">
        <f t="shared" si="4"/>
        <v/>
      </c>
      <c r="U443" s="28" t="str">
        <f t="shared" si="5"/>
        <v/>
      </c>
      <c r="V443" s="39" t="str">
        <f>IFERROR(__xludf.DUMMYFUNCTION(" IF(Account!$F443&lt;&gt;"""", SPLIT(Account!$F443, "" ""), """")"),"")</f>
        <v/>
      </c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</row>
    <row r="444">
      <c r="A444" s="7"/>
      <c r="B444" s="7"/>
      <c r="C444" s="7"/>
      <c r="D444" s="341"/>
      <c r="E444" s="341"/>
      <c r="F444" s="9"/>
      <c r="G444" s="341"/>
      <c r="H444" s="7"/>
      <c r="I444" s="7"/>
      <c r="J444" s="7"/>
      <c r="K444" s="7"/>
      <c r="L444" s="26" t="str">
        <f t="shared" si="1"/>
        <v/>
      </c>
      <c r="M444" s="28" t="str">
        <f>IFERROR(__xludf.DUMMYFUNCTION("IF(Account!$F444&lt;&gt;"""", VALUE(REGEXREPLACE($I444, ""\,"", ""."")), """")"),"")</f>
        <v/>
      </c>
      <c r="N444" s="31" t="str">
        <f>IF(Account!$F444&lt;&gt;"", DATEVALUE(MID($A444,4,3) &amp; LEFT($A444,3) &amp; RIGHT($A444,4)) + TIMEVALUE($B444), "")</f>
        <v/>
      </c>
      <c r="O444" s="33" t="str">
        <f>IF(Account!$F444&lt;&gt;"", DATEVALUE(MID($A444,4,3) &amp; LEFT($A444,3) &amp; RIGHT($A444,4)), "")</f>
        <v/>
      </c>
      <c r="P444" s="34" t="str">
        <f>IFERROR(VLOOKUP($Q444,Selection!$F:$G,2,false))</f>
        <v/>
      </c>
      <c r="Q444" s="36" t="str">
        <f>IF(AND($X444="change",$H444="EUR"),IF(AND($Z444="Crédit",$N444=$N445),$Q445,IF(AND($Z444="Débit",$N444=$N443),$Q443)),IF(OR(AND(OR($E444&lt;&gt;"",$L444=""),$M444&lt;&gt;0),$A444=""),IFERROR(VLOOKUP($E444,Selection!$E:$F,2,false)),IFERROR(VLOOKUP(SUBSTITUTE($I444,"-","",1),$K445:$Q1119,7,false),VLOOKUP($K444,$K445:$Q1119,7,false))))</f>
        <v/>
      </c>
      <c r="R444" s="34" t="str">
        <f t="shared" si="2"/>
        <v/>
      </c>
      <c r="S444" s="37" t="str">
        <f t="shared" si="3"/>
        <v/>
      </c>
      <c r="T444" s="38" t="str">
        <f t="shared" si="4"/>
        <v/>
      </c>
      <c r="U444" s="28" t="str">
        <f t="shared" si="5"/>
        <v/>
      </c>
      <c r="V444" s="39" t="str">
        <f>IFERROR(__xludf.DUMMYFUNCTION(" IF(Account!$F444&lt;&gt;"""", SPLIT(Account!$F444, "" ""), """")"),"")</f>
        <v/>
      </c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</row>
    <row r="445">
      <c r="A445" s="7"/>
      <c r="B445" s="7"/>
      <c r="C445" s="7"/>
      <c r="D445" s="7"/>
      <c r="E445" s="7"/>
      <c r="F445" s="9"/>
      <c r="G445" s="341"/>
      <c r="H445" s="341"/>
      <c r="I445" s="341"/>
      <c r="J445" s="7"/>
      <c r="K445" s="7"/>
      <c r="L445" s="26" t="str">
        <f t="shared" si="1"/>
        <v/>
      </c>
      <c r="M445" s="28" t="str">
        <f>IFERROR(__xludf.DUMMYFUNCTION("IF(Account!$F445&lt;&gt;"""", VALUE(REGEXREPLACE($I445, ""\,"", ""."")), """")"),"")</f>
        <v/>
      </c>
      <c r="N445" s="31" t="str">
        <f>IF(Account!$F445&lt;&gt;"", DATEVALUE(MID($A445,4,3) &amp; LEFT($A445,3) &amp; RIGHT($A445,4)) + TIMEVALUE($B445), "")</f>
        <v/>
      </c>
      <c r="O445" s="33" t="str">
        <f>IF(Account!$F445&lt;&gt;"", DATEVALUE(MID($A445,4,3) &amp; LEFT($A445,3) &amp; RIGHT($A445,4)), "")</f>
        <v/>
      </c>
      <c r="P445" s="34" t="str">
        <f>IFERROR(VLOOKUP($Q445,Selection!$F:$G,2,false))</f>
        <v/>
      </c>
      <c r="Q445" s="36" t="str">
        <f>IF(AND($X445="change",$H445="EUR"),IF(AND($Z445="Crédit",$N445=$N446),$Q446,IF(AND($Z445="Débit",$N445=$N444),$Q444)),IF(OR(AND(OR($E445&lt;&gt;"",$L445=""),$M445&lt;&gt;0),$A445=""),IFERROR(VLOOKUP($E445,Selection!$E:$F,2,false)),IFERROR(VLOOKUP(SUBSTITUTE($I445,"-","",1),$K446:$Q1119,7,false),VLOOKUP($K445,$K446:$Q1119,7,false))))</f>
        <v/>
      </c>
      <c r="R445" s="34" t="str">
        <f t="shared" si="2"/>
        <v/>
      </c>
      <c r="S445" s="37" t="str">
        <f t="shared" si="3"/>
        <v/>
      </c>
      <c r="T445" s="38" t="str">
        <f t="shared" si="4"/>
        <v/>
      </c>
      <c r="U445" s="28" t="str">
        <f t="shared" si="5"/>
        <v/>
      </c>
      <c r="V445" s="39" t="str">
        <f>IFERROR(__xludf.DUMMYFUNCTION(" IF(Account!$F445&lt;&gt;"""", SPLIT(Account!$F445, "" ""), """")"),"")</f>
        <v/>
      </c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</row>
    <row r="446">
      <c r="A446" s="7"/>
      <c r="B446" s="7"/>
      <c r="C446" s="7"/>
      <c r="D446" s="7"/>
      <c r="E446" s="7"/>
      <c r="F446" s="9"/>
      <c r="G446" s="341"/>
      <c r="H446" s="7"/>
      <c r="I446" s="7"/>
      <c r="J446" s="7"/>
      <c r="K446" s="7"/>
      <c r="L446" s="26" t="str">
        <f t="shared" si="1"/>
        <v/>
      </c>
      <c r="M446" s="28" t="str">
        <f>IFERROR(__xludf.DUMMYFUNCTION("IF(Account!$F446&lt;&gt;"""", VALUE(REGEXREPLACE($I446, ""\,"", ""."")), """")"),"")</f>
        <v/>
      </c>
      <c r="N446" s="31" t="str">
        <f>IF(Account!$F446&lt;&gt;"", DATEVALUE(MID($A446,4,3) &amp; LEFT($A446,3) &amp; RIGHT($A446,4)) + TIMEVALUE($B446), "")</f>
        <v/>
      </c>
      <c r="O446" s="33" t="str">
        <f>IF(Account!$F446&lt;&gt;"", DATEVALUE(MID($A446,4,3) &amp; LEFT($A446,3) &amp; RIGHT($A446,4)), "")</f>
        <v/>
      </c>
      <c r="P446" s="34" t="str">
        <f>IFERROR(VLOOKUP($Q446,Selection!$F:$G,2,false))</f>
        <v/>
      </c>
      <c r="Q446" s="36" t="str">
        <f>IF(AND($X446="change",$H446="EUR"),IF(AND($Z446="Crédit",$N446=$N447),$Q447,IF(AND($Z446="Débit",$N446=$N445),$Q445)),IF(OR(AND(OR($E446&lt;&gt;"",$L446=""),$M446&lt;&gt;0),$A446=""),IFERROR(VLOOKUP($E446,Selection!$E:$F,2,false)),IFERROR(VLOOKUP(SUBSTITUTE($I446,"-","",1),$K447:$Q1119,7,false),VLOOKUP($K446,$K447:$Q1119,7,false))))</f>
        <v/>
      </c>
      <c r="R446" s="34" t="str">
        <f t="shared" si="2"/>
        <v/>
      </c>
      <c r="S446" s="37" t="str">
        <f t="shared" si="3"/>
        <v/>
      </c>
      <c r="T446" s="38" t="str">
        <f t="shared" si="4"/>
        <v/>
      </c>
      <c r="U446" s="28" t="str">
        <f t="shared" si="5"/>
        <v/>
      </c>
      <c r="V446" s="39" t="str">
        <f>IFERROR(__xludf.DUMMYFUNCTION(" IF(Account!$F446&lt;&gt;"""", SPLIT(Account!$F446, "" ""), """")"),"")</f>
        <v/>
      </c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</row>
    <row r="447">
      <c r="A447" s="7"/>
      <c r="B447" s="7"/>
      <c r="C447" s="7"/>
      <c r="D447" s="7"/>
      <c r="E447" s="7"/>
      <c r="F447" s="9"/>
      <c r="G447" s="341"/>
      <c r="H447" s="7"/>
      <c r="I447" s="7"/>
      <c r="J447" s="7"/>
      <c r="K447" s="7"/>
      <c r="L447" s="26" t="str">
        <f t="shared" si="1"/>
        <v/>
      </c>
      <c r="M447" s="28" t="str">
        <f>IFERROR(__xludf.DUMMYFUNCTION("IF(Account!$F447&lt;&gt;"""", VALUE(REGEXREPLACE($I447, ""\,"", ""."")), """")"),"")</f>
        <v/>
      </c>
      <c r="N447" s="31" t="str">
        <f>IF(Account!$F447&lt;&gt;"", DATEVALUE(MID($A447,4,3) &amp; LEFT($A447,3) &amp; RIGHT($A447,4)) + TIMEVALUE($B447), "")</f>
        <v/>
      </c>
      <c r="O447" s="33" t="str">
        <f>IF(Account!$F447&lt;&gt;"", DATEVALUE(MID($A447,4,3) &amp; LEFT($A447,3) &amp; RIGHT($A447,4)), "")</f>
        <v/>
      </c>
      <c r="P447" s="34" t="str">
        <f>IFERROR(VLOOKUP($Q447,Selection!$F:$G,2,false))</f>
        <v/>
      </c>
      <c r="Q447" s="36" t="str">
        <f>IF(AND($X447="change",$H447="EUR"),IF(AND($Z447="Crédit",$N447=$N448),$Q448,IF(AND($Z447="Débit",$N447=$N446),$Q446)),IF(OR(AND(OR($E447&lt;&gt;"",$L447=""),$M447&lt;&gt;0),$A447=""),IFERROR(VLOOKUP($E447,Selection!$E:$F,2,false)),IFERROR(VLOOKUP(SUBSTITUTE($I447,"-","",1),$K448:$Q1119,7,false),VLOOKUP($K447,$K448:$Q1119,7,false))))</f>
        <v/>
      </c>
      <c r="R447" s="34" t="str">
        <f t="shared" si="2"/>
        <v/>
      </c>
      <c r="S447" s="37" t="str">
        <f t="shared" si="3"/>
        <v/>
      </c>
      <c r="T447" s="38" t="str">
        <f t="shared" si="4"/>
        <v/>
      </c>
      <c r="U447" s="28" t="str">
        <f t="shared" si="5"/>
        <v/>
      </c>
      <c r="V447" s="39" t="str">
        <f>IFERROR(__xludf.DUMMYFUNCTION(" IF(Account!$F447&lt;&gt;"""", SPLIT(Account!$F447, "" ""), """")"),"")</f>
        <v/>
      </c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</row>
    <row r="448">
      <c r="A448" s="7"/>
      <c r="B448" s="7"/>
      <c r="C448" s="7"/>
      <c r="D448" s="7"/>
      <c r="E448" s="7"/>
      <c r="F448" s="9"/>
      <c r="G448" s="7"/>
      <c r="H448" s="7"/>
      <c r="I448" s="7"/>
      <c r="J448" s="7"/>
      <c r="K448" s="7"/>
      <c r="L448" s="26" t="str">
        <f t="shared" si="1"/>
        <v/>
      </c>
      <c r="M448" s="28" t="str">
        <f>IFERROR(__xludf.DUMMYFUNCTION("IF(Account!$F448&lt;&gt;"""", VALUE(REGEXREPLACE($I448, ""\,"", ""."")), """")"),"")</f>
        <v/>
      </c>
      <c r="N448" s="31" t="str">
        <f>IF(Account!$F448&lt;&gt;"", DATEVALUE(MID($A448,4,3) &amp; LEFT($A448,3) &amp; RIGHT($A448,4)) + TIMEVALUE($B448), "")</f>
        <v/>
      </c>
      <c r="O448" s="33" t="str">
        <f>IF(Account!$F448&lt;&gt;"", DATEVALUE(MID($A448,4,3) &amp; LEFT($A448,3) &amp; RIGHT($A448,4)), "")</f>
        <v/>
      </c>
      <c r="P448" s="34" t="str">
        <f>IFERROR(VLOOKUP($Q448,Selection!$F:$G,2,false))</f>
        <v/>
      </c>
      <c r="Q448" s="36" t="str">
        <f>IF(AND($X448="change",$H448="EUR"),IF(AND($Z448="Crédit",$N448=$N449),$Q449,IF(AND($Z448="Débit",$N448=$N447),$Q447)),IF(OR(AND(OR($E448&lt;&gt;"",$L448=""),$M448&lt;&gt;0),$A448=""),IFERROR(VLOOKUP($E448,Selection!$E:$F,2,false)),IFERROR(VLOOKUP(SUBSTITUTE($I448,"-","",1),$K449:$Q1119,7,false),VLOOKUP($K448,$K449:$Q1119,7,false))))</f>
        <v/>
      </c>
      <c r="R448" s="34" t="str">
        <f t="shared" si="2"/>
        <v/>
      </c>
      <c r="S448" s="37" t="str">
        <f t="shared" si="3"/>
        <v/>
      </c>
      <c r="T448" s="38" t="str">
        <f t="shared" si="4"/>
        <v/>
      </c>
      <c r="U448" s="28" t="str">
        <f t="shared" si="5"/>
        <v/>
      </c>
      <c r="V448" s="39" t="str">
        <f>IFERROR(__xludf.DUMMYFUNCTION(" IF(Account!$F448&lt;&gt;"""", SPLIT(Account!$F448, "" ""), """")"),"")</f>
        <v/>
      </c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</row>
    <row r="449">
      <c r="A449" s="7"/>
      <c r="B449" s="7"/>
      <c r="C449" s="7"/>
      <c r="D449" s="7"/>
      <c r="E449" s="7"/>
      <c r="F449" s="9"/>
      <c r="G449" s="341"/>
      <c r="H449" s="7"/>
      <c r="I449" s="7"/>
      <c r="J449" s="7"/>
      <c r="K449" s="7"/>
      <c r="L449" s="26" t="str">
        <f t="shared" si="1"/>
        <v/>
      </c>
      <c r="M449" s="28" t="str">
        <f>IFERROR(__xludf.DUMMYFUNCTION("IF(Account!$F449&lt;&gt;"""", VALUE(REGEXREPLACE($I449, ""\,"", ""."")), """")"),"")</f>
        <v/>
      </c>
      <c r="N449" s="31" t="str">
        <f>IF(Account!$F449&lt;&gt;"", DATEVALUE(MID($A449,4,3) &amp; LEFT($A449,3) &amp; RIGHT($A449,4)) + TIMEVALUE($B449), "")</f>
        <v/>
      </c>
      <c r="O449" s="33" t="str">
        <f>IF(Account!$F449&lt;&gt;"", DATEVALUE(MID($A449,4,3) &amp; LEFT($A449,3) &amp; RIGHT($A449,4)), "")</f>
        <v/>
      </c>
      <c r="P449" s="34" t="str">
        <f>IFERROR(VLOOKUP($Q449,Selection!$F:$G,2,false))</f>
        <v/>
      </c>
      <c r="Q449" s="36" t="str">
        <f>IF(AND($X449="change",$H449="EUR"),IF(AND($Z449="Crédit",$N449=$N450),$Q450,IF(AND($Z449="Débit",$N449=$N448),$Q448)),IF(OR(AND(OR($E449&lt;&gt;"",$L449=""),$M449&lt;&gt;0),$A449=""),IFERROR(VLOOKUP($E449,Selection!$E:$F,2,false)),IFERROR(VLOOKUP(SUBSTITUTE($I449,"-","",1),$K450:$Q1119,7,false),VLOOKUP($K449,$K450:$Q1119,7,false))))</f>
        <v/>
      </c>
      <c r="R449" s="34" t="str">
        <f t="shared" si="2"/>
        <v/>
      </c>
      <c r="S449" s="37" t="str">
        <f t="shared" si="3"/>
        <v/>
      </c>
      <c r="T449" s="38" t="str">
        <f t="shared" si="4"/>
        <v/>
      </c>
      <c r="U449" s="28" t="str">
        <f t="shared" si="5"/>
        <v/>
      </c>
      <c r="V449" s="39" t="str">
        <f>IFERROR(__xludf.DUMMYFUNCTION(" IF(Account!$F449&lt;&gt;"""", SPLIT(Account!$F449, "" ""), """")"),"")</f>
        <v/>
      </c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</row>
    <row r="450">
      <c r="A450" s="7"/>
      <c r="B450" s="7"/>
      <c r="C450" s="7"/>
      <c r="D450" s="7"/>
      <c r="E450" s="7"/>
      <c r="F450" s="9"/>
      <c r="G450" s="7"/>
      <c r="H450" s="7"/>
      <c r="I450" s="7"/>
      <c r="J450" s="7"/>
      <c r="K450" s="7"/>
      <c r="L450" s="26" t="str">
        <f t="shared" si="1"/>
        <v/>
      </c>
      <c r="M450" s="28" t="str">
        <f>IFERROR(__xludf.DUMMYFUNCTION("IF(Account!$F450&lt;&gt;"""", VALUE(REGEXREPLACE($I450, ""\,"", ""."")), """")"),"")</f>
        <v/>
      </c>
      <c r="N450" s="31" t="str">
        <f>IF(Account!$F450&lt;&gt;"", DATEVALUE(MID($A450,4,3) &amp; LEFT($A450,3) &amp; RIGHT($A450,4)) + TIMEVALUE($B450), "")</f>
        <v/>
      </c>
      <c r="O450" s="33" t="str">
        <f>IF(Account!$F450&lt;&gt;"", DATEVALUE(MID($A450,4,3) &amp; LEFT($A450,3) &amp; RIGHT($A450,4)), "")</f>
        <v/>
      </c>
      <c r="P450" s="34" t="str">
        <f>IFERROR(VLOOKUP($Q450,Selection!$F:$G,2,false))</f>
        <v/>
      </c>
      <c r="Q450" s="36" t="str">
        <f>IF(AND($X450="change",$H450="EUR"),IF(AND($Z450="Crédit",$N450=$N451),$Q451,IF(AND($Z450="Débit",$N450=$N449),$Q449)),IF(OR(AND(OR($E450&lt;&gt;"",$L450=""),$M450&lt;&gt;0),$A450=""),IFERROR(VLOOKUP($E450,Selection!$E:$F,2,false)),IFERROR(VLOOKUP(SUBSTITUTE($I450,"-","",1),$K451:$Q1119,7,false),VLOOKUP($K450,$K451:$Q1119,7,false))))</f>
        <v/>
      </c>
      <c r="R450" s="34" t="str">
        <f t="shared" si="2"/>
        <v/>
      </c>
      <c r="S450" s="37" t="str">
        <f t="shared" si="3"/>
        <v/>
      </c>
      <c r="T450" s="38" t="str">
        <f t="shared" si="4"/>
        <v/>
      </c>
      <c r="U450" s="28" t="str">
        <f t="shared" si="5"/>
        <v/>
      </c>
      <c r="V450" s="39" t="str">
        <f>IFERROR(__xludf.DUMMYFUNCTION(" IF(Account!$F450&lt;&gt;"""", SPLIT(Account!$F450, "" ""), """")"),"")</f>
        <v/>
      </c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</row>
    <row r="451">
      <c r="A451" s="7"/>
      <c r="B451" s="7"/>
      <c r="C451" s="7"/>
      <c r="D451" s="7"/>
      <c r="E451" s="7"/>
      <c r="F451" s="9"/>
      <c r="G451" s="341"/>
      <c r="H451" s="7"/>
      <c r="I451" s="7"/>
      <c r="J451" s="7"/>
      <c r="K451" s="7"/>
      <c r="L451" s="26" t="str">
        <f t="shared" si="1"/>
        <v/>
      </c>
      <c r="M451" s="28" t="str">
        <f>IFERROR(__xludf.DUMMYFUNCTION("IF(Account!$F451&lt;&gt;"""", VALUE(REGEXREPLACE($I451, ""\,"", ""."")), """")"),"")</f>
        <v/>
      </c>
      <c r="N451" s="31" t="str">
        <f>IF(Account!$F451&lt;&gt;"", DATEVALUE(MID($A451,4,3) &amp; LEFT($A451,3) &amp; RIGHT($A451,4)) + TIMEVALUE($B451), "")</f>
        <v/>
      </c>
      <c r="O451" s="33" t="str">
        <f>IF(Account!$F451&lt;&gt;"", DATEVALUE(MID($A451,4,3) &amp; LEFT($A451,3) &amp; RIGHT($A451,4)), "")</f>
        <v/>
      </c>
      <c r="P451" s="34" t="str">
        <f>IFERROR(VLOOKUP($Q451,Selection!$F:$G,2,false))</f>
        <v/>
      </c>
      <c r="Q451" s="36" t="str">
        <f>IF(AND($X451="change",$H451="EUR"),IF(AND($Z451="Crédit",$N451=$N452),$Q452,IF(AND($Z451="Débit",$N451=$N450),$Q450)),IF(OR(AND(OR($E451&lt;&gt;"",$L451=""),$M451&lt;&gt;0),$A451=""),IFERROR(VLOOKUP($E451,Selection!$E:$F,2,false)),IFERROR(VLOOKUP(SUBSTITUTE($I451,"-","",1),$K452:$Q1119,7,false),VLOOKUP($K451,$K452:$Q1119,7,false))))</f>
        <v/>
      </c>
      <c r="R451" s="34" t="str">
        <f t="shared" si="2"/>
        <v/>
      </c>
      <c r="S451" s="37" t="str">
        <f t="shared" si="3"/>
        <v/>
      </c>
      <c r="T451" s="38" t="str">
        <f t="shared" si="4"/>
        <v/>
      </c>
      <c r="U451" s="28" t="str">
        <f t="shared" si="5"/>
        <v/>
      </c>
      <c r="V451" s="39" t="str">
        <f>IFERROR(__xludf.DUMMYFUNCTION(" IF(Account!$F451&lt;&gt;"""", SPLIT(Account!$F451, "" ""), """")"),"")</f>
        <v/>
      </c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</row>
    <row r="452">
      <c r="A452" s="7"/>
      <c r="B452" s="7"/>
      <c r="C452" s="7"/>
      <c r="D452" s="7"/>
      <c r="E452" s="7"/>
      <c r="F452" s="9"/>
      <c r="G452" s="7"/>
      <c r="H452" s="7"/>
      <c r="I452" s="7"/>
      <c r="J452" s="7"/>
      <c r="K452" s="7"/>
      <c r="L452" s="26" t="str">
        <f t="shared" si="1"/>
        <v/>
      </c>
      <c r="M452" s="28" t="str">
        <f>IFERROR(__xludf.DUMMYFUNCTION("IF(Account!$F452&lt;&gt;"""", VALUE(REGEXREPLACE($I452, ""\,"", ""."")), """")"),"")</f>
        <v/>
      </c>
      <c r="N452" s="31" t="str">
        <f>IF(Account!$F452&lt;&gt;"", DATEVALUE(MID($A452,4,3) &amp; LEFT($A452,3) &amp; RIGHT($A452,4)) + TIMEVALUE($B452), "")</f>
        <v/>
      </c>
      <c r="O452" s="33" t="str">
        <f>IF(Account!$F452&lt;&gt;"", DATEVALUE(MID($A452,4,3) &amp; LEFT($A452,3) &amp; RIGHT($A452,4)), "")</f>
        <v/>
      </c>
      <c r="P452" s="34" t="str">
        <f>IFERROR(VLOOKUP($Q452,Selection!$F:$G,2,false))</f>
        <v/>
      </c>
      <c r="Q452" s="36" t="str">
        <f>IF(AND($X452="change",$H452="EUR"),IF(AND($Z452="Crédit",$N452=$N453),$Q453,IF(AND($Z452="Débit",$N452=$N451),$Q451)),IF(OR(AND(OR($E452&lt;&gt;"",$L452=""),$M452&lt;&gt;0),$A452=""),IFERROR(VLOOKUP($E452,Selection!$E:$F,2,false)),IFERROR(VLOOKUP(SUBSTITUTE($I452,"-","",1),$K453:$Q1119,7,false),VLOOKUP($K452,$K453:$Q1119,7,false))))</f>
        <v/>
      </c>
      <c r="R452" s="34" t="str">
        <f t="shared" si="2"/>
        <v/>
      </c>
      <c r="S452" s="37" t="str">
        <f t="shared" si="3"/>
        <v/>
      </c>
      <c r="T452" s="38" t="str">
        <f t="shared" si="4"/>
        <v/>
      </c>
      <c r="U452" s="28" t="str">
        <f t="shared" si="5"/>
        <v/>
      </c>
      <c r="V452" s="39" t="str">
        <f>IFERROR(__xludf.DUMMYFUNCTION(" IF(Account!$F452&lt;&gt;"""", SPLIT(Account!$F452, "" ""), """")"),"")</f>
        <v/>
      </c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</row>
    <row r="453">
      <c r="A453" s="7"/>
      <c r="B453" s="7"/>
      <c r="C453" s="7"/>
      <c r="D453" s="7"/>
      <c r="E453" s="7"/>
      <c r="F453" s="9"/>
      <c r="G453" s="341"/>
      <c r="H453" s="7"/>
      <c r="I453" s="7"/>
      <c r="J453" s="7"/>
      <c r="K453" s="7"/>
      <c r="L453" s="26" t="str">
        <f t="shared" si="1"/>
        <v/>
      </c>
      <c r="M453" s="28" t="str">
        <f>IFERROR(__xludf.DUMMYFUNCTION("IF(Account!$F453&lt;&gt;"""", VALUE(REGEXREPLACE($I453, ""\,"", ""."")), """")"),"")</f>
        <v/>
      </c>
      <c r="N453" s="31" t="str">
        <f>IF(Account!$F453&lt;&gt;"", DATEVALUE(MID($A453,4,3) &amp; LEFT($A453,3) &amp; RIGHT($A453,4)) + TIMEVALUE($B453), "")</f>
        <v/>
      </c>
      <c r="O453" s="33" t="str">
        <f>IF(Account!$F453&lt;&gt;"", DATEVALUE(MID($A453,4,3) &amp; LEFT($A453,3) &amp; RIGHT($A453,4)), "")</f>
        <v/>
      </c>
      <c r="P453" s="34" t="str">
        <f>IFERROR(VLOOKUP($Q453,Selection!$F:$G,2,false))</f>
        <v/>
      </c>
      <c r="Q453" s="36" t="str">
        <f>IF(AND($X453="change",$H453="EUR"),IF(AND($Z453="Crédit",$N453=$N454),$Q454,IF(AND($Z453="Débit",$N453=$N452),$Q452)),IF(OR(AND(OR($E453&lt;&gt;"",$L453=""),$M453&lt;&gt;0),$A453=""),IFERROR(VLOOKUP($E453,Selection!$E:$F,2,false)),IFERROR(VLOOKUP(SUBSTITUTE($I453,"-","",1),$K454:$Q1119,7,false),VLOOKUP($K453,$K454:$Q1119,7,false))))</f>
        <v/>
      </c>
      <c r="R453" s="34" t="str">
        <f t="shared" si="2"/>
        <v/>
      </c>
      <c r="S453" s="37" t="str">
        <f t="shared" si="3"/>
        <v/>
      </c>
      <c r="T453" s="38" t="str">
        <f t="shared" si="4"/>
        <v/>
      </c>
      <c r="U453" s="28" t="str">
        <f t="shared" si="5"/>
        <v/>
      </c>
      <c r="V453" s="39" t="str">
        <f>IFERROR(__xludf.DUMMYFUNCTION(" IF(Account!$F453&lt;&gt;"""", SPLIT(Account!$F453, "" ""), """")"),"")</f>
        <v/>
      </c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</row>
    <row r="454">
      <c r="A454" s="7"/>
      <c r="B454" s="7"/>
      <c r="C454" s="7"/>
      <c r="D454" s="7"/>
      <c r="E454" s="7"/>
      <c r="F454" s="9"/>
      <c r="G454" s="341"/>
      <c r="H454" s="7"/>
      <c r="I454" s="7"/>
      <c r="J454" s="7"/>
      <c r="K454" s="7"/>
      <c r="L454" s="26" t="str">
        <f t="shared" si="1"/>
        <v/>
      </c>
      <c r="M454" s="28" t="str">
        <f>IFERROR(__xludf.DUMMYFUNCTION("IF(Account!$F454&lt;&gt;"""", VALUE(REGEXREPLACE($I454, ""\,"", ""."")), """")"),"")</f>
        <v/>
      </c>
      <c r="N454" s="31" t="str">
        <f>IF(Account!$F454&lt;&gt;"", DATEVALUE(MID($A454,4,3) &amp; LEFT($A454,3) &amp; RIGHT($A454,4)) + TIMEVALUE($B454), "")</f>
        <v/>
      </c>
      <c r="O454" s="33" t="str">
        <f>IF(Account!$F454&lt;&gt;"", DATEVALUE(MID($A454,4,3) &amp; LEFT($A454,3) &amp; RIGHT($A454,4)), "")</f>
        <v/>
      </c>
      <c r="P454" s="34" t="str">
        <f>IFERROR(VLOOKUP($Q454,Selection!$F:$G,2,false))</f>
        <v/>
      </c>
      <c r="Q454" s="36" t="str">
        <f>IF(AND($X454="change",$H454="EUR"),IF(AND($Z454="Crédit",$N454=$N455),$Q455,IF(AND($Z454="Débit",$N454=$N453),$Q453)),IF(OR(AND(OR($E454&lt;&gt;"",$L454=""),$M454&lt;&gt;0),$A454=""),IFERROR(VLOOKUP($E454,Selection!$E:$F,2,false)),IFERROR(VLOOKUP(SUBSTITUTE($I454,"-","",1),$K455:$Q1119,7,false),VLOOKUP($K454,$K455:$Q1119,7,false))))</f>
        <v/>
      </c>
      <c r="R454" s="34" t="str">
        <f t="shared" si="2"/>
        <v/>
      </c>
      <c r="S454" s="37" t="str">
        <f t="shared" si="3"/>
        <v/>
      </c>
      <c r="T454" s="38" t="str">
        <f t="shared" si="4"/>
        <v/>
      </c>
      <c r="U454" s="28" t="str">
        <f t="shared" si="5"/>
        <v/>
      </c>
      <c r="V454" s="39" t="str">
        <f>IFERROR(__xludf.DUMMYFUNCTION(" IF(Account!$F454&lt;&gt;"""", SPLIT(Account!$F454, "" ""), """")"),"")</f>
        <v/>
      </c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</row>
    <row r="455">
      <c r="A455" s="7"/>
      <c r="B455" s="7"/>
      <c r="C455" s="7"/>
      <c r="D455" s="7"/>
      <c r="E455" s="7"/>
      <c r="F455" s="9"/>
      <c r="G455" s="341"/>
      <c r="H455" s="7"/>
      <c r="I455" s="7"/>
      <c r="J455" s="7"/>
      <c r="K455" s="7"/>
      <c r="L455" s="26" t="str">
        <f t="shared" si="1"/>
        <v/>
      </c>
      <c r="M455" s="28" t="str">
        <f>IFERROR(__xludf.DUMMYFUNCTION("IF(Account!$F455&lt;&gt;"""", VALUE(REGEXREPLACE($I455, ""\,"", ""."")), """")"),"")</f>
        <v/>
      </c>
      <c r="N455" s="31" t="str">
        <f>IF(Account!$F455&lt;&gt;"", DATEVALUE(MID($A455,4,3) &amp; LEFT($A455,3) &amp; RIGHT($A455,4)) + TIMEVALUE($B455), "")</f>
        <v/>
      </c>
      <c r="O455" s="33" t="str">
        <f>IF(Account!$F455&lt;&gt;"", DATEVALUE(MID($A455,4,3) &amp; LEFT($A455,3) &amp; RIGHT($A455,4)), "")</f>
        <v/>
      </c>
      <c r="P455" s="34" t="str">
        <f>IFERROR(VLOOKUP($Q455,Selection!$F:$G,2,false))</f>
        <v/>
      </c>
      <c r="Q455" s="36" t="str">
        <f>IF(AND($X455="change",$H455="EUR"),IF(AND($Z455="Crédit",$N455=$N456),$Q456,IF(AND($Z455="Débit",$N455=$N454),$Q454)),IF(OR(AND(OR($E455&lt;&gt;"",$L455=""),$M455&lt;&gt;0),$A455=""),IFERROR(VLOOKUP($E455,Selection!$E:$F,2,false)),IFERROR(VLOOKUP(SUBSTITUTE($I455,"-","",1),$K456:$Q1119,7,false),VLOOKUP($K455,$K456:$Q1119,7,false))))</f>
        <v/>
      </c>
      <c r="R455" s="34" t="str">
        <f t="shared" si="2"/>
        <v/>
      </c>
      <c r="S455" s="37" t="str">
        <f t="shared" si="3"/>
        <v/>
      </c>
      <c r="T455" s="38" t="str">
        <f t="shared" si="4"/>
        <v/>
      </c>
      <c r="U455" s="28" t="str">
        <f t="shared" si="5"/>
        <v/>
      </c>
      <c r="V455" s="39" t="str">
        <f>IFERROR(__xludf.DUMMYFUNCTION(" IF(Account!$F455&lt;&gt;"""", SPLIT(Account!$F455, "" ""), """")"),"")</f>
        <v/>
      </c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</row>
    <row r="456">
      <c r="A456" s="7"/>
      <c r="B456" s="7"/>
      <c r="C456" s="7"/>
      <c r="D456" s="7"/>
      <c r="E456" s="7"/>
      <c r="F456" s="9"/>
      <c r="G456" s="341"/>
      <c r="H456" s="7"/>
      <c r="I456" s="7"/>
      <c r="J456" s="7"/>
      <c r="K456" s="7"/>
      <c r="L456" s="26" t="str">
        <f t="shared" si="1"/>
        <v/>
      </c>
      <c r="M456" s="28" t="str">
        <f>IFERROR(__xludf.DUMMYFUNCTION("IF(Account!$F456&lt;&gt;"""", VALUE(REGEXREPLACE($I456, ""\,"", ""."")), """")"),"")</f>
        <v/>
      </c>
      <c r="N456" s="31" t="str">
        <f>IF(Account!$F456&lt;&gt;"", DATEVALUE(MID($A456,4,3) &amp; LEFT($A456,3) &amp; RIGHT($A456,4)) + TIMEVALUE($B456), "")</f>
        <v/>
      </c>
      <c r="O456" s="33" t="str">
        <f>IF(Account!$F456&lt;&gt;"", DATEVALUE(MID($A456,4,3) &amp; LEFT($A456,3) &amp; RIGHT($A456,4)), "")</f>
        <v/>
      </c>
      <c r="P456" s="34" t="str">
        <f>IFERROR(VLOOKUP($Q456,Selection!$F:$G,2,false))</f>
        <v/>
      </c>
      <c r="Q456" s="36" t="str">
        <f>IF(AND($X456="change",$H456="EUR"),IF(AND($Z456="Crédit",$N456=$N457),$Q457,IF(AND($Z456="Débit",$N456=$N455),$Q455)),IF(OR(AND(OR($E456&lt;&gt;"",$L456=""),$M456&lt;&gt;0),$A456=""),IFERROR(VLOOKUP($E456,Selection!$E:$F,2,false)),IFERROR(VLOOKUP(SUBSTITUTE($I456,"-","",1),$K457:$Q1119,7,false),VLOOKUP($K456,$K457:$Q1119,7,false))))</f>
        <v/>
      </c>
      <c r="R456" s="34" t="str">
        <f t="shared" si="2"/>
        <v/>
      </c>
      <c r="S456" s="37" t="str">
        <f t="shared" si="3"/>
        <v/>
      </c>
      <c r="T456" s="38" t="str">
        <f t="shared" si="4"/>
        <v/>
      </c>
      <c r="U456" s="28" t="str">
        <f t="shared" si="5"/>
        <v/>
      </c>
      <c r="V456" s="39" t="str">
        <f>IFERROR(__xludf.DUMMYFUNCTION(" IF(Account!$F456&lt;&gt;"""", SPLIT(Account!$F456, "" ""), """")"),"")</f>
        <v/>
      </c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</row>
    <row r="457">
      <c r="A457" s="7"/>
      <c r="B457" s="7"/>
      <c r="C457" s="7"/>
      <c r="D457" s="7"/>
      <c r="E457" s="7"/>
      <c r="F457" s="9"/>
      <c r="G457" s="7"/>
      <c r="H457" s="7"/>
      <c r="I457" s="7"/>
      <c r="J457" s="7"/>
      <c r="K457" s="7"/>
      <c r="L457" s="26" t="str">
        <f t="shared" si="1"/>
        <v/>
      </c>
      <c r="M457" s="28" t="str">
        <f>IFERROR(__xludf.DUMMYFUNCTION("IF(Account!$F457&lt;&gt;"""", VALUE(REGEXREPLACE($I457, ""\,"", ""."")), """")"),"")</f>
        <v/>
      </c>
      <c r="N457" s="31" t="str">
        <f>IF(Account!$F457&lt;&gt;"", DATEVALUE(MID($A457,4,3) &amp; LEFT($A457,3) &amp; RIGHT($A457,4)) + TIMEVALUE($B457), "")</f>
        <v/>
      </c>
      <c r="O457" s="33" t="str">
        <f>IF(Account!$F457&lt;&gt;"", DATEVALUE(MID($A457,4,3) &amp; LEFT($A457,3) &amp; RIGHT($A457,4)), "")</f>
        <v/>
      </c>
      <c r="P457" s="34" t="str">
        <f>IFERROR(VLOOKUP($Q457,Selection!$F:$G,2,false))</f>
        <v/>
      </c>
      <c r="Q457" s="36" t="str">
        <f>IF(AND($X457="change",$H457="EUR"),IF(AND($Z457="Crédit",$N457=$N458),$Q458,IF(AND($Z457="Débit",$N457=$N456),$Q456)),IF(OR(AND(OR($E457&lt;&gt;"",$L457=""),$M457&lt;&gt;0),$A457=""),IFERROR(VLOOKUP($E457,Selection!$E:$F,2,false)),IFERROR(VLOOKUP(SUBSTITUTE($I457,"-","",1),$K458:$Q1119,7,false),VLOOKUP($K457,$K458:$Q1119,7,false))))</f>
        <v/>
      </c>
      <c r="R457" s="34" t="str">
        <f t="shared" si="2"/>
        <v/>
      </c>
      <c r="S457" s="37" t="str">
        <f t="shared" si="3"/>
        <v/>
      </c>
      <c r="T457" s="38" t="str">
        <f t="shared" si="4"/>
        <v/>
      </c>
      <c r="U457" s="28" t="str">
        <f t="shared" si="5"/>
        <v/>
      </c>
      <c r="V457" s="39" t="str">
        <f>IFERROR(__xludf.DUMMYFUNCTION(" IF(Account!$F457&lt;&gt;"""", SPLIT(Account!$F457, "" ""), """")"),"")</f>
        <v/>
      </c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</row>
    <row r="458">
      <c r="A458" s="7"/>
      <c r="B458" s="7"/>
      <c r="C458" s="7"/>
      <c r="D458" s="7"/>
      <c r="E458" s="7"/>
      <c r="F458" s="9"/>
      <c r="G458" s="341"/>
      <c r="H458" s="7"/>
      <c r="I458" s="7"/>
      <c r="J458" s="7"/>
      <c r="K458" s="7"/>
      <c r="L458" s="26" t="str">
        <f t="shared" si="1"/>
        <v/>
      </c>
      <c r="M458" s="28" t="str">
        <f>IFERROR(__xludf.DUMMYFUNCTION("IF(Account!$F458&lt;&gt;"""", VALUE(REGEXREPLACE($I458, ""\,"", ""."")), """")"),"")</f>
        <v/>
      </c>
      <c r="N458" s="31" t="str">
        <f>IF(Account!$F458&lt;&gt;"", DATEVALUE(MID($A458,4,3) &amp; LEFT($A458,3) &amp; RIGHT($A458,4)) + TIMEVALUE($B458), "")</f>
        <v/>
      </c>
      <c r="O458" s="33" t="str">
        <f>IF(Account!$F458&lt;&gt;"", DATEVALUE(MID($A458,4,3) &amp; LEFT($A458,3) &amp; RIGHT($A458,4)), "")</f>
        <v/>
      </c>
      <c r="P458" s="34" t="str">
        <f>IFERROR(VLOOKUP($Q458,Selection!$F:$G,2,false))</f>
        <v/>
      </c>
      <c r="Q458" s="36" t="str">
        <f>IF(AND($X458="change",$H458="EUR"),IF(AND($Z458="Crédit",$N458=$N459),$Q459,IF(AND($Z458="Débit",$N458=$N457),$Q457)),IF(OR(AND(OR($E458&lt;&gt;"",$L458=""),$M458&lt;&gt;0),$A458=""),IFERROR(VLOOKUP($E458,Selection!$E:$F,2,false)),IFERROR(VLOOKUP(SUBSTITUTE($I458,"-","",1),$K459:$Q1119,7,false),VLOOKUP($K458,$K459:$Q1119,7,false))))</f>
        <v/>
      </c>
      <c r="R458" s="34" t="str">
        <f t="shared" si="2"/>
        <v/>
      </c>
      <c r="S458" s="37" t="str">
        <f t="shared" si="3"/>
        <v/>
      </c>
      <c r="T458" s="38" t="str">
        <f t="shared" si="4"/>
        <v/>
      </c>
      <c r="U458" s="28" t="str">
        <f t="shared" si="5"/>
        <v/>
      </c>
      <c r="V458" s="39" t="str">
        <f>IFERROR(__xludf.DUMMYFUNCTION(" IF(Account!$F458&lt;&gt;"""", SPLIT(Account!$F458, "" ""), """")"),"")</f>
        <v/>
      </c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</row>
    <row r="459">
      <c r="A459" s="7"/>
      <c r="B459" s="7"/>
      <c r="C459" s="7"/>
      <c r="D459" s="7"/>
      <c r="E459" s="7"/>
      <c r="F459" s="9"/>
      <c r="G459" s="7"/>
      <c r="H459" s="7"/>
      <c r="I459" s="7"/>
      <c r="J459" s="7"/>
      <c r="K459" s="7"/>
      <c r="L459" s="26" t="str">
        <f t="shared" si="1"/>
        <v/>
      </c>
      <c r="M459" s="28" t="str">
        <f>IFERROR(__xludf.DUMMYFUNCTION("IF(Account!$F459&lt;&gt;"""", VALUE(REGEXREPLACE($I459, ""\,"", ""."")), """")"),"")</f>
        <v/>
      </c>
      <c r="N459" s="31" t="str">
        <f>IF(Account!$F459&lt;&gt;"", DATEVALUE(MID($A459,4,3) &amp; LEFT($A459,3) &amp; RIGHT($A459,4)) + TIMEVALUE($B459), "")</f>
        <v/>
      </c>
      <c r="O459" s="33" t="str">
        <f>IF(Account!$F459&lt;&gt;"", DATEVALUE(MID($A459,4,3) &amp; LEFT($A459,3) &amp; RIGHT($A459,4)), "")</f>
        <v/>
      </c>
      <c r="P459" s="34" t="str">
        <f>IFERROR(VLOOKUP($Q459,Selection!$F:$G,2,false))</f>
        <v/>
      </c>
      <c r="Q459" s="36" t="str">
        <f>IF(AND($X459="change",$H459="EUR"),IF(AND($Z459="Crédit",$N459=$N460),$Q460,IF(AND($Z459="Débit",$N459=$N458),$Q458)),IF(OR(AND(OR($E459&lt;&gt;"",$L459=""),$M459&lt;&gt;0),$A459=""),IFERROR(VLOOKUP($E459,Selection!$E:$F,2,false)),IFERROR(VLOOKUP(SUBSTITUTE($I459,"-","",1),$K460:$Q1119,7,false),VLOOKUP($K459,$K460:$Q1119,7,false))))</f>
        <v/>
      </c>
      <c r="R459" s="34" t="str">
        <f t="shared" si="2"/>
        <v/>
      </c>
      <c r="S459" s="37" t="str">
        <f t="shared" si="3"/>
        <v/>
      </c>
      <c r="T459" s="38" t="str">
        <f t="shared" si="4"/>
        <v/>
      </c>
      <c r="U459" s="28" t="str">
        <f t="shared" si="5"/>
        <v/>
      </c>
      <c r="V459" s="39" t="str">
        <f>IFERROR(__xludf.DUMMYFUNCTION(" IF(Account!$F459&lt;&gt;"""", SPLIT(Account!$F459, "" ""), """")"),"")</f>
        <v/>
      </c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</row>
    <row r="460">
      <c r="A460" s="7"/>
      <c r="B460" s="7"/>
      <c r="C460" s="7"/>
      <c r="D460" s="7"/>
      <c r="E460" s="7"/>
      <c r="F460" s="9"/>
      <c r="G460" s="341"/>
      <c r="H460" s="7"/>
      <c r="I460" s="7"/>
      <c r="J460" s="7"/>
      <c r="K460" s="7"/>
      <c r="L460" s="26" t="str">
        <f t="shared" si="1"/>
        <v/>
      </c>
      <c r="M460" s="28" t="str">
        <f>IFERROR(__xludf.DUMMYFUNCTION("IF(Account!$F460&lt;&gt;"""", VALUE(REGEXREPLACE($I460, ""\,"", ""."")), """")"),"")</f>
        <v/>
      </c>
      <c r="N460" s="31" t="str">
        <f>IF(Account!$F460&lt;&gt;"", DATEVALUE(MID($A460,4,3) &amp; LEFT($A460,3) &amp; RIGHT($A460,4)) + TIMEVALUE($B460), "")</f>
        <v/>
      </c>
      <c r="O460" s="33" t="str">
        <f>IF(Account!$F460&lt;&gt;"", DATEVALUE(MID($A460,4,3) &amp; LEFT($A460,3) &amp; RIGHT($A460,4)), "")</f>
        <v/>
      </c>
      <c r="P460" s="34" t="str">
        <f>IFERROR(VLOOKUP($Q460,Selection!$F:$G,2,false))</f>
        <v/>
      </c>
      <c r="Q460" s="36" t="str">
        <f>IF(AND($X460="change",$H460="EUR"),IF(AND($Z460="Crédit",$N460=$N461),$Q461,IF(AND($Z460="Débit",$N460=$N459),$Q459)),IF(OR(AND(OR($E460&lt;&gt;"",$L460=""),$M460&lt;&gt;0),$A460=""),IFERROR(VLOOKUP($E460,Selection!$E:$F,2,false)),IFERROR(VLOOKUP(SUBSTITUTE($I460,"-","",1),$K461:$Q1119,7,false),VLOOKUP($K460,$K461:$Q1119,7,false))))</f>
        <v/>
      </c>
      <c r="R460" s="34" t="str">
        <f t="shared" si="2"/>
        <v/>
      </c>
      <c r="S460" s="37" t="str">
        <f t="shared" si="3"/>
        <v/>
      </c>
      <c r="T460" s="38" t="str">
        <f t="shared" si="4"/>
        <v/>
      </c>
      <c r="U460" s="28" t="str">
        <f t="shared" si="5"/>
        <v/>
      </c>
      <c r="V460" s="39" t="str">
        <f>IFERROR(__xludf.DUMMYFUNCTION(" IF(Account!$F460&lt;&gt;"""", SPLIT(Account!$F460, "" ""), """")"),"")</f>
        <v/>
      </c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</row>
    <row r="461">
      <c r="A461" s="7"/>
      <c r="B461" s="7"/>
      <c r="C461" s="7"/>
      <c r="D461" s="7"/>
      <c r="E461" s="7"/>
      <c r="F461" s="9"/>
      <c r="G461" s="341"/>
      <c r="H461" s="7"/>
      <c r="I461" s="7"/>
      <c r="J461" s="7"/>
      <c r="K461" s="7"/>
      <c r="L461" s="26" t="str">
        <f t="shared" si="1"/>
        <v/>
      </c>
      <c r="M461" s="28" t="str">
        <f>IFERROR(__xludf.DUMMYFUNCTION("IF(Account!$F461&lt;&gt;"""", VALUE(REGEXREPLACE($I461, ""\,"", ""."")), """")"),"")</f>
        <v/>
      </c>
      <c r="N461" s="31" t="str">
        <f>IF(Account!$F461&lt;&gt;"", DATEVALUE(MID($A461,4,3) &amp; LEFT($A461,3) &amp; RIGHT($A461,4)) + TIMEVALUE($B461), "")</f>
        <v/>
      </c>
      <c r="O461" s="33" t="str">
        <f>IF(Account!$F461&lt;&gt;"", DATEVALUE(MID($A461,4,3) &amp; LEFT($A461,3) &amp; RIGHT($A461,4)), "")</f>
        <v/>
      </c>
      <c r="P461" s="34" t="str">
        <f>IFERROR(VLOOKUP($Q461,Selection!$F:$G,2,false))</f>
        <v/>
      </c>
      <c r="Q461" s="36" t="str">
        <f>IF(AND($X461="change",$H461="EUR"),IF(AND($Z461="Crédit",$N461=$N462),$Q462,IF(AND($Z461="Débit",$N461=$N460),$Q460)),IF(OR(AND(OR($E461&lt;&gt;"",$L461=""),$M461&lt;&gt;0),$A461=""),IFERROR(VLOOKUP($E461,Selection!$E:$F,2,false)),IFERROR(VLOOKUP(SUBSTITUTE($I461,"-","",1),$K462:$Q1119,7,false),VLOOKUP($K461,$K462:$Q1119,7,false))))</f>
        <v/>
      </c>
      <c r="R461" s="34" t="str">
        <f t="shared" si="2"/>
        <v/>
      </c>
      <c r="S461" s="37" t="str">
        <f t="shared" si="3"/>
        <v/>
      </c>
      <c r="T461" s="38" t="str">
        <f t="shared" si="4"/>
        <v/>
      </c>
      <c r="U461" s="28" t="str">
        <f t="shared" si="5"/>
        <v/>
      </c>
      <c r="V461" s="39" t="str">
        <f>IFERROR(__xludf.DUMMYFUNCTION(" IF(Account!$F461&lt;&gt;"""", SPLIT(Account!$F461, "" ""), """")"),"")</f>
        <v/>
      </c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</row>
    <row r="462">
      <c r="A462" s="7"/>
      <c r="B462" s="7"/>
      <c r="C462" s="7"/>
      <c r="D462" s="7"/>
      <c r="E462" s="7"/>
      <c r="F462" s="9"/>
      <c r="G462" s="341"/>
      <c r="H462" s="7"/>
      <c r="I462" s="7"/>
      <c r="J462" s="7"/>
      <c r="K462" s="7"/>
      <c r="L462" s="26" t="str">
        <f t="shared" si="1"/>
        <v/>
      </c>
      <c r="M462" s="28" t="str">
        <f>IFERROR(__xludf.DUMMYFUNCTION("IF(Account!$F462&lt;&gt;"""", VALUE(REGEXREPLACE($I462, ""\,"", ""."")), """")"),"")</f>
        <v/>
      </c>
      <c r="N462" s="31" t="str">
        <f>IF(Account!$F462&lt;&gt;"", DATEVALUE(MID($A462,4,3) &amp; LEFT($A462,3) &amp; RIGHT($A462,4)) + TIMEVALUE($B462), "")</f>
        <v/>
      </c>
      <c r="O462" s="33" t="str">
        <f>IF(Account!$F462&lt;&gt;"", DATEVALUE(MID($A462,4,3) &amp; LEFT($A462,3) &amp; RIGHT($A462,4)), "")</f>
        <v/>
      </c>
      <c r="P462" s="34" t="str">
        <f>IFERROR(VLOOKUP($Q462,Selection!$F:$G,2,false))</f>
        <v/>
      </c>
      <c r="Q462" s="36" t="str">
        <f>IF(AND($X462="change",$H462="EUR"),IF(AND($Z462="Crédit",$N462=$N463),$Q463,IF(AND($Z462="Débit",$N462=$N461),$Q461)),IF(OR(AND(OR($E462&lt;&gt;"",$L462=""),$M462&lt;&gt;0),$A462=""),IFERROR(VLOOKUP($E462,Selection!$E:$F,2,false)),IFERROR(VLOOKUP(SUBSTITUTE($I462,"-","",1),$K463:$Q1119,7,false),VLOOKUP($K462,$K463:$Q1119,7,false))))</f>
        <v/>
      </c>
      <c r="R462" s="34" t="str">
        <f t="shared" si="2"/>
        <v/>
      </c>
      <c r="S462" s="37" t="str">
        <f t="shared" si="3"/>
        <v/>
      </c>
      <c r="T462" s="38" t="str">
        <f t="shared" si="4"/>
        <v/>
      </c>
      <c r="U462" s="28" t="str">
        <f t="shared" si="5"/>
        <v/>
      </c>
      <c r="V462" s="39" t="str">
        <f>IFERROR(__xludf.DUMMYFUNCTION(" IF(Account!$F462&lt;&gt;"""", SPLIT(Account!$F462, "" ""), """")"),"")</f>
        <v/>
      </c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</row>
    <row r="463">
      <c r="A463" s="7"/>
      <c r="B463" s="7"/>
      <c r="C463" s="7"/>
      <c r="D463" s="7"/>
      <c r="E463" s="7"/>
      <c r="F463" s="9"/>
      <c r="G463" s="7"/>
      <c r="H463" s="7"/>
      <c r="I463" s="7"/>
      <c r="J463" s="7"/>
      <c r="K463" s="7"/>
      <c r="L463" s="26" t="str">
        <f t="shared" si="1"/>
        <v/>
      </c>
      <c r="M463" s="28" t="str">
        <f>IFERROR(__xludf.DUMMYFUNCTION("IF(Account!$F463&lt;&gt;"""", VALUE(REGEXREPLACE($I463, ""\,"", ""."")), """")"),"")</f>
        <v/>
      </c>
      <c r="N463" s="31" t="str">
        <f>IF(Account!$F463&lt;&gt;"", DATEVALUE(MID($A463,4,3) &amp; LEFT($A463,3) &amp; RIGHT($A463,4)) + TIMEVALUE($B463), "")</f>
        <v/>
      </c>
      <c r="O463" s="33" t="str">
        <f>IF(Account!$F463&lt;&gt;"", DATEVALUE(MID($A463,4,3) &amp; LEFT($A463,3) &amp; RIGHT($A463,4)), "")</f>
        <v/>
      </c>
      <c r="P463" s="34" t="str">
        <f>IFERROR(VLOOKUP($Q463,Selection!$F:$G,2,false))</f>
        <v/>
      </c>
      <c r="Q463" s="36" t="str">
        <f>IF(AND($X463="change",$H463="EUR"),IF(AND($Z463="Crédit",$N463=$N464),$Q464,IF(AND($Z463="Débit",$N463=$N462),$Q462)),IF(OR(AND(OR($E463&lt;&gt;"",$L463=""),$M463&lt;&gt;0),$A463=""),IFERROR(VLOOKUP($E463,Selection!$E:$F,2,false)),IFERROR(VLOOKUP(SUBSTITUTE($I463,"-","",1),$K464:$Q1119,7,false),VLOOKUP($K463,$K464:$Q1119,7,false))))</f>
        <v/>
      </c>
      <c r="R463" s="34" t="str">
        <f t="shared" si="2"/>
        <v/>
      </c>
      <c r="S463" s="37" t="str">
        <f t="shared" si="3"/>
        <v/>
      </c>
      <c r="T463" s="38" t="str">
        <f t="shared" si="4"/>
        <v/>
      </c>
      <c r="U463" s="28" t="str">
        <f t="shared" si="5"/>
        <v/>
      </c>
      <c r="V463" s="39" t="str">
        <f>IFERROR(__xludf.DUMMYFUNCTION(" IF(Account!$F463&lt;&gt;"""", SPLIT(Account!$F463, "" ""), """")"),"")</f>
        <v/>
      </c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</row>
    <row r="464">
      <c r="A464" s="7"/>
      <c r="B464" s="7"/>
      <c r="C464" s="7"/>
      <c r="D464" s="7"/>
      <c r="E464" s="7"/>
      <c r="F464" s="9"/>
      <c r="G464" s="341"/>
      <c r="H464" s="7"/>
      <c r="I464" s="7"/>
      <c r="J464" s="7"/>
      <c r="K464" s="7"/>
      <c r="L464" s="26" t="str">
        <f t="shared" si="1"/>
        <v/>
      </c>
      <c r="M464" s="28" t="str">
        <f>IFERROR(__xludf.DUMMYFUNCTION("IF(Account!$F464&lt;&gt;"""", VALUE(REGEXREPLACE($I464, ""\,"", ""."")), """")"),"")</f>
        <v/>
      </c>
      <c r="N464" s="31" t="str">
        <f>IF(Account!$F464&lt;&gt;"", DATEVALUE(MID($A464,4,3) &amp; LEFT($A464,3) &amp; RIGHT($A464,4)) + TIMEVALUE($B464), "")</f>
        <v/>
      </c>
      <c r="O464" s="33" t="str">
        <f>IF(Account!$F464&lt;&gt;"", DATEVALUE(MID($A464,4,3) &amp; LEFT($A464,3) &amp; RIGHT($A464,4)), "")</f>
        <v/>
      </c>
      <c r="P464" s="34" t="str">
        <f>IFERROR(VLOOKUP($Q464,Selection!$F:$G,2,false))</f>
        <v/>
      </c>
      <c r="Q464" s="36" t="str">
        <f>IF(AND($X464="change",$H464="EUR"),IF(AND($Z464="Crédit",$N464=$N465),$Q465,IF(AND($Z464="Débit",$N464=$N463),$Q463)),IF(OR(AND(OR($E464&lt;&gt;"",$L464=""),$M464&lt;&gt;0),$A464=""),IFERROR(VLOOKUP($E464,Selection!$E:$F,2,false)),IFERROR(VLOOKUP(SUBSTITUTE($I464,"-","",1),$K465:$Q1119,7,false),VLOOKUP($K464,$K465:$Q1119,7,false))))</f>
        <v/>
      </c>
      <c r="R464" s="34" t="str">
        <f t="shared" si="2"/>
        <v/>
      </c>
      <c r="S464" s="37" t="str">
        <f t="shared" si="3"/>
        <v/>
      </c>
      <c r="T464" s="38" t="str">
        <f t="shared" si="4"/>
        <v/>
      </c>
      <c r="U464" s="28" t="str">
        <f t="shared" si="5"/>
        <v/>
      </c>
      <c r="V464" s="39" t="str">
        <f>IFERROR(__xludf.DUMMYFUNCTION(" IF(Account!$F464&lt;&gt;"""", SPLIT(Account!$F464, "" ""), """")"),"")</f>
        <v/>
      </c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</row>
    <row r="465">
      <c r="A465" s="7"/>
      <c r="B465" s="7"/>
      <c r="C465" s="7"/>
      <c r="D465" s="7"/>
      <c r="E465" s="7"/>
      <c r="F465" s="9"/>
      <c r="G465" s="7"/>
      <c r="H465" s="7"/>
      <c r="I465" s="7"/>
      <c r="J465" s="7"/>
      <c r="K465" s="7"/>
      <c r="L465" s="26" t="str">
        <f t="shared" si="1"/>
        <v/>
      </c>
      <c r="M465" s="28" t="str">
        <f>IFERROR(__xludf.DUMMYFUNCTION("IF(Account!$F465&lt;&gt;"""", VALUE(REGEXREPLACE($I465, ""\,"", ""."")), """")"),"")</f>
        <v/>
      </c>
      <c r="N465" s="31" t="str">
        <f>IF(Account!$F465&lt;&gt;"", DATEVALUE(MID($A465,4,3) &amp; LEFT($A465,3) &amp; RIGHT($A465,4)) + TIMEVALUE($B465), "")</f>
        <v/>
      </c>
      <c r="O465" s="33" t="str">
        <f>IF(Account!$F465&lt;&gt;"", DATEVALUE(MID($A465,4,3) &amp; LEFT($A465,3) &amp; RIGHT($A465,4)), "")</f>
        <v/>
      </c>
      <c r="P465" s="34" t="str">
        <f>IFERROR(VLOOKUP($Q465,Selection!$F:$G,2,false))</f>
        <v/>
      </c>
      <c r="Q465" s="36" t="str">
        <f>IF(AND($X465="change",$H465="EUR"),IF(AND($Z465="Crédit",$N465=$N466),$Q466,IF(AND($Z465="Débit",$N465=$N464),$Q464)),IF(OR(AND(OR($E465&lt;&gt;"",$L465=""),$M465&lt;&gt;0),$A465=""),IFERROR(VLOOKUP($E465,Selection!$E:$F,2,false)),IFERROR(VLOOKUP(SUBSTITUTE($I465,"-","",1),$K466:$Q1119,7,false),VLOOKUP($K465,$K466:$Q1119,7,false))))</f>
        <v/>
      </c>
      <c r="R465" s="34" t="str">
        <f t="shared" si="2"/>
        <v/>
      </c>
      <c r="S465" s="37" t="str">
        <f t="shared" si="3"/>
        <v/>
      </c>
      <c r="T465" s="38" t="str">
        <f t="shared" si="4"/>
        <v/>
      </c>
      <c r="U465" s="28" t="str">
        <f t="shared" si="5"/>
        <v/>
      </c>
      <c r="V465" s="39" t="str">
        <f>IFERROR(__xludf.DUMMYFUNCTION(" IF(Account!$F465&lt;&gt;"""", SPLIT(Account!$F465, "" ""), """")"),"")</f>
        <v/>
      </c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</row>
    <row r="466">
      <c r="A466" s="7"/>
      <c r="B466" s="7"/>
      <c r="C466" s="7"/>
      <c r="D466" s="7"/>
      <c r="E466" s="7"/>
      <c r="F466" s="9"/>
      <c r="G466" s="341"/>
      <c r="H466" s="7"/>
      <c r="I466" s="7"/>
      <c r="J466" s="7"/>
      <c r="K466" s="7"/>
      <c r="L466" s="26" t="str">
        <f t="shared" si="1"/>
        <v/>
      </c>
      <c r="M466" s="28" t="str">
        <f>IFERROR(__xludf.DUMMYFUNCTION("IF(Account!$F466&lt;&gt;"""", VALUE(REGEXREPLACE($I466, ""\,"", ""."")), """")"),"")</f>
        <v/>
      </c>
      <c r="N466" s="31" t="str">
        <f>IF(Account!$F466&lt;&gt;"", DATEVALUE(MID($A466,4,3) &amp; LEFT($A466,3) &amp; RIGHT($A466,4)) + TIMEVALUE($B466), "")</f>
        <v/>
      </c>
      <c r="O466" s="33" t="str">
        <f>IF(Account!$F466&lt;&gt;"", DATEVALUE(MID($A466,4,3) &amp; LEFT($A466,3) &amp; RIGHT($A466,4)), "")</f>
        <v/>
      </c>
      <c r="P466" s="34" t="str">
        <f>IFERROR(VLOOKUP($Q466,Selection!$F:$G,2,false))</f>
        <v/>
      </c>
      <c r="Q466" s="36" t="str">
        <f>IF(AND($X466="change",$H466="EUR"),IF(AND($Z466="Crédit",$N466=$N467),$Q467,IF(AND($Z466="Débit",$N466=$N465),$Q465)),IF(OR(AND(OR($E466&lt;&gt;"",$L466=""),$M466&lt;&gt;0),$A466=""),IFERROR(VLOOKUP($E466,Selection!$E:$F,2,false)),IFERROR(VLOOKUP(SUBSTITUTE($I466,"-","",1),$K467:$Q1119,7,false),VLOOKUP($K466,$K467:$Q1119,7,false))))</f>
        <v/>
      </c>
      <c r="R466" s="34" t="str">
        <f t="shared" si="2"/>
        <v/>
      </c>
      <c r="S466" s="37" t="str">
        <f t="shared" si="3"/>
        <v/>
      </c>
      <c r="T466" s="38" t="str">
        <f t="shared" si="4"/>
        <v/>
      </c>
      <c r="U466" s="28" t="str">
        <f t="shared" si="5"/>
        <v/>
      </c>
      <c r="V466" s="39" t="str">
        <f>IFERROR(__xludf.DUMMYFUNCTION(" IF(Account!$F466&lt;&gt;"""", SPLIT(Account!$F466, "" ""), """")"),"")</f>
        <v/>
      </c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</row>
    <row r="467">
      <c r="A467" s="7"/>
      <c r="B467" s="7"/>
      <c r="C467" s="7"/>
      <c r="D467" s="7"/>
      <c r="E467" s="7"/>
      <c r="F467" s="9"/>
      <c r="G467" s="7"/>
      <c r="H467" s="7"/>
      <c r="I467" s="7"/>
      <c r="J467" s="7"/>
      <c r="K467" s="7"/>
      <c r="L467" s="26" t="str">
        <f t="shared" si="1"/>
        <v/>
      </c>
      <c r="M467" s="28" t="str">
        <f>IFERROR(__xludf.DUMMYFUNCTION("IF(Account!$F467&lt;&gt;"""", VALUE(REGEXREPLACE($I467, ""\,"", ""."")), """")"),"")</f>
        <v/>
      </c>
      <c r="N467" s="31" t="str">
        <f>IF(Account!$F467&lt;&gt;"", DATEVALUE(MID($A467,4,3) &amp; LEFT($A467,3) &amp; RIGHT($A467,4)) + TIMEVALUE($B467), "")</f>
        <v/>
      </c>
      <c r="O467" s="33" t="str">
        <f>IF(Account!$F467&lt;&gt;"", DATEVALUE(MID($A467,4,3) &amp; LEFT($A467,3) &amp; RIGHT($A467,4)), "")</f>
        <v/>
      </c>
      <c r="P467" s="34" t="str">
        <f>IFERROR(VLOOKUP($Q467,Selection!$F:$G,2,false))</f>
        <v/>
      </c>
      <c r="Q467" s="36" t="str">
        <f>IF(AND($X467="change",$H467="EUR"),IF(AND($Z467="Crédit",$N467=$N468),$Q468,IF(AND($Z467="Débit",$N467=$N466),$Q466)),IF(OR(AND(OR($E467&lt;&gt;"",$L467=""),$M467&lt;&gt;0),$A467=""),IFERROR(VLOOKUP($E467,Selection!$E:$F,2,false)),IFERROR(VLOOKUP(SUBSTITUTE($I467,"-","",1),$K468:$Q1119,7,false),VLOOKUP($K467,$K468:$Q1119,7,false))))</f>
        <v/>
      </c>
      <c r="R467" s="34" t="str">
        <f t="shared" si="2"/>
        <v/>
      </c>
      <c r="S467" s="37" t="str">
        <f t="shared" si="3"/>
        <v/>
      </c>
      <c r="T467" s="38" t="str">
        <f t="shared" si="4"/>
        <v/>
      </c>
      <c r="U467" s="28" t="str">
        <f t="shared" si="5"/>
        <v/>
      </c>
      <c r="V467" s="39" t="str">
        <f>IFERROR(__xludf.DUMMYFUNCTION(" IF(Account!$F467&lt;&gt;"""", SPLIT(Account!$F467, "" ""), """")"),"")</f>
        <v/>
      </c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</row>
    <row r="468">
      <c r="A468" s="7"/>
      <c r="B468" s="7"/>
      <c r="C468" s="7"/>
      <c r="D468" s="7"/>
      <c r="E468" s="7"/>
      <c r="F468" s="9"/>
      <c r="G468" s="341"/>
      <c r="H468" s="7"/>
      <c r="I468" s="7"/>
      <c r="J468" s="7"/>
      <c r="K468" s="7"/>
      <c r="L468" s="26" t="str">
        <f t="shared" si="1"/>
        <v/>
      </c>
      <c r="M468" s="28" t="str">
        <f>IFERROR(__xludf.DUMMYFUNCTION("IF(Account!$F468&lt;&gt;"""", VALUE(REGEXREPLACE($I468, ""\,"", ""."")), """")"),"")</f>
        <v/>
      </c>
      <c r="N468" s="31" t="str">
        <f>IF(Account!$F468&lt;&gt;"", DATEVALUE(MID($A468,4,3) &amp; LEFT($A468,3) &amp; RIGHT($A468,4)) + TIMEVALUE($B468), "")</f>
        <v/>
      </c>
      <c r="O468" s="33" t="str">
        <f>IF(Account!$F468&lt;&gt;"", DATEVALUE(MID($A468,4,3) &amp; LEFT($A468,3) &amp; RIGHT($A468,4)), "")</f>
        <v/>
      </c>
      <c r="P468" s="34" t="str">
        <f>IFERROR(VLOOKUP($Q468,Selection!$F:$G,2,false))</f>
        <v/>
      </c>
      <c r="Q468" s="36" t="str">
        <f>IF(AND($X468="change",$H468="EUR"),IF(AND($Z468="Crédit",$N468=$N469),$Q469,IF(AND($Z468="Débit",$N468=$N467),$Q467)),IF(OR(AND(OR($E468&lt;&gt;"",$L468=""),$M468&lt;&gt;0),$A468=""),IFERROR(VLOOKUP($E468,Selection!$E:$F,2,false)),IFERROR(VLOOKUP(SUBSTITUTE($I468,"-","",1),$K469:$Q1119,7,false),VLOOKUP($K468,$K469:$Q1119,7,false))))</f>
        <v/>
      </c>
      <c r="R468" s="34" t="str">
        <f t="shared" si="2"/>
        <v/>
      </c>
      <c r="S468" s="37" t="str">
        <f t="shared" si="3"/>
        <v/>
      </c>
      <c r="T468" s="38" t="str">
        <f t="shared" si="4"/>
        <v/>
      </c>
      <c r="U468" s="28" t="str">
        <f t="shared" si="5"/>
        <v/>
      </c>
      <c r="V468" s="39" t="str">
        <f>IFERROR(__xludf.DUMMYFUNCTION(" IF(Account!$F468&lt;&gt;"""", SPLIT(Account!$F468, "" ""), """")"),"")</f>
        <v/>
      </c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</row>
    <row r="469">
      <c r="A469" s="7"/>
      <c r="B469" s="7"/>
      <c r="C469" s="7"/>
      <c r="D469" s="7"/>
      <c r="E469" s="7"/>
      <c r="F469" s="9"/>
      <c r="G469" s="341"/>
      <c r="H469" s="7"/>
      <c r="I469" s="7"/>
      <c r="J469" s="7"/>
      <c r="K469" s="7"/>
      <c r="L469" s="26" t="str">
        <f t="shared" si="1"/>
        <v/>
      </c>
      <c r="M469" s="28" t="str">
        <f>IFERROR(__xludf.DUMMYFUNCTION("IF(Account!$F469&lt;&gt;"""", VALUE(REGEXREPLACE($I469, ""\,"", ""."")), """")"),"")</f>
        <v/>
      </c>
      <c r="N469" s="31" t="str">
        <f>IF(Account!$F469&lt;&gt;"", DATEVALUE(MID($A469,4,3) &amp; LEFT($A469,3) &amp; RIGHT($A469,4)) + TIMEVALUE($B469), "")</f>
        <v/>
      </c>
      <c r="O469" s="33" t="str">
        <f>IF(Account!$F469&lt;&gt;"", DATEVALUE(MID($A469,4,3) &amp; LEFT($A469,3) &amp; RIGHT($A469,4)), "")</f>
        <v/>
      </c>
      <c r="P469" s="34" t="str">
        <f>IFERROR(VLOOKUP($Q469,Selection!$F:$G,2,false))</f>
        <v/>
      </c>
      <c r="Q469" s="36" t="str">
        <f>IF(AND($X469="change",$H469="EUR"),IF(AND($Z469="Crédit",$N469=$N470),$Q470,IF(AND($Z469="Débit",$N469=$N468),$Q468)),IF(OR(AND(OR($E469&lt;&gt;"",$L469=""),$M469&lt;&gt;0),$A469=""),IFERROR(VLOOKUP($E469,Selection!$E:$F,2,false)),IFERROR(VLOOKUP(SUBSTITUTE($I469,"-","",1),$K470:$Q1119,7,false),VLOOKUP($K469,$K470:$Q1119,7,false))))</f>
        <v/>
      </c>
      <c r="R469" s="34" t="str">
        <f t="shared" si="2"/>
        <v/>
      </c>
      <c r="S469" s="37" t="str">
        <f t="shared" si="3"/>
        <v/>
      </c>
      <c r="T469" s="38" t="str">
        <f t="shared" si="4"/>
        <v/>
      </c>
      <c r="U469" s="28" t="str">
        <f t="shared" si="5"/>
        <v/>
      </c>
      <c r="V469" s="39" t="str">
        <f>IFERROR(__xludf.DUMMYFUNCTION(" IF(Account!$F469&lt;&gt;"""", SPLIT(Account!$F469, "" ""), """")"),"")</f>
        <v/>
      </c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</row>
    <row r="470">
      <c r="A470" s="7"/>
      <c r="B470" s="7"/>
      <c r="C470" s="7"/>
      <c r="D470" s="7"/>
      <c r="E470" s="7"/>
      <c r="F470" s="9"/>
      <c r="G470" s="341"/>
      <c r="H470" s="7"/>
      <c r="I470" s="7"/>
      <c r="J470" s="7"/>
      <c r="K470" s="7"/>
      <c r="L470" s="26" t="str">
        <f t="shared" si="1"/>
        <v/>
      </c>
      <c r="M470" s="28" t="str">
        <f>IFERROR(__xludf.DUMMYFUNCTION("IF(Account!$F470&lt;&gt;"""", VALUE(REGEXREPLACE($I470, ""\,"", ""."")), """")"),"")</f>
        <v/>
      </c>
      <c r="N470" s="31" t="str">
        <f>IF(Account!$F470&lt;&gt;"", DATEVALUE(MID($A470,4,3) &amp; LEFT($A470,3) &amp; RIGHT($A470,4)) + TIMEVALUE($B470), "")</f>
        <v/>
      </c>
      <c r="O470" s="33" t="str">
        <f>IF(Account!$F470&lt;&gt;"", DATEVALUE(MID($A470,4,3) &amp; LEFT($A470,3) &amp; RIGHT($A470,4)), "")</f>
        <v/>
      </c>
      <c r="P470" s="34" t="str">
        <f>IFERROR(VLOOKUP($Q470,Selection!$F:$G,2,false))</f>
        <v/>
      </c>
      <c r="Q470" s="36" t="str">
        <f>IF(AND($X470="change",$H470="EUR"),IF(AND($Z470="Crédit",$N470=$N471),$Q471,IF(AND($Z470="Débit",$N470=$N469),$Q469)),IF(OR(AND(OR($E470&lt;&gt;"",$L470=""),$M470&lt;&gt;0),$A470=""),IFERROR(VLOOKUP($E470,Selection!$E:$F,2,false)),IFERROR(VLOOKUP(SUBSTITUTE($I470,"-","",1),$K471:$Q1119,7,false),VLOOKUP($K470,$K471:$Q1119,7,false))))</f>
        <v/>
      </c>
      <c r="R470" s="34" t="str">
        <f t="shared" si="2"/>
        <v/>
      </c>
      <c r="S470" s="37" t="str">
        <f t="shared" si="3"/>
        <v/>
      </c>
      <c r="T470" s="38" t="str">
        <f t="shared" si="4"/>
        <v/>
      </c>
      <c r="U470" s="28" t="str">
        <f t="shared" si="5"/>
        <v/>
      </c>
      <c r="V470" s="39" t="str">
        <f>IFERROR(__xludf.DUMMYFUNCTION(" IF(Account!$F470&lt;&gt;"""", SPLIT(Account!$F470, "" ""), """")"),"")</f>
        <v/>
      </c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</row>
    <row r="471">
      <c r="A471" s="7"/>
      <c r="B471" s="7"/>
      <c r="C471" s="7"/>
      <c r="D471" s="7"/>
      <c r="E471" s="7"/>
      <c r="F471" s="9"/>
      <c r="G471" s="341"/>
      <c r="H471" s="7"/>
      <c r="I471" s="7"/>
      <c r="J471" s="7"/>
      <c r="K471" s="7"/>
      <c r="L471" s="26" t="str">
        <f t="shared" si="1"/>
        <v/>
      </c>
      <c r="M471" s="28" t="str">
        <f>IFERROR(__xludf.DUMMYFUNCTION("IF(Account!$F471&lt;&gt;"""", VALUE(REGEXREPLACE($I471, ""\,"", ""."")), """")"),"")</f>
        <v/>
      </c>
      <c r="N471" s="31" t="str">
        <f>IF(Account!$F471&lt;&gt;"", DATEVALUE(MID($A471,4,3) &amp; LEFT($A471,3) &amp; RIGHT($A471,4)) + TIMEVALUE($B471), "")</f>
        <v/>
      </c>
      <c r="O471" s="33" t="str">
        <f>IF(Account!$F471&lt;&gt;"", DATEVALUE(MID($A471,4,3) &amp; LEFT($A471,3) &amp; RIGHT($A471,4)), "")</f>
        <v/>
      </c>
      <c r="P471" s="34" t="str">
        <f>IFERROR(VLOOKUP($Q471,Selection!$F:$G,2,false))</f>
        <v/>
      </c>
      <c r="Q471" s="36" t="str">
        <f>IF(AND($X471="change",$H471="EUR"),IF(AND($Z471="Crédit",$N471=$N472),$Q472,IF(AND($Z471="Débit",$N471=$N470),$Q470)),IF(OR(AND(OR($E471&lt;&gt;"",$L471=""),$M471&lt;&gt;0),$A471=""),IFERROR(VLOOKUP($E471,Selection!$E:$F,2,false)),IFERROR(VLOOKUP(SUBSTITUTE($I471,"-","",1),$K472:$Q1119,7,false),VLOOKUP($K471,$K472:$Q1119,7,false))))</f>
        <v/>
      </c>
      <c r="R471" s="34" t="str">
        <f t="shared" si="2"/>
        <v/>
      </c>
      <c r="S471" s="37" t="str">
        <f t="shared" si="3"/>
        <v/>
      </c>
      <c r="T471" s="38" t="str">
        <f t="shared" si="4"/>
        <v/>
      </c>
      <c r="U471" s="28" t="str">
        <f t="shared" si="5"/>
        <v/>
      </c>
      <c r="V471" s="39" t="str">
        <f>IFERROR(__xludf.DUMMYFUNCTION(" IF(Account!$F471&lt;&gt;"""", SPLIT(Account!$F471, "" ""), """")"),"")</f>
        <v/>
      </c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>
      <c r="A472" s="7"/>
      <c r="B472" s="7"/>
      <c r="C472" s="7"/>
      <c r="D472" s="7"/>
      <c r="E472" s="7"/>
      <c r="F472" s="9"/>
      <c r="G472" s="7"/>
      <c r="H472" s="7"/>
      <c r="I472" s="7"/>
      <c r="J472" s="7"/>
      <c r="K472" s="7"/>
      <c r="L472" s="26" t="str">
        <f t="shared" si="1"/>
        <v/>
      </c>
      <c r="M472" s="28" t="str">
        <f>IFERROR(__xludf.DUMMYFUNCTION("IF(Account!$F472&lt;&gt;"""", VALUE(REGEXREPLACE($I472, ""\,"", ""."")), """")"),"")</f>
        <v/>
      </c>
      <c r="N472" s="31" t="str">
        <f>IF(Account!$F472&lt;&gt;"", DATEVALUE(MID($A472,4,3) &amp; LEFT($A472,3) &amp; RIGHT($A472,4)) + TIMEVALUE($B472), "")</f>
        <v/>
      </c>
      <c r="O472" s="33" t="str">
        <f>IF(Account!$F472&lt;&gt;"", DATEVALUE(MID($A472,4,3) &amp; LEFT($A472,3) &amp; RIGHT($A472,4)), "")</f>
        <v/>
      </c>
      <c r="P472" s="34" t="str">
        <f>IFERROR(VLOOKUP($Q472,Selection!$F:$G,2,false))</f>
        <v/>
      </c>
      <c r="Q472" s="36" t="str">
        <f>IF(AND($X472="change",$H472="EUR"),IF(AND($Z472="Crédit",$N472=$N473),$Q473,IF(AND($Z472="Débit",$N472=$N471),$Q471)),IF(OR(AND(OR($E472&lt;&gt;"",$L472=""),$M472&lt;&gt;0),$A472=""),IFERROR(VLOOKUP($E472,Selection!$E:$F,2,false)),IFERROR(VLOOKUP(SUBSTITUTE($I472,"-","",1),$K473:$Q1119,7,false),VLOOKUP($K472,$K473:$Q1119,7,false))))</f>
        <v/>
      </c>
      <c r="R472" s="34" t="str">
        <f t="shared" si="2"/>
        <v/>
      </c>
      <c r="S472" s="37" t="str">
        <f t="shared" si="3"/>
        <v/>
      </c>
      <c r="T472" s="38" t="str">
        <f t="shared" si="4"/>
        <v/>
      </c>
      <c r="U472" s="28" t="str">
        <f t="shared" si="5"/>
        <v/>
      </c>
      <c r="V472" s="39" t="str">
        <f>IFERROR(__xludf.DUMMYFUNCTION(" IF(Account!$F472&lt;&gt;"""", SPLIT(Account!$F472, "" ""), """")"),"")</f>
        <v/>
      </c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</row>
    <row r="473">
      <c r="A473" s="7"/>
      <c r="B473" s="7"/>
      <c r="C473" s="7"/>
      <c r="D473" s="7"/>
      <c r="E473" s="7"/>
      <c r="F473" s="9"/>
      <c r="G473" s="341"/>
      <c r="H473" s="7"/>
      <c r="I473" s="7"/>
      <c r="J473" s="7"/>
      <c r="K473" s="7"/>
      <c r="L473" s="26" t="str">
        <f t="shared" si="1"/>
        <v/>
      </c>
      <c r="M473" s="28" t="str">
        <f>IFERROR(__xludf.DUMMYFUNCTION("IF(Account!$F473&lt;&gt;"""", VALUE(REGEXREPLACE($I473, ""\,"", ""."")), """")"),"")</f>
        <v/>
      </c>
      <c r="N473" s="31" t="str">
        <f>IF(Account!$F473&lt;&gt;"", DATEVALUE(MID($A473,4,3) &amp; LEFT($A473,3) &amp; RIGHT($A473,4)) + TIMEVALUE($B473), "")</f>
        <v/>
      </c>
      <c r="O473" s="33" t="str">
        <f>IF(Account!$F473&lt;&gt;"", DATEVALUE(MID($A473,4,3) &amp; LEFT($A473,3) &amp; RIGHT($A473,4)), "")</f>
        <v/>
      </c>
      <c r="P473" s="34" t="str">
        <f>IFERROR(VLOOKUP($Q473,Selection!$F:$G,2,false))</f>
        <v/>
      </c>
      <c r="Q473" s="36" t="str">
        <f>IF(AND($X473="change",$H473="EUR"),IF(AND($Z473="Crédit",$N473=$N474),$Q474,IF(AND($Z473="Débit",$N473=$N472),$Q472)),IF(OR(AND(OR($E473&lt;&gt;"",$L473=""),$M473&lt;&gt;0),$A473=""),IFERROR(VLOOKUP($E473,Selection!$E:$F,2,false)),IFERROR(VLOOKUP(SUBSTITUTE($I473,"-","",1),$K474:$Q1119,7,false),VLOOKUP($K473,$K474:$Q1119,7,false))))</f>
        <v/>
      </c>
      <c r="R473" s="34" t="str">
        <f t="shared" si="2"/>
        <v/>
      </c>
      <c r="S473" s="37" t="str">
        <f t="shared" si="3"/>
        <v/>
      </c>
      <c r="T473" s="38" t="str">
        <f t="shared" si="4"/>
        <v/>
      </c>
      <c r="U473" s="28" t="str">
        <f t="shared" si="5"/>
        <v/>
      </c>
      <c r="V473" s="39" t="str">
        <f>IFERROR(__xludf.DUMMYFUNCTION(" IF(Account!$F473&lt;&gt;"""", SPLIT(Account!$F473, "" ""), """")"),"")</f>
        <v/>
      </c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</row>
    <row r="474">
      <c r="A474" s="7"/>
      <c r="B474" s="7"/>
      <c r="C474" s="7"/>
      <c r="D474" s="7"/>
      <c r="E474" s="7"/>
      <c r="F474" s="9"/>
      <c r="G474" s="341"/>
      <c r="H474" s="7"/>
      <c r="I474" s="7"/>
      <c r="J474" s="7"/>
      <c r="K474" s="7"/>
      <c r="L474" s="26" t="str">
        <f t="shared" si="1"/>
        <v/>
      </c>
      <c r="M474" s="28" t="str">
        <f>IFERROR(__xludf.DUMMYFUNCTION("IF(Account!$F474&lt;&gt;"""", VALUE(REGEXREPLACE($I474, ""\,"", ""."")), """")"),"")</f>
        <v/>
      </c>
      <c r="N474" s="31" t="str">
        <f>IF(Account!$F474&lt;&gt;"", DATEVALUE(MID($A474,4,3) &amp; LEFT($A474,3) &amp; RIGHT($A474,4)) + TIMEVALUE($B474), "")</f>
        <v/>
      </c>
      <c r="O474" s="33" t="str">
        <f>IF(Account!$F474&lt;&gt;"", DATEVALUE(MID($A474,4,3) &amp; LEFT($A474,3) &amp; RIGHT($A474,4)), "")</f>
        <v/>
      </c>
      <c r="P474" s="34" t="str">
        <f>IFERROR(VLOOKUP($Q474,Selection!$F:$G,2,false))</f>
        <v/>
      </c>
      <c r="Q474" s="36" t="str">
        <f>IF(AND($X474="change",$H474="EUR"),IF(AND($Z474="Crédit",$N474=$N475),$Q475,IF(AND($Z474="Débit",$N474=$N473),$Q473)),IF(OR(AND(OR($E474&lt;&gt;"",$L474=""),$M474&lt;&gt;0),$A474=""),IFERROR(VLOOKUP($E474,Selection!$E:$F,2,false)),IFERROR(VLOOKUP(SUBSTITUTE($I474,"-","",1),$K475:$Q1119,7,false),VLOOKUP($K474,$K475:$Q1119,7,false))))</f>
        <v/>
      </c>
      <c r="R474" s="34" t="str">
        <f t="shared" si="2"/>
        <v/>
      </c>
      <c r="S474" s="37" t="str">
        <f t="shared" si="3"/>
        <v/>
      </c>
      <c r="T474" s="38" t="str">
        <f t="shared" si="4"/>
        <v/>
      </c>
      <c r="U474" s="28" t="str">
        <f t="shared" si="5"/>
        <v/>
      </c>
      <c r="V474" s="39" t="str">
        <f>IFERROR(__xludf.DUMMYFUNCTION(" IF(Account!$F474&lt;&gt;"""", SPLIT(Account!$F474, "" ""), """")"),"")</f>
        <v/>
      </c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</row>
    <row r="475">
      <c r="A475" s="7"/>
      <c r="B475" s="7"/>
      <c r="C475" s="7"/>
      <c r="D475" s="7"/>
      <c r="E475" s="7"/>
      <c r="F475" s="9"/>
      <c r="G475" s="7"/>
      <c r="H475" s="7"/>
      <c r="I475" s="7"/>
      <c r="J475" s="7"/>
      <c r="K475" s="7"/>
      <c r="L475" s="26" t="str">
        <f t="shared" si="1"/>
        <v/>
      </c>
      <c r="M475" s="28" t="str">
        <f>IFERROR(__xludf.DUMMYFUNCTION("IF(Account!$F475&lt;&gt;"""", VALUE(REGEXREPLACE($I475, ""\,"", ""."")), """")"),"")</f>
        <v/>
      </c>
      <c r="N475" s="31" t="str">
        <f>IF(Account!$F475&lt;&gt;"", DATEVALUE(MID($A475,4,3) &amp; LEFT($A475,3) &amp; RIGHT($A475,4)) + TIMEVALUE($B475), "")</f>
        <v/>
      </c>
      <c r="O475" s="33" t="str">
        <f>IF(Account!$F475&lt;&gt;"", DATEVALUE(MID($A475,4,3) &amp; LEFT($A475,3) &amp; RIGHT($A475,4)), "")</f>
        <v/>
      </c>
      <c r="P475" s="34" t="str">
        <f>IFERROR(VLOOKUP($Q475,Selection!$F:$G,2,false))</f>
        <v/>
      </c>
      <c r="Q475" s="36" t="str">
        <f>IF(AND($X475="change",$H475="EUR"),IF(AND($Z475="Crédit",$N475=$N476),$Q476,IF(AND($Z475="Débit",$N475=$N474),$Q474)),IF(OR(AND(OR($E475&lt;&gt;"",$L475=""),$M475&lt;&gt;0),$A475=""),IFERROR(VLOOKUP($E475,Selection!$E:$F,2,false)),IFERROR(VLOOKUP(SUBSTITUTE($I475,"-","",1),$K476:$Q1119,7,false),VLOOKUP($K475,$K476:$Q1119,7,false))))</f>
        <v/>
      </c>
      <c r="R475" s="34" t="str">
        <f t="shared" si="2"/>
        <v/>
      </c>
      <c r="S475" s="37" t="str">
        <f t="shared" si="3"/>
        <v/>
      </c>
      <c r="T475" s="38" t="str">
        <f t="shared" si="4"/>
        <v/>
      </c>
      <c r="U475" s="28" t="str">
        <f t="shared" si="5"/>
        <v/>
      </c>
      <c r="V475" s="39" t="str">
        <f>IFERROR(__xludf.DUMMYFUNCTION(" IF(Account!$F475&lt;&gt;"""", SPLIT(Account!$F475, "" ""), """")"),"")</f>
        <v/>
      </c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</row>
    <row r="476">
      <c r="A476" s="7"/>
      <c r="B476" s="7"/>
      <c r="C476" s="7"/>
      <c r="D476" s="7"/>
      <c r="E476" s="7"/>
      <c r="F476" s="9"/>
      <c r="G476" s="341"/>
      <c r="H476" s="7"/>
      <c r="I476" s="7"/>
      <c r="J476" s="7"/>
      <c r="K476" s="7"/>
      <c r="L476" s="26" t="str">
        <f t="shared" si="1"/>
        <v/>
      </c>
      <c r="M476" s="28" t="str">
        <f>IFERROR(__xludf.DUMMYFUNCTION("IF(Account!$F476&lt;&gt;"""", VALUE(REGEXREPLACE($I476, ""\,"", ""."")), """")"),"")</f>
        <v/>
      </c>
      <c r="N476" s="31" t="str">
        <f>IF(Account!$F476&lt;&gt;"", DATEVALUE(MID($A476,4,3) &amp; LEFT($A476,3) &amp; RIGHT($A476,4)) + TIMEVALUE($B476), "")</f>
        <v/>
      </c>
      <c r="O476" s="33" t="str">
        <f>IF(Account!$F476&lt;&gt;"", DATEVALUE(MID($A476,4,3) &amp; LEFT($A476,3) &amp; RIGHT($A476,4)), "")</f>
        <v/>
      </c>
      <c r="P476" s="34" t="str">
        <f>IFERROR(VLOOKUP($Q476,Selection!$F:$G,2,false))</f>
        <v/>
      </c>
      <c r="Q476" s="36" t="str">
        <f>IF(AND($X476="change",$H476="EUR"),IF(AND($Z476="Crédit",$N476=$N477),$Q477,IF(AND($Z476="Débit",$N476=$N475),$Q475)),IF(OR(AND(OR($E476&lt;&gt;"",$L476=""),$M476&lt;&gt;0),$A476=""),IFERROR(VLOOKUP($E476,Selection!$E:$F,2,false)),IFERROR(VLOOKUP(SUBSTITUTE($I476,"-","",1),$K477:$Q1119,7,false),VLOOKUP($K476,$K477:$Q1119,7,false))))</f>
        <v/>
      </c>
      <c r="R476" s="34" t="str">
        <f t="shared" si="2"/>
        <v/>
      </c>
      <c r="S476" s="37" t="str">
        <f t="shared" si="3"/>
        <v/>
      </c>
      <c r="T476" s="38" t="str">
        <f t="shared" si="4"/>
        <v/>
      </c>
      <c r="U476" s="28" t="str">
        <f t="shared" si="5"/>
        <v/>
      </c>
      <c r="V476" s="39" t="str">
        <f>IFERROR(__xludf.DUMMYFUNCTION(" IF(Account!$F476&lt;&gt;"""", SPLIT(Account!$F476, "" ""), """")"),"")</f>
        <v/>
      </c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</row>
    <row r="477">
      <c r="A477" s="7"/>
      <c r="B477" s="7"/>
      <c r="C477" s="7"/>
      <c r="D477" s="7"/>
      <c r="E477" s="7"/>
      <c r="F477" s="9"/>
      <c r="G477" s="341"/>
      <c r="H477" s="7"/>
      <c r="I477" s="7"/>
      <c r="J477" s="7"/>
      <c r="K477" s="7"/>
      <c r="L477" s="26" t="str">
        <f t="shared" si="1"/>
        <v/>
      </c>
      <c r="M477" s="28" t="str">
        <f>IFERROR(__xludf.DUMMYFUNCTION("IF(Account!$F477&lt;&gt;"""", VALUE(REGEXREPLACE($I477, ""\,"", ""."")), """")"),"")</f>
        <v/>
      </c>
      <c r="N477" s="31" t="str">
        <f>IF(Account!$F477&lt;&gt;"", DATEVALUE(MID($A477,4,3) &amp; LEFT($A477,3) &amp; RIGHT($A477,4)) + TIMEVALUE($B477), "")</f>
        <v/>
      </c>
      <c r="O477" s="33" t="str">
        <f>IF(Account!$F477&lt;&gt;"", DATEVALUE(MID($A477,4,3) &amp; LEFT($A477,3) &amp; RIGHT($A477,4)), "")</f>
        <v/>
      </c>
      <c r="P477" s="34" t="str">
        <f>IFERROR(VLOOKUP($Q477,Selection!$F:$G,2,false))</f>
        <v/>
      </c>
      <c r="Q477" s="36" t="str">
        <f>IF(AND($X477="change",$H477="EUR"),IF(AND($Z477="Crédit",$N477=$N478),$Q478,IF(AND($Z477="Débit",$N477=$N476),$Q476)),IF(OR(AND(OR($E477&lt;&gt;"",$L477=""),$M477&lt;&gt;0),$A477=""),IFERROR(VLOOKUP($E477,Selection!$E:$F,2,false)),IFERROR(VLOOKUP(SUBSTITUTE($I477,"-","",1),$K478:$Q1119,7,false),VLOOKUP($K477,$K478:$Q1119,7,false))))</f>
        <v/>
      </c>
      <c r="R477" s="34" t="str">
        <f t="shared" si="2"/>
        <v/>
      </c>
      <c r="S477" s="37" t="str">
        <f t="shared" si="3"/>
        <v/>
      </c>
      <c r="T477" s="38" t="str">
        <f t="shared" si="4"/>
        <v/>
      </c>
      <c r="U477" s="28" t="str">
        <f t="shared" si="5"/>
        <v/>
      </c>
      <c r="V477" s="39" t="str">
        <f>IFERROR(__xludf.DUMMYFUNCTION(" IF(Account!$F477&lt;&gt;"""", SPLIT(Account!$F477, "" ""), """")"),"")</f>
        <v/>
      </c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</row>
    <row r="478">
      <c r="A478" s="7"/>
      <c r="B478" s="7"/>
      <c r="C478" s="7"/>
      <c r="D478" s="7"/>
      <c r="E478" s="7"/>
      <c r="F478" s="9"/>
      <c r="G478" s="341"/>
      <c r="H478" s="7"/>
      <c r="I478" s="7"/>
      <c r="J478" s="7"/>
      <c r="K478" s="7"/>
      <c r="L478" s="26" t="str">
        <f t="shared" si="1"/>
        <v/>
      </c>
      <c r="M478" s="28" t="str">
        <f>IFERROR(__xludf.DUMMYFUNCTION("IF(Account!$F478&lt;&gt;"""", VALUE(REGEXREPLACE($I478, ""\,"", ""."")), """")"),"")</f>
        <v/>
      </c>
      <c r="N478" s="31" t="str">
        <f>IF(Account!$F478&lt;&gt;"", DATEVALUE(MID($A478,4,3) &amp; LEFT($A478,3) &amp; RIGHT($A478,4)) + TIMEVALUE($B478), "")</f>
        <v/>
      </c>
      <c r="O478" s="33" t="str">
        <f>IF(Account!$F478&lt;&gt;"", DATEVALUE(MID($A478,4,3) &amp; LEFT($A478,3) &amp; RIGHT($A478,4)), "")</f>
        <v/>
      </c>
      <c r="P478" s="34" t="str">
        <f>IFERROR(VLOOKUP($Q478,Selection!$F:$G,2,false))</f>
        <v/>
      </c>
      <c r="Q478" s="36" t="str">
        <f>IF(AND($X478="change",$H478="EUR"),IF(AND($Z478="Crédit",$N478=$N479),$Q479,IF(AND($Z478="Débit",$N478=$N477),$Q477)),IF(OR(AND(OR($E478&lt;&gt;"",$L478=""),$M478&lt;&gt;0),$A478=""),IFERROR(VLOOKUP($E478,Selection!$E:$F,2,false)),IFERROR(VLOOKUP(SUBSTITUTE($I478,"-","",1),$K479:$Q1119,7,false),VLOOKUP($K478,$K479:$Q1119,7,false))))</f>
        <v/>
      </c>
      <c r="R478" s="34" t="str">
        <f t="shared" si="2"/>
        <v/>
      </c>
      <c r="S478" s="37" t="str">
        <f t="shared" si="3"/>
        <v/>
      </c>
      <c r="T478" s="38" t="str">
        <f t="shared" si="4"/>
        <v/>
      </c>
      <c r="U478" s="28" t="str">
        <f t="shared" si="5"/>
        <v/>
      </c>
      <c r="V478" s="39" t="str">
        <f>IFERROR(__xludf.DUMMYFUNCTION(" IF(Account!$F478&lt;&gt;"""", SPLIT(Account!$F478, "" ""), """")"),"")</f>
        <v/>
      </c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</row>
    <row r="479">
      <c r="A479" s="7"/>
      <c r="B479" s="7"/>
      <c r="C479" s="7"/>
      <c r="D479" s="7"/>
      <c r="E479" s="7"/>
      <c r="F479" s="9"/>
      <c r="G479" s="341"/>
      <c r="H479" s="341"/>
      <c r="I479" s="341"/>
      <c r="J479" s="7"/>
      <c r="K479" s="7"/>
      <c r="L479" s="26" t="str">
        <f t="shared" si="1"/>
        <v/>
      </c>
      <c r="M479" s="28" t="str">
        <f>IFERROR(__xludf.DUMMYFUNCTION("IF(Account!$F479&lt;&gt;"""", VALUE(REGEXREPLACE($I479, ""\,"", ""."")), """")"),"")</f>
        <v/>
      </c>
      <c r="N479" s="31" t="str">
        <f>IF(Account!$F479&lt;&gt;"", DATEVALUE(MID($A479,4,3) &amp; LEFT($A479,3) &amp; RIGHT($A479,4)) + TIMEVALUE($B479), "")</f>
        <v/>
      </c>
      <c r="O479" s="33" t="str">
        <f>IF(Account!$F479&lt;&gt;"", DATEVALUE(MID($A479,4,3) &amp; LEFT($A479,3) &amp; RIGHT($A479,4)), "")</f>
        <v/>
      </c>
      <c r="P479" s="34" t="str">
        <f>IFERROR(VLOOKUP($Q479,Selection!$F:$G,2,false))</f>
        <v/>
      </c>
      <c r="Q479" s="36" t="str">
        <f>IF(AND($X479="change",$H479="EUR"),IF(AND($Z479="Crédit",$N479=$N480),$Q480,IF(AND($Z479="Débit",$N479=$N478),$Q478)),IF(OR(AND(OR($E479&lt;&gt;"",$L479=""),$M479&lt;&gt;0),$A479=""),IFERROR(VLOOKUP($E479,Selection!$E:$F,2,false)),IFERROR(VLOOKUP(SUBSTITUTE($I479,"-","",1),$K480:$Q1119,7,false),VLOOKUP($K479,$K480:$Q1119,7,false))))</f>
        <v/>
      </c>
      <c r="R479" s="34" t="str">
        <f t="shared" si="2"/>
        <v/>
      </c>
      <c r="S479" s="37" t="str">
        <f t="shared" si="3"/>
        <v/>
      </c>
      <c r="T479" s="38" t="str">
        <f t="shared" si="4"/>
        <v/>
      </c>
      <c r="U479" s="28" t="str">
        <f t="shared" si="5"/>
        <v/>
      </c>
      <c r="V479" s="39" t="str">
        <f>IFERROR(__xludf.DUMMYFUNCTION(" IF(Account!$F479&lt;&gt;"""", SPLIT(Account!$F479, "" ""), """")"),"")</f>
        <v/>
      </c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</row>
    <row r="480">
      <c r="A480" s="7"/>
      <c r="B480" s="7"/>
      <c r="C480" s="7"/>
      <c r="D480" s="341"/>
      <c r="E480" s="341"/>
      <c r="F480" s="9"/>
      <c r="G480" s="7"/>
      <c r="H480" s="7"/>
      <c r="I480" s="7"/>
      <c r="J480" s="7"/>
      <c r="K480" s="7"/>
      <c r="L480" s="26" t="str">
        <f t="shared" si="1"/>
        <v/>
      </c>
      <c r="M480" s="28" t="str">
        <f>IFERROR(__xludf.DUMMYFUNCTION("IF(Account!$F480&lt;&gt;"""", VALUE(REGEXREPLACE($I480, ""\,"", ""."")), """")"),"")</f>
        <v/>
      </c>
      <c r="N480" s="31" t="str">
        <f>IF(Account!$F480&lt;&gt;"", DATEVALUE(MID($A480,4,3) &amp; LEFT($A480,3) &amp; RIGHT($A480,4)) + TIMEVALUE($B480), "")</f>
        <v/>
      </c>
      <c r="O480" s="33" t="str">
        <f>IF(Account!$F480&lt;&gt;"", DATEVALUE(MID($A480,4,3) &amp; LEFT($A480,3) &amp; RIGHT($A480,4)), "")</f>
        <v/>
      </c>
      <c r="P480" s="34" t="str">
        <f>IFERROR(VLOOKUP($Q480,Selection!$F:$G,2,false))</f>
        <v/>
      </c>
      <c r="Q480" s="36" t="str">
        <f>IF(AND($X480="change",$H480="EUR"),IF(AND($Z480="Crédit",$N480=$N481),$Q481,IF(AND($Z480="Débit",$N480=$N479),$Q479)),IF(OR(AND(OR($E480&lt;&gt;"",$L480=""),$M480&lt;&gt;0),$A480=""),IFERROR(VLOOKUP($E480,Selection!$E:$F,2,false)),IFERROR(VLOOKUP(SUBSTITUTE($I480,"-","",1),$K481:$Q1119,7,false),VLOOKUP($K480,$K481:$Q1119,7,false))))</f>
        <v/>
      </c>
      <c r="R480" s="34" t="str">
        <f t="shared" si="2"/>
        <v/>
      </c>
      <c r="S480" s="37" t="str">
        <f t="shared" si="3"/>
        <v/>
      </c>
      <c r="T480" s="38" t="str">
        <f t="shared" si="4"/>
        <v/>
      </c>
      <c r="U480" s="28" t="str">
        <f t="shared" si="5"/>
        <v/>
      </c>
      <c r="V480" s="39" t="str">
        <f>IFERROR(__xludf.DUMMYFUNCTION(" IF(Account!$F480&lt;&gt;"""", SPLIT(Account!$F480, "" ""), """")"),"")</f>
        <v/>
      </c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</row>
    <row r="481">
      <c r="A481" s="7"/>
      <c r="B481" s="7"/>
      <c r="C481" s="7"/>
      <c r="D481" s="341"/>
      <c r="E481" s="341"/>
      <c r="F481" s="9"/>
      <c r="G481" s="341"/>
      <c r="H481" s="7"/>
      <c r="I481" s="7"/>
      <c r="J481" s="7"/>
      <c r="K481" s="7"/>
      <c r="L481" s="26" t="str">
        <f t="shared" si="1"/>
        <v/>
      </c>
      <c r="M481" s="28" t="str">
        <f>IFERROR(__xludf.DUMMYFUNCTION("IF(Account!$F481&lt;&gt;"""", VALUE(REGEXREPLACE($I481, ""\,"", ""."")), """")"),"")</f>
        <v/>
      </c>
      <c r="N481" s="31" t="str">
        <f>IF(Account!$F481&lt;&gt;"", DATEVALUE(MID($A481,4,3) &amp; LEFT($A481,3) &amp; RIGHT($A481,4)) + TIMEVALUE($B481), "")</f>
        <v/>
      </c>
      <c r="O481" s="33" t="str">
        <f>IF(Account!$F481&lt;&gt;"", DATEVALUE(MID($A481,4,3) &amp; LEFT($A481,3) &amp; RIGHT($A481,4)), "")</f>
        <v/>
      </c>
      <c r="P481" s="34" t="str">
        <f>IFERROR(VLOOKUP($Q481,Selection!$F:$G,2,false))</f>
        <v/>
      </c>
      <c r="Q481" s="36" t="str">
        <f>IF(AND($X481="change",$H481="EUR"),IF(AND($Z481="Crédit",$N481=$N482),$Q482,IF(AND($Z481="Débit",$N481=$N480),$Q480)),IF(OR(AND(OR($E481&lt;&gt;"",$L481=""),$M481&lt;&gt;0),$A481=""),IFERROR(VLOOKUP($E481,Selection!$E:$F,2,false)),IFERROR(VLOOKUP(SUBSTITUTE($I481,"-","",1),$K482:$Q1119,7,false),VLOOKUP($K481,$K482:$Q1119,7,false))))</f>
        <v/>
      </c>
      <c r="R481" s="34" t="str">
        <f t="shared" si="2"/>
        <v/>
      </c>
      <c r="S481" s="37" t="str">
        <f t="shared" si="3"/>
        <v/>
      </c>
      <c r="T481" s="38" t="str">
        <f t="shared" si="4"/>
        <v/>
      </c>
      <c r="U481" s="28" t="str">
        <f t="shared" si="5"/>
        <v/>
      </c>
      <c r="V481" s="39" t="str">
        <f>IFERROR(__xludf.DUMMYFUNCTION(" IF(Account!$F481&lt;&gt;"""", SPLIT(Account!$F481, "" ""), """")"),"")</f>
        <v/>
      </c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</row>
    <row r="482">
      <c r="A482" s="7"/>
      <c r="B482" s="7"/>
      <c r="C482" s="7"/>
      <c r="D482" s="7"/>
      <c r="E482" s="7"/>
      <c r="F482" s="9"/>
      <c r="G482" s="341"/>
      <c r="H482" s="341"/>
      <c r="I482" s="341"/>
      <c r="J482" s="7"/>
      <c r="K482" s="7"/>
      <c r="L482" s="26" t="str">
        <f t="shared" si="1"/>
        <v/>
      </c>
      <c r="M482" s="28" t="str">
        <f>IFERROR(__xludf.DUMMYFUNCTION("IF(Account!$F482&lt;&gt;"""", VALUE(REGEXREPLACE($I482, ""\,"", ""."")), """")"),"")</f>
        <v/>
      </c>
      <c r="N482" s="31" t="str">
        <f>IF(Account!$F482&lt;&gt;"", DATEVALUE(MID($A482,4,3) &amp; LEFT($A482,3) &amp; RIGHT($A482,4)) + TIMEVALUE($B482), "")</f>
        <v/>
      </c>
      <c r="O482" s="33" t="str">
        <f>IF(Account!$F482&lt;&gt;"", DATEVALUE(MID($A482,4,3) &amp; LEFT($A482,3) &amp; RIGHT($A482,4)), "")</f>
        <v/>
      </c>
      <c r="P482" s="34" t="str">
        <f>IFERROR(VLOOKUP($Q482,Selection!$F:$G,2,false))</f>
        <v/>
      </c>
      <c r="Q482" s="36" t="str">
        <f>IF(AND($X482="change",$H482="EUR"),IF(AND($Z482="Crédit",$N482=$N483),$Q483,IF(AND($Z482="Débit",$N482=$N481),$Q481)),IF(OR(AND(OR($E482&lt;&gt;"",$L482=""),$M482&lt;&gt;0),$A482=""),IFERROR(VLOOKUP($E482,Selection!$E:$F,2,false)),IFERROR(VLOOKUP(SUBSTITUTE($I482,"-","",1),$K483:$Q1119,7,false),VLOOKUP($K482,$K483:$Q1119,7,false))))</f>
        <v/>
      </c>
      <c r="R482" s="34" t="str">
        <f t="shared" si="2"/>
        <v/>
      </c>
      <c r="S482" s="37" t="str">
        <f t="shared" si="3"/>
        <v/>
      </c>
      <c r="T482" s="38" t="str">
        <f t="shared" si="4"/>
        <v/>
      </c>
      <c r="U482" s="28" t="str">
        <f t="shared" si="5"/>
        <v/>
      </c>
      <c r="V482" s="39" t="str">
        <f>IFERROR(__xludf.DUMMYFUNCTION(" IF(Account!$F482&lt;&gt;"""", SPLIT(Account!$F482, "" ""), """")"),"")</f>
        <v/>
      </c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</row>
    <row r="483">
      <c r="A483" s="7"/>
      <c r="B483" s="7"/>
      <c r="C483" s="7"/>
      <c r="D483" s="7"/>
      <c r="E483" s="7"/>
      <c r="F483" s="9"/>
      <c r="G483" s="341"/>
      <c r="H483" s="7"/>
      <c r="I483" s="7"/>
      <c r="J483" s="7"/>
      <c r="K483" s="7"/>
      <c r="L483" s="26" t="str">
        <f t="shared" si="1"/>
        <v/>
      </c>
      <c r="M483" s="28" t="str">
        <f>IFERROR(__xludf.DUMMYFUNCTION("IF(Account!$F483&lt;&gt;"""", VALUE(REGEXREPLACE($I483, ""\,"", ""."")), """")"),"")</f>
        <v/>
      </c>
      <c r="N483" s="31" t="str">
        <f>IF(Account!$F483&lt;&gt;"", DATEVALUE(MID($A483,4,3) &amp; LEFT($A483,3) &amp; RIGHT($A483,4)) + TIMEVALUE($B483), "")</f>
        <v/>
      </c>
      <c r="O483" s="33" t="str">
        <f>IF(Account!$F483&lt;&gt;"", DATEVALUE(MID($A483,4,3) &amp; LEFT($A483,3) &amp; RIGHT($A483,4)), "")</f>
        <v/>
      </c>
      <c r="P483" s="34" t="str">
        <f>IFERROR(VLOOKUP($Q483,Selection!$F:$G,2,false))</f>
        <v/>
      </c>
      <c r="Q483" s="36" t="str">
        <f>IF(AND($X483="change",$H483="EUR"),IF(AND($Z483="Crédit",$N483=$N484),$Q484,IF(AND($Z483="Débit",$N483=$N482),$Q482)),IF(OR(AND(OR($E483&lt;&gt;"",$L483=""),$M483&lt;&gt;0),$A483=""),IFERROR(VLOOKUP($E483,Selection!$E:$F,2,false)),IFERROR(VLOOKUP(SUBSTITUTE($I483,"-","",1),$K484:$Q1119,7,false),VLOOKUP($K483,$K484:$Q1119,7,false))))</f>
        <v/>
      </c>
      <c r="R483" s="34" t="str">
        <f t="shared" si="2"/>
        <v/>
      </c>
      <c r="S483" s="37" t="str">
        <f t="shared" si="3"/>
        <v/>
      </c>
      <c r="T483" s="38" t="str">
        <f t="shared" si="4"/>
        <v/>
      </c>
      <c r="U483" s="28" t="str">
        <f t="shared" si="5"/>
        <v/>
      </c>
      <c r="V483" s="39" t="str">
        <f>IFERROR(__xludf.DUMMYFUNCTION(" IF(Account!$F483&lt;&gt;"""", SPLIT(Account!$F483, "" ""), """")"),"")</f>
        <v/>
      </c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</row>
    <row r="484">
      <c r="A484" s="7"/>
      <c r="B484" s="7"/>
      <c r="C484" s="7"/>
      <c r="D484" s="7"/>
      <c r="E484" s="7"/>
      <c r="F484" s="9"/>
      <c r="G484" s="341"/>
      <c r="H484" s="7"/>
      <c r="I484" s="7"/>
      <c r="J484" s="7"/>
      <c r="K484" s="7"/>
      <c r="L484" s="26" t="str">
        <f t="shared" si="1"/>
        <v/>
      </c>
      <c r="M484" s="28" t="str">
        <f>IFERROR(__xludf.DUMMYFUNCTION("IF(Account!$F484&lt;&gt;"""", VALUE(REGEXREPLACE($I484, ""\,"", ""."")), """")"),"")</f>
        <v/>
      </c>
      <c r="N484" s="31" t="str">
        <f>IF(Account!$F484&lt;&gt;"", DATEVALUE(MID($A484,4,3) &amp; LEFT($A484,3) &amp; RIGHT($A484,4)) + TIMEVALUE($B484), "")</f>
        <v/>
      </c>
      <c r="O484" s="33" t="str">
        <f>IF(Account!$F484&lt;&gt;"", DATEVALUE(MID($A484,4,3) &amp; LEFT($A484,3) &amp; RIGHT($A484,4)), "")</f>
        <v/>
      </c>
      <c r="P484" s="34" t="str">
        <f>IFERROR(VLOOKUP($Q484,Selection!$F:$G,2,false))</f>
        <v/>
      </c>
      <c r="Q484" s="36" t="str">
        <f>IF(AND($X484="change",$H484="EUR"),IF(AND($Z484="Crédit",$N484=$N485),$Q485,IF(AND($Z484="Débit",$N484=$N483),$Q483)),IF(OR(AND(OR($E484&lt;&gt;"",$L484=""),$M484&lt;&gt;0),$A484=""),IFERROR(VLOOKUP($E484,Selection!$E:$F,2,false)),IFERROR(VLOOKUP(SUBSTITUTE($I484,"-","",1),$K485:$Q1119,7,false),VLOOKUP($K484,$K485:$Q1119,7,false))))</f>
        <v/>
      </c>
      <c r="R484" s="34" t="str">
        <f t="shared" si="2"/>
        <v/>
      </c>
      <c r="S484" s="37" t="str">
        <f t="shared" si="3"/>
        <v/>
      </c>
      <c r="T484" s="38" t="str">
        <f t="shared" si="4"/>
        <v/>
      </c>
      <c r="U484" s="28" t="str">
        <f t="shared" si="5"/>
        <v/>
      </c>
      <c r="V484" s="39" t="str">
        <f>IFERROR(__xludf.DUMMYFUNCTION(" IF(Account!$F484&lt;&gt;"""", SPLIT(Account!$F484, "" ""), """")"),"")</f>
        <v/>
      </c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</row>
    <row r="485">
      <c r="A485" s="7"/>
      <c r="B485" s="7"/>
      <c r="C485" s="7"/>
      <c r="D485" s="341"/>
      <c r="E485" s="341"/>
      <c r="F485" s="9"/>
      <c r="G485" s="341"/>
      <c r="H485" s="7"/>
      <c r="I485" s="7"/>
      <c r="J485" s="7"/>
      <c r="K485" s="7"/>
      <c r="L485" s="26" t="str">
        <f t="shared" si="1"/>
        <v/>
      </c>
      <c r="M485" s="28" t="str">
        <f>IFERROR(__xludf.DUMMYFUNCTION("IF(Account!$F485&lt;&gt;"""", VALUE(REGEXREPLACE($I485, ""\,"", ""."")), """")"),"")</f>
        <v/>
      </c>
      <c r="N485" s="31" t="str">
        <f>IF(Account!$F485&lt;&gt;"", DATEVALUE(MID($A485,4,3) &amp; LEFT($A485,3) &amp; RIGHT($A485,4)) + TIMEVALUE($B485), "")</f>
        <v/>
      </c>
      <c r="O485" s="33" t="str">
        <f>IF(Account!$F485&lt;&gt;"", DATEVALUE(MID($A485,4,3) &amp; LEFT($A485,3) &amp; RIGHT($A485,4)), "")</f>
        <v/>
      </c>
      <c r="P485" s="34" t="str">
        <f>IFERROR(VLOOKUP($Q485,Selection!$F:$G,2,false))</f>
        <v/>
      </c>
      <c r="Q485" s="36" t="str">
        <f>IF(AND($X485="change",$H485="EUR"),IF(AND($Z485="Crédit",$N485=$N486),$Q486,IF(AND($Z485="Débit",$N485=$N484),$Q484)),IF(OR(AND(OR($E485&lt;&gt;"",$L485=""),$M485&lt;&gt;0),$A485=""),IFERROR(VLOOKUP($E485,Selection!$E:$F,2,false)),IFERROR(VLOOKUP(SUBSTITUTE($I485,"-","",1),$K486:$Q1119,7,false),VLOOKUP($K485,$K486:$Q1119,7,false))))</f>
        <v/>
      </c>
      <c r="R485" s="34" t="str">
        <f t="shared" si="2"/>
        <v/>
      </c>
      <c r="S485" s="37" t="str">
        <f t="shared" si="3"/>
        <v/>
      </c>
      <c r="T485" s="38" t="str">
        <f t="shared" si="4"/>
        <v/>
      </c>
      <c r="U485" s="28" t="str">
        <f t="shared" si="5"/>
        <v/>
      </c>
      <c r="V485" s="39" t="str">
        <f>IFERROR(__xludf.DUMMYFUNCTION(" IF(Account!$F485&lt;&gt;"""", SPLIT(Account!$F485, "" ""), """")"),"")</f>
        <v/>
      </c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</row>
    <row r="486">
      <c r="A486" s="7"/>
      <c r="B486" s="7"/>
      <c r="C486" s="7"/>
      <c r="D486" s="341"/>
      <c r="E486" s="341"/>
      <c r="F486" s="9"/>
      <c r="G486" s="341"/>
      <c r="H486" s="7"/>
      <c r="I486" s="7"/>
      <c r="J486" s="7"/>
      <c r="K486" s="7"/>
      <c r="L486" s="26" t="str">
        <f t="shared" si="1"/>
        <v/>
      </c>
      <c r="M486" s="28" t="str">
        <f>IFERROR(__xludf.DUMMYFUNCTION("IF(Account!$F486&lt;&gt;"""", VALUE(REGEXREPLACE($I486, ""\,"", ""."")), """")"),"")</f>
        <v/>
      </c>
      <c r="N486" s="31" t="str">
        <f>IF(Account!$F486&lt;&gt;"", DATEVALUE(MID($A486,4,3) &amp; LEFT($A486,3) &amp; RIGHT($A486,4)) + TIMEVALUE($B486), "")</f>
        <v/>
      </c>
      <c r="O486" s="33" t="str">
        <f>IF(Account!$F486&lt;&gt;"", DATEVALUE(MID($A486,4,3) &amp; LEFT($A486,3) &amp; RIGHT($A486,4)), "")</f>
        <v/>
      </c>
      <c r="P486" s="34" t="str">
        <f>IFERROR(VLOOKUP($Q486,Selection!$F:$G,2,false))</f>
        <v/>
      </c>
      <c r="Q486" s="36" t="str">
        <f>IF(AND($X486="change",$H486="EUR"),IF(AND($Z486="Crédit",$N486=$N487),$Q487,IF(AND($Z486="Débit",$N486=$N485),$Q485)),IF(OR(AND(OR($E486&lt;&gt;"",$L486=""),$M486&lt;&gt;0),$A486=""),IFERROR(VLOOKUP($E486,Selection!$E:$F,2,false)),IFERROR(VLOOKUP(SUBSTITUTE($I486,"-","",1),$K487:$Q1119,7,false),VLOOKUP($K486,$K487:$Q1119,7,false))))</f>
        <v/>
      </c>
      <c r="R486" s="34" t="str">
        <f t="shared" si="2"/>
        <v/>
      </c>
      <c r="S486" s="37" t="str">
        <f t="shared" si="3"/>
        <v/>
      </c>
      <c r="T486" s="38" t="str">
        <f t="shared" si="4"/>
        <v/>
      </c>
      <c r="U486" s="28" t="str">
        <f t="shared" si="5"/>
        <v/>
      </c>
      <c r="V486" s="39" t="str">
        <f>IFERROR(__xludf.DUMMYFUNCTION(" IF(Account!$F486&lt;&gt;"""", SPLIT(Account!$F486, "" ""), """")"),"")</f>
        <v/>
      </c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</row>
    <row r="487">
      <c r="A487" s="7"/>
      <c r="B487" s="7"/>
      <c r="C487" s="7"/>
      <c r="D487" s="341"/>
      <c r="E487" s="341"/>
      <c r="F487" s="9"/>
      <c r="G487" s="341"/>
      <c r="H487" s="7"/>
      <c r="I487" s="7"/>
      <c r="J487" s="7"/>
      <c r="K487" s="7"/>
      <c r="L487" s="26" t="str">
        <f t="shared" si="1"/>
        <v/>
      </c>
      <c r="M487" s="28" t="str">
        <f>IFERROR(__xludf.DUMMYFUNCTION("IF(Account!$F487&lt;&gt;"""", VALUE(REGEXREPLACE($I487, ""\,"", ""."")), """")"),"")</f>
        <v/>
      </c>
      <c r="N487" s="31" t="str">
        <f>IF(Account!$F487&lt;&gt;"", DATEVALUE(MID($A487,4,3) &amp; LEFT($A487,3) &amp; RIGHT($A487,4)) + TIMEVALUE($B487), "")</f>
        <v/>
      </c>
      <c r="O487" s="33" t="str">
        <f>IF(Account!$F487&lt;&gt;"", DATEVALUE(MID($A487,4,3) &amp; LEFT($A487,3) &amp; RIGHT($A487,4)), "")</f>
        <v/>
      </c>
      <c r="P487" s="34" t="str">
        <f>IFERROR(VLOOKUP($Q487,Selection!$F:$G,2,false))</f>
        <v/>
      </c>
      <c r="Q487" s="36" t="str">
        <f>IF(AND($X487="change",$H487="EUR"),IF(AND($Z487="Crédit",$N487=$N488),$Q488,IF(AND($Z487="Débit",$N487=$N486),$Q486)),IF(OR(AND(OR($E487&lt;&gt;"",$L487=""),$M487&lt;&gt;0),$A487=""),IFERROR(VLOOKUP($E487,Selection!$E:$F,2,false)),IFERROR(VLOOKUP(SUBSTITUTE($I487,"-","",1),$K488:$Q1119,7,false),VLOOKUP($K487,$K488:$Q1119,7,false))))</f>
        <v/>
      </c>
      <c r="R487" s="34" t="str">
        <f t="shared" si="2"/>
        <v/>
      </c>
      <c r="S487" s="37" t="str">
        <f t="shared" si="3"/>
        <v/>
      </c>
      <c r="T487" s="38" t="str">
        <f t="shared" si="4"/>
        <v/>
      </c>
      <c r="U487" s="28" t="str">
        <f t="shared" si="5"/>
        <v/>
      </c>
      <c r="V487" s="39" t="str">
        <f>IFERROR(__xludf.DUMMYFUNCTION(" IF(Account!$F487&lt;&gt;"""", SPLIT(Account!$F487, "" ""), """")"),"")</f>
        <v/>
      </c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</row>
    <row r="488">
      <c r="A488" s="7"/>
      <c r="B488" s="7"/>
      <c r="C488" s="7"/>
      <c r="D488" s="7"/>
      <c r="E488" s="7"/>
      <c r="F488" s="9"/>
      <c r="G488" s="7"/>
      <c r="H488" s="7"/>
      <c r="I488" s="7"/>
      <c r="J488" s="7"/>
      <c r="K488" s="7"/>
      <c r="L488" s="26" t="str">
        <f t="shared" si="1"/>
        <v/>
      </c>
      <c r="M488" s="28" t="str">
        <f>IFERROR(__xludf.DUMMYFUNCTION("IF(Account!$F488&lt;&gt;"""", VALUE(REGEXREPLACE($I488, ""\,"", ""."")), """")"),"")</f>
        <v/>
      </c>
      <c r="N488" s="31" t="str">
        <f>IF(Account!$F488&lt;&gt;"", DATEVALUE(MID($A488,4,3) &amp; LEFT($A488,3) &amp; RIGHT($A488,4)) + TIMEVALUE($B488), "")</f>
        <v/>
      </c>
      <c r="O488" s="33" t="str">
        <f>IF(Account!$F488&lt;&gt;"", DATEVALUE(MID($A488,4,3) &amp; LEFT($A488,3) &amp; RIGHT($A488,4)), "")</f>
        <v/>
      </c>
      <c r="P488" s="34" t="str">
        <f>IFERROR(VLOOKUP($Q488,Selection!$F:$G,2,false))</f>
        <v/>
      </c>
      <c r="Q488" s="36" t="str">
        <f>IF(AND($X488="change",$H488="EUR"),IF(AND($Z488="Crédit",$N488=$N489),$Q489,IF(AND($Z488="Débit",$N488=$N487),$Q487)),IF(OR(AND(OR($E488&lt;&gt;"",$L488=""),$M488&lt;&gt;0),$A488=""),IFERROR(VLOOKUP($E488,Selection!$E:$F,2,false)),IFERROR(VLOOKUP(SUBSTITUTE($I488,"-","",1),$K489:$Q1119,7,false),VLOOKUP($K488,$K489:$Q1119,7,false))))</f>
        <v/>
      </c>
      <c r="R488" s="34" t="str">
        <f t="shared" si="2"/>
        <v/>
      </c>
      <c r="S488" s="37" t="str">
        <f t="shared" si="3"/>
        <v/>
      </c>
      <c r="T488" s="38" t="str">
        <f t="shared" si="4"/>
        <v/>
      </c>
      <c r="U488" s="28" t="str">
        <f t="shared" si="5"/>
        <v/>
      </c>
      <c r="V488" s="39" t="str">
        <f>IFERROR(__xludf.DUMMYFUNCTION(" IF(Account!$F488&lt;&gt;"""", SPLIT(Account!$F488, "" ""), """")"),"")</f>
        <v/>
      </c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</row>
    <row r="489">
      <c r="A489" s="7"/>
      <c r="B489" s="7"/>
      <c r="C489" s="7"/>
      <c r="D489" s="7"/>
      <c r="E489" s="7"/>
      <c r="F489" s="9"/>
      <c r="G489" s="341"/>
      <c r="H489" s="7"/>
      <c r="I489" s="7"/>
      <c r="J489" s="7"/>
      <c r="K489" s="7"/>
      <c r="L489" s="26" t="str">
        <f t="shared" si="1"/>
        <v/>
      </c>
      <c r="M489" s="28" t="str">
        <f>IFERROR(__xludf.DUMMYFUNCTION("IF(Account!$F489&lt;&gt;"""", VALUE(REGEXREPLACE($I489, ""\,"", ""."")), """")"),"")</f>
        <v/>
      </c>
      <c r="N489" s="31" t="str">
        <f>IF(Account!$F489&lt;&gt;"", DATEVALUE(MID($A489,4,3) &amp; LEFT($A489,3) &amp; RIGHT($A489,4)) + TIMEVALUE($B489), "")</f>
        <v/>
      </c>
      <c r="O489" s="33" t="str">
        <f>IF(Account!$F489&lt;&gt;"", DATEVALUE(MID($A489,4,3) &amp; LEFT($A489,3) &amp; RIGHT($A489,4)), "")</f>
        <v/>
      </c>
      <c r="P489" s="34" t="str">
        <f>IFERROR(VLOOKUP($Q489,Selection!$F:$G,2,false))</f>
        <v/>
      </c>
      <c r="Q489" s="36" t="str">
        <f>IF(AND($X489="change",$H489="EUR"),IF(AND($Z489="Crédit",$N489=$N490),$Q490,IF(AND($Z489="Débit",$N489=$N488),$Q488)),IF(OR(AND(OR($E489&lt;&gt;"",$L489=""),$M489&lt;&gt;0),$A489=""),IFERROR(VLOOKUP($E489,Selection!$E:$F,2,false)),IFERROR(VLOOKUP(SUBSTITUTE($I489,"-","",1),$K490:$Q1119,7,false),VLOOKUP($K489,$K490:$Q1119,7,false))))</f>
        <v/>
      </c>
      <c r="R489" s="34" t="str">
        <f t="shared" si="2"/>
        <v/>
      </c>
      <c r="S489" s="37" t="str">
        <f t="shared" si="3"/>
        <v/>
      </c>
      <c r="T489" s="38" t="str">
        <f t="shared" si="4"/>
        <v/>
      </c>
      <c r="U489" s="28" t="str">
        <f t="shared" si="5"/>
        <v/>
      </c>
      <c r="V489" s="39" t="str">
        <f>IFERROR(__xludf.DUMMYFUNCTION(" IF(Account!$F489&lt;&gt;"""", SPLIT(Account!$F489, "" ""), """")"),"")</f>
        <v/>
      </c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</row>
    <row r="490">
      <c r="A490" s="7"/>
      <c r="B490" s="7"/>
      <c r="C490" s="7"/>
      <c r="D490" s="7"/>
      <c r="E490" s="7"/>
      <c r="F490" s="9"/>
      <c r="G490" s="7"/>
      <c r="H490" s="7"/>
      <c r="I490" s="7"/>
      <c r="J490" s="7"/>
      <c r="K490" s="7"/>
      <c r="L490" s="26" t="str">
        <f t="shared" si="1"/>
        <v/>
      </c>
      <c r="M490" s="28" t="str">
        <f>IFERROR(__xludf.DUMMYFUNCTION("IF(Account!$F490&lt;&gt;"""", VALUE(REGEXREPLACE($I490, ""\,"", ""."")), """")"),"")</f>
        <v/>
      </c>
      <c r="N490" s="31" t="str">
        <f>IF(Account!$F490&lt;&gt;"", DATEVALUE(MID($A490,4,3) &amp; LEFT($A490,3) &amp; RIGHT($A490,4)) + TIMEVALUE($B490), "")</f>
        <v/>
      </c>
      <c r="O490" s="33" t="str">
        <f>IF(Account!$F490&lt;&gt;"", DATEVALUE(MID($A490,4,3) &amp; LEFT($A490,3) &amp; RIGHT($A490,4)), "")</f>
        <v/>
      </c>
      <c r="P490" s="34" t="str">
        <f>IFERROR(VLOOKUP($Q490,Selection!$F:$G,2,false))</f>
        <v/>
      </c>
      <c r="Q490" s="36" t="str">
        <f>IF(AND($X490="change",$H490="EUR"),IF(AND($Z490="Crédit",$N490=$N491),$Q491,IF(AND($Z490="Débit",$N490=$N489),$Q489)),IF(OR(AND(OR($E490&lt;&gt;"",$L490=""),$M490&lt;&gt;0),$A490=""),IFERROR(VLOOKUP($E490,Selection!$E:$F,2,false)),IFERROR(VLOOKUP(SUBSTITUTE($I490,"-","",1),$K491:$Q1119,7,false),VLOOKUP($K490,$K491:$Q1119,7,false))))</f>
        <v/>
      </c>
      <c r="R490" s="34" t="str">
        <f t="shared" si="2"/>
        <v/>
      </c>
      <c r="S490" s="37" t="str">
        <f t="shared" si="3"/>
        <v/>
      </c>
      <c r="T490" s="38" t="str">
        <f t="shared" si="4"/>
        <v/>
      </c>
      <c r="U490" s="28" t="str">
        <f t="shared" si="5"/>
        <v/>
      </c>
      <c r="V490" s="39" t="str">
        <f>IFERROR(__xludf.DUMMYFUNCTION(" IF(Account!$F490&lt;&gt;"""", SPLIT(Account!$F490, "" ""), """")"),"")</f>
        <v/>
      </c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</row>
    <row r="491">
      <c r="A491" s="7"/>
      <c r="B491" s="7"/>
      <c r="C491" s="7"/>
      <c r="D491" s="7"/>
      <c r="E491" s="7"/>
      <c r="F491" s="9"/>
      <c r="G491" s="341"/>
      <c r="H491" s="7"/>
      <c r="I491" s="7"/>
      <c r="J491" s="7"/>
      <c r="K491" s="7"/>
      <c r="L491" s="26" t="str">
        <f t="shared" si="1"/>
        <v/>
      </c>
      <c r="M491" s="28" t="str">
        <f>IFERROR(__xludf.DUMMYFUNCTION("IF(Account!$F491&lt;&gt;"""", VALUE(REGEXREPLACE($I491, ""\,"", ""."")), """")"),"")</f>
        <v/>
      </c>
      <c r="N491" s="31" t="str">
        <f>IF(Account!$F491&lt;&gt;"", DATEVALUE(MID($A491,4,3) &amp; LEFT($A491,3) &amp; RIGHT($A491,4)) + TIMEVALUE($B491), "")</f>
        <v/>
      </c>
      <c r="O491" s="33" t="str">
        <f>IF(Account!$F491&lt;&gt;"", DATEVALUE(MID($A491,4,3) &amp; LEFT($A491,3) &amp; RIGHT($A491,4)), "")</f>
        <v/>
      </c>
      <c r="P491" s="34" t="str">
        <f>IFERROR(VLOOKUP($Q491,Selection!$F:$G,2,false))</f>
        <v/>
      </c>
      <c r="Q491" s="36" t="str">
        <f>IF(AND($X491="change",$H491="EUR"),IF(AND($Z491="Crédit",$N491=$N492),$Q492,IF(AND($Z491="Débit",$N491=$N490),$Q490)),IF(OR(AND(OR($E491&lt;&gt;"",$L491=""),$M491&lt;&gt;0),$A491=""),IFERROR(VLOOKUP($E491,Selection!$E:$F,2,false)),IFERROR(VLOOKUP(SUBSTITUTE($I491,"-","",1),$K492:$Q1119,7,false),VLOOKUP($K491,$K492:$Q1119,7,false))))</f>
        <v/>
      </c>
      <c r="R491" s="34" t="str">
        <f t="shared" si="2"/>
        <v/>
      </c>
      <c r="S491" s="37" t="str">
        <f t="shared" si="3"/>
        <v/>
      </c>
      <c r="T491" s="38" t="str">
        <f t="shared" si="4"/>
        <v/>
      </c>
      <c r="U491" s="28" t="str">
        <f t="shared" si="5"/>
        <v/>
      </c>
      <c r="V491" s="39" t="str">
        <f>IFERROR(__xludf.DUMMYFUNCTION(" IF(Account!$F491&lt;&gt;"""", SPLIT(Account!$F491, "" ""), """")"),"")</f>
        <v/>
      </c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</row>
    <row r="492">
      <c r="A492" s="7"/>
      <c r="B492" s="7"/>
      <c r="C492" s="7"/>
      <c r="D492" s="7"/>
      <c r="E492" s="7"/>
      <c r="F492" s="9"/>
      <c r="G492" s="341"/>
      <c r="H492" s="7"/>
      <c r="I492" s="7"/>
      <c r="J492" s="7"/>
      <c r="K492" s="7"/>
      <c r="L492" s="26" t="str">
        <f t="shared" si="1"/>
        <v/>
      </c>
      <c r="M492" s="28" t="str">
        <f>IFERROR(__xludf.DUMMYFUNCTION("IF(Account!$F492&lt;&gt;"""", VALUE(REGEXREPLACE($I492, ""\,"", ""."")), """")"),"")</f>
        <v/>
      </c>
      <c r="N492" s="31" t="str">
        <f>IF(Account!$F492&lt;&gt;"", DATEVALUE(MID($A492,4,3) &amp; LEFT($A492,3) &amp; RIGHT($A492,4)) + TIMEVALUE($B492), "")</f>
        <v/>
      </c>
      <c r="O492" s="33" t="str">
        <f>IF(Account!$F492&lt;&gt;"", DATEVALUE(MID($A492,4,3) &amp; LEFT($A492,3) &amp; RIGHT($A492,4)), "")</f>
        <v/>
      </c>
      <c r="P492" s="34" t="str">
        <f>IFERROR(VLOOKUP($Q492,Selection!$F:$G,2,false))</f>
        <v/>
      </c>
      <c r="Q492" s="36" t="str">
        <f>IF(AND($X492="change",$H492="EUR"),IF(AND($Z492="Crédit",$N492=$N493),$Q493,IF(AND($Z492="Débit",$N492=$N491),$Q491)),IF(OR(AND(OR($E492&lt;&gt;"",$L492=""),$M492&lt;&gt;0),$A492=""),IFERROR(VLOOKUP($E492,Selection!$E:$F,2,false)),IFERROR(VLOOKUP(SUBSTITUTE($I492,"-","",1),$K493:$Q1119,7,false),VLOOKUP($K492,$K493:$Q1119,7,false))))</f>
        <v/>
      </c>
      <c r="R492" s="34" t="str">
        <f t="shared" si="2"/>
        <v/>
      </c>
      <c r="S492" s="37" t="str">
        <f t="shared" si="3"/>
        <v/>
      </c>
      <c r="T492" s="38" t="str">
        <f t="shared" si="4"/>
        <v/>
      </c>
      <c r="U492" s="28" t="str">
        <f t="shared" si="5"/>
        <v/>
      </c>
      <c r="V492" s="39" t="str">
        <f>IFERROR(__xludf.DUMMYFUNCTION(" IF(Account!$F492&lt;&gt;"""", SPLIT(Account!$F492, "" ""), """")"),"")</f>
        <v/>
      </c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</row>
    <row r="493">
      <c r="A493" s="7"/>
      <c r="B493" s="7"/>
      <c r="C493" s="7"/>
      <c r="D493" s="7"/>
      <c r="E493" s="7"/>
      <c r="F493" s="9"/>
      <c r="G493" s="341"/>
      <c r="H493" s="7"/>
      <c r="I493" s="7"/>
      <c r="J493" s="7"/>
      <c r="K493" s="7"/>
      <c r="L493" s="26" t="str">
        <f t="shared" si="1"/>
        <v/>
      </c>
      <c r="M493" s="28" t="str">
        <f>IFERROR(__xludf.DUMMYFUNCTION("IF(Account!$F493&lt;&gt;"""", VALUE(REGEXREPLACE($I493, ""\,"", ""."")), """")"),"")</f>
        <v/>
      </c>
      <c r="N493" s="31" t="str">
        <f>IF(Account!$F493&lt;&gt;"", DATEVALUE(MID($A493,4,3) &amp; LEFT($A493,3) &amp; RIGHT($A493,4)) + TIMEVALUE($B493), "")</f>
        <v/>
      </c>
      <c r="O493" s="33" t="str">
        <f>IF(Account!$F493&lt;&gt;"", DATEVALUE(MID($A493,4,3) &amp; LEFT($A493,3) &amp; RIGHT($A493,4)), "")</f>
        <v/>
      </c>
      <c r="P493" s="34" t="str">
        <f>IFERROR(VLOOKUP($Q493,Selection!$F:$G,2,false))</f>
        <v/>
      </c>
      <c r="Q493" s="36" t="str">
        <f>IF(AND($X493="change",$H493="EUR"),IF(AND($Z493="Crédit",$N493=$N494),$Q494,IF(AND($Z493="Débit",$N493=$N492),$Q492)),IF(OR(AND(OR($E493&lt;&gt;"",$L493=""),$M493&lt;&gt;0),$A493=""),IFERROR(VLOOKUP($E493,Selection!$E:$F,2,false)),IFERROR(VLOOKUP(SUBSTITUTE($I493,"-","",1),$K494:$Q1119,7,false),VLOOKUP($K493,$K494:$Q1119,7,false))))</f>
        <v/>
      </c>
      <c r="R493" s="34" t="str">
        <f t="shared" si="2"/>
        <v/>
      </c>
      <c r="S493" s="37" t="str">
        <f t="shared" si="3"/>
        <v/>
      </c>
      <c r="T493" s="38" t="str">
        <f t="shared" si="4"/>
        <v/>
      </c>
      <c r="U493" s="28" t="str">
        <f t="shared" si="5"/>
        <v/>
      </c>
      <c r="V493" s="39" t="str">
        <f>IFERROR(__xludf.DUMMYFUNCTION(" IF(Account!$F493&lt;&gt;"""", SPLIT(Account!$F493, "" ""), """")"),"")</f>
        <v/>
      </c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</row>
    <row r="494">
      <c r="A494" s="7"/>
      <c r="B494" s="7"/>
      <c r="C494" s="7"/>
      <c r="D494" s="341"/>
      <c r="E494" s="341"/>
      <c r="F494" s="9"/>
      <c r="G494" s="341"/>
      <c r="H494" s="7"/>
      <c r="I494" s="7"/>
      <c r="J494" s="7"/>
      <c r="K494" s="7"/>
      <c r="L494" s="26" t="str">
        <f t="shared" si="1"/>
        <v/>
      </c>
      <c r="M494" s="28" t="str">
        <f>IFERROR(__xludf.DUMMYFUNCTION("IF(Account!$F494&lt;&gt;"""", VALUE(REGEXREPLACE($I494, ""\,"", ""."")), """")"),"")</f>
        <v/>
      </c>
      <c r="N494" s="31" t="str">
        <f>IF(Account!$F494&lt;&gt;"", DATEVALUE(MID($A494,4,3) &amp; LEFT($A494,3) &amp; RIGHT($A494,4)) + TIMEVALUE($B494), "")</f>
        <v/>
      </c>
      <c r="O494" s="33" t="str">
        <f>IF(Account!$F494&lt;&gt;"", DATEVALUE(MID($A494,4,3) &amp; LEFT($A494,3) &amp; RIGHT($A494,4)), "")</f>
        <v/>
      </c>
      <c r="P494" s="34" t="str">
        <f>IFERROR(VLOOKUP($Q494,Selection!$F:$G,2,false))</f>
        <v/>
      </c>
      <c r="Q494" s="36" t="str">
        <f>IF(AND($X494="change",$H494="EUR"),IF(AND($Z494="Crédit",$N494=$N495),$Q495,IF(AND($Z494="Débit",$N494=$N493),$Q493)),IF(OR(AND(OR($E494&lt;&gt;"",$L494=""),$M494&lt;&gt;0),$A494=""),IFERROR(VLOOKUP($E494,Selection!$E:$F,2,false)),IFERROR(VLOOKUP(SUBSTITUTE($I494,"-","",1),$K495:$Q1119,7,false),VLOOKUP($K494,$K495:$Q1119,7,false))))</f>
        <v/>
      </c>
      <c r="R494" s="34" t="str">
        <f t="shared" si="2"/>
        <v/>
      </c>
      <c r="S494" s="37" t="str">
        <f t="shared" si="3"/>
        <v/>
      </c>
      <c r="T494" s="38" t="str">
        <f t="shared" si="4"/>
        <v/>
      </c>
      <c r="U494" s="28" t="str">
        <f t="shared" si="5"/>
        <v/>
      </c>
      <c r="V494" s="39" t="str">
        <f>IFERROR(__xludf.DUMMYFUNCTION(" IF(Account!$F494&lt;&gt;"""", SPLIT(Account!$F494, "" ""), """")"),"")</f>
        <v/>
      </c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</row>
    <row r="495">
      <c r="A495" s="7"/>
      <c r="B495" s="7"/>
      <c r="C495" s="7"/>
      <c r="D495" s="341"/>
      <c r="E495" s="341"/>
      <c r="F495" s="9"/>
      <c r="G495" s="341"/>
      <c r="H495" s="7"/>
      <c r="I495" s="7"/>
      <c r="J495" s="7"/>
      <c r="K495" s="7"/>
      <c r="L495" s="26" t="str">
        <f t="shared" si="1"/>
        <v/>
      </c>
      <c r="M495" s="28" t="str">
        <f>IFERROR(__xludf.DUMMYFUNCTION("IF(Account!$F495&lt;&gt;"""", VALUE(REGEXREPLACE($I495, ""\,"", ""."")), """")"),"")</f>
        <v/>
      </c>
      <c r="N495" s="31" t="str">
        <f>IF(Account!$F495&lt;&gt;"", DATEVALUE(MID($A495,4,3) &amp; LEFT($A495,3) &amp; RIGHT($A495,4)) + TIMEVALUE($B495), "")</f>
        <v/>
      </c>
      <c r="O495" s="33" t="str">
        <f>IF(Account!$F495&lt;&gt;"", DATEVALUE(MID($A495,4,3) &amp; LEFT($A495,3) &amp; RIGHT($A495,4)), "")</f>
        <v/>
      </c>
      <c r="P495" s="34" t="str">
        <f>IFERROR(VLOOKUP($Q495,Selection!$F:$G,2,false))</f>
        <v/>
      </c>
      <c r="Q495" s="36" t="str">
        <f>IF(AND($X495="change",$H495="EUR"),IF(AND($Z495="Crédit",$N495=$N496),$Q496,IF(AND($Z495="Débit",$N495=$N494),$Q494)),IF(OR(AND(OR($E495&lt;&gt;"",$L495=""),$M495&lt;&gt;0),$A495=""),IFERROR(VLOOKUP($E495,Selection!$E:$F,2,false)),IFERROR(VLOOKUP(SUBSTITUTE($I495,"-","",1),$K496:$Q1119,7,false),VLOOKUP($K495,$K496:$Q1119,7,false))))</f>
        <v/>
      </c>
      <c r="R495" s="34" t="str">
        <f t="shared" si="2"/>
        <v/>
      </c>
      <c r="S495" s="37" t="str">
        <f t="shared" si="3"/>
        <v/>
      </c>
      <c r="T495" s="38" t="str">
        <f t="shared" si="4"/>
        <v/>
      </c>
      <c r="U495" s="28" t="str">
        <f t="shared" si="5"/>
        <v/>
      </c>
      <c r="V495" s="39" t="str">
        <f>IFERROR(__xludf.DUMMYFUNCTION(" IF(Account!$F495&lt;&gt;"""", SPLIT(Account!$F495, "" ""), """")"),"")</f>
        <v/>
      </c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</row>
    <row r="496">
      <c r="A496" s="7"/>
      <c r="B496" s="7"/>
      <c r="C496" s="7"/>
      <c r="D496" s="341"/>
      <c r="E496" s="341"/>
      <c r="F496" s="9"/>
      <c r="G496" s="341"/>
      <c r="H496" s="7"/>
      <c r="I496" s="7"/>
      <c r="J496" s="7"/>
      <c r="K496" s="7"/>
      <c r="L496" s="26" t="str">
        <f t="shared" si="1"/>
        <v/>
      </c>
      <c r="M496" s="28" t="str">
        <f>IFERROR(__xludf.DUMMYFUNCTION("IF(Account!$F496&lt;&gt;"""", VALUE(REGEXREPLACE($I496, ""\,"", ""."")), """")"),"")</f>
        <v/>
      </c>
      <c r="N496" s="31" t="str">
        <f>IF(Account!$F496&lt;&gt;"", DATEVALUE(MID($A496,4,3) &amp; LEFT($A496,3) &amp; RIGHT($A496,4)) + TIMEVALUE($B496), "")</f>
        <v/>
      </c>
      <c r="O496" s="33" t="str">
        <f>IF(Account!$F496&lt;&gt;"", DATEVALUE(MID($A496,4,3) &amp; LEFT($A496,3) &amp; RIGHT($A496,4)), "")</f>
        <v/>
      </c>
      <c r="P496" s="34" t="str">
        <f>IFERROR(VLOOKUP($Q496,Selection!$F:$G,2,false))</f>
        <v/>
      </c>
      <c r="Q496" s="36" t="str">
        <f>IF(AND($X496="change",$H496="EUR"),IF(AND($Z496="Crédit",$N496=$N497),$Q497,IF(AND($Z496="Débit",$N496=$N495),$Q495)),IF(OR(AND(OR($E496&lt;&gt;"",$L496=""),$M496&lt;&gt;0),$A496=""),IFERROR(VLOOKUP($E496,Selection!$E:$F,2,false)),IFERROR(VLOOKUP(SUBSTITUTE($I496,"-","",1),$K497:$Q1119,7,false),VLOOKUP($K496,$K497:$Q1119,7,false))))</f>
        <v/>
      </c>
      <c r="R496" s="34" t="str">
        <f t="shared" si="2"/>
        <v/>
      </c>
      <c r="S496" s="37" t="str">
        <f t="shared" si="3"/>
        <v/>
      </c>
      <c r="T496" s="38" t="str">
        <f t="shared" si="4"/>
        <v/>
      </c>
      <c r="U496" s="28" t="str">
        <f t="shared" si="5"/>
        <v/>
      </c>
      <c r="V496" s="39" t="str">
        <f>IFERROR(__xludf.DUMMYFUNCTION(" IF(Account!$F496&lt;&gt;"""", SPLIT(Account!$F496, "" ""), """")"),"")</f>
        <v/>
      </c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</row>
    <row r="497">
      <c r="A497" s="7"/>
      <c r="B497" s="7"/>
      <c r="C497" s="7"/>
      <c r="D497" s="7"/>
      <c r="E497" s="7"/>
      <c r="F497" s="9"/>
      <c r="G497" s="341"/>
      <c r="H497" s="341"/>
      <c r="I497" s="341"/>
      <c r="J497" s="7"/>
      <c r="K497" s="7"/>
      <c r="L497" s="26" t="str">
        <f t="shared" si="1"/>
        <v/>
      </c>
      <c r="M497" s="28" t="str">
        <f>IFERROR(__xludf.DUMMYFUNCTION("IF(Account!$F497&lt;&gt;"""", VALUE(REGEXREPLACE($I497, ""\,"", ""."")), """")"),"")</f>
        <v/>
      </c>
      <c r="N497" s="31" t="str">
        <f>IF(Account!$F497&lt;&gt;"", DATEVALUE(MID($A497,4,3) &amp; LEFT($A497,3) &amp; RIGHT($A497,4)) + TIMEVALUE($B497), "")</f>
        <v/>
      </c>
      <c r="O497" s="33" t="str">
        <f>IF(Account!$F497&lt;&gt;"", DATEVALUE(MID($A497,4,3) &amp; LEFT($A497,3) &amp; RIGHT($A497,4)), "")</f>
        <v/>
      </c>
      <c r="P497" s="34" t="str">
        <f>IFERROR(VLOOKUP($Q497,Selection!$F:$G,2,false))</f>
        <v/>
      </c>
      <c r="Q497" s="36" t="str">
        <f>IF(AND($X497="change",$H497="EUR"),IF(AND($Z497="Crédit",$N497=$N498),$Q498,IF(AND($Z497="Débit",$N497=$N496),$Q496)),IF(OR(AND(OR($E497&lt;&gt;"",$L497=""),$M497&lt;&gt;0),$A497=""),IFERROR(VLOOKUP($E497,Selection!$E:$F,2,false)),IFERROR(VLOOKUP(SUBSTITUTE($I497,"-","",1),$K498:$Q1119,7,false),VLOOKUP($K497,$K498:$Q1119,7,false))))</f>
        <v/>
      </c>
      <c r="R497" s="34" t="str">
        <f t="shared" si="2"/>
        <v/>
      </c>
      <c r="S497" s="37" t="str">
        <f t="shared" si="3"/>
        <v/>
      </c>
      <c r="T497" s="38" t="str">
        <f t="shared" si="4"/>
        <v/>
      </c>
      <c r="U497" s="28" t="str">
        <f t="shared" si="5"/>
        <v/>
      </c>
      <c r="V497" s="39" t="str">
        <f>IFERROR(__xludf.DUMMYFUNCTION(" IF(Account!$F497&lt;&gt;"""", SPLIT(Account!$F497, "" ""), """")"),"")</f>
        <v/>
      </c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</row>
    <row r="498">
      <c r="A498" s="7"/>
      <c r="B498" s="7"/>
      <c r="C498" s="7"/>
      <c r="D498" s="7"/>
      <c r="E498" s="7"/>
      <c r="F498" s="9"/>
      <c r="G498" s="7"/>
      <c r="H498" s="7"/>
      <c r="I498" s="7"/>
      <c r="J498" s="7"/>
      <c r="K498" s="7"/>
      <c r="L498" s="26" t="str">
        <f t="shared" si="1"/>
        <v/>
      </c>
      <c r="M498" s="28" t="str">
        <f>IFERROR(__xludf.DUMMYFUNCTION("IF(Account!$F498&lt;&gt;"""", VALUE(REGEXREPLACE($I498, ""\,"", ""."")), """")"),"")</f>
        <v/>
      </c>
      <c r="N498" s="31" t="str">
        <f>IF(Account!$F498&lt;&gt;"", DATEVALUE(MID($A498,4,3) &amp; LEFT($A498,3) &amp; RIGHT($A498,4)) + TIMEVALUE($B498), "")</f>
        <v/>
      </c>
      <c r="O498" s="33" t="str">
        <f>IF(Account!$F498&lt;&gt;"", DATEVALUE(MID($A498,4,3) &amp; LEFT($A498,3) &amp; RIGHT($A498,4)), "")</f>
        <v/>
      </c>
      <c r="P498" s="34" t="str">
        <f>IFERROR(VLOOKUP($Q498,Selection!$F:$G,2,false))</f>
        <v/>
      </c>
      <c r="Q498" s="36" t="str">
        <f>IF(AND($X498="change",$H498="EUR"),IF(AND($Z498="Crédit",$N498=$N499),$Q499,IF(AND($Z498="Débit",$N498=$N497),$Q497)),IF(OR(AND(OR($E498&lt;&gt;"",$L498=""),$M498&lt;&gt;0),$A498=""),IFERROR(VLOOKUP($E498,Selection!$E:$F,2,false)),IFERROR(VLOOKUP(SUBSTITUTE($I498,"-","",1),$K499:$Q1119,7,false),VLOOKUP($K498,$K499:$Q1119,7,false))))</f>
        <v/>
      </c>
      <c r="R498" s="34" t="str">
        <f t="shared" si="2"/>
        <v/>
      </c>
      <c r="S498" s="37" t="str">
        <f t="shared" si="3"/>
        <v/>
      </c>
      <c r="T498" s="38" t="str">
        <f t="shared" si="4"/>
        <v/>
      </c>
      <c r="U498" s="28" t="str">
        <f t="shared" si="5"/>
        <v/>
      </c>
      <c r="V498" s="39" t="str">
        <f>IFERROR(__xludf.DUMMYFUNCTION(" IF(Account!$F498&lt;&gt;"""", SPLIT(Account!$F498, "" ""), """")"),"")</f>
        <v/>
      </c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</row>
    <row r="499">
      <c r="A499" s="7"/>
      <c r="B499" s="7"/>
      <c r="C499" s="7"/>
      <c r="D499" s="7"/>
      <c r="E499" s="7"/>
      <c r="F499" s="9"/>
      <c r="G499" s="341"/>
      <c r="H499" s="7"/>
      <c r="I499" s="7"/>
      <c r="J499" s="7"/>
      <c r="K499" s="7"/>
      <c r="L499" s="26" t="str">
        <f t="shared" si="1"/>
        <v/>
      </c>
      <c r="M499" s="28" t="str">
        <f>IFERROR(__xludf.DUMMYFUNCTION("IF(Account!$F499&lt;&gt;"""", VALUE(REGEXREPLACE($I499, ""\,"", ""."")), """")"),"")</f>
        <v/>
      </c>
      <c r="N499" s="31" t="str">
        <f>IF(Account!$F499&lt;&gt;"", DATEVALUE(MID($A499,4,3) &amp; LEFT($A499,3) &amp; RIGHT($A499,4)) + TIMEVALUE($B499), "")</f>
        <v/>
      </c>
      <c r="O499" s="33" t="str">
        <f>IF(Account!$F499&lt;&gt;"", DATEVALUE(MID($A499,4,3) &amp; LEFT($A499,3) &amp; RIGHT($A499,4)), "")</f>
        <v/>
      </c>
      <c r="P499" s="34" t="str">
        <f>IFERROR(VLOOKUP($Q499,Selection!$F:$G,2,false))</f>
        <v/>
      </c>
      <c r="Q499" s="36" t="str">
        <f>IF(AND($X499="change",$H499="EUR"),IF(AND($Z499="Crédit",$N499=$N500),$Q500,IF(AND($Z499="Débit",$N499=$N498),$Q498)),IF(OR(AND(OR($E499&lt;&gt;"",$L499=""),$M499&lt;&gt;0),$A499=""),IFERROR(VLOOKUP($E499,Selection!$E:$F,2,false)),IFERROR(VLOOKUP(SUBSTITUTE($I499,"-","",1),$K500:$Q1119,7,false),VLOOKUP($K499,$K500:$Q1119,7,false))))</f>
        <v/>
      </c>
      <c r="R499" s="34" t="str">
        <f t="shared" si="2"/>
        <v/>
      </c>
      <c r="S499" s="37" t="str">
        <f t="shared" si="3"/>
        <v/>
      </c>
      <c r="T499" s="38" t="str">
        <f t="shared" si="4"/>
        <v/>
      </c>
      <c r="U499" s="28" t="str">
        <f t="shared" si="5"/>
        <v/>
      </c>
      <c r="V499" s="39" t="str">
        <f>IFERROR(__xludf.DUMMYFUNCTION(" IF(Account!$F499&lt;&gt;"""", SPLIT(Account!$F499, "" ""), """")"),"")</f>
        <v/>
      </c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</row>
    <row r="500">
      <c r="A500" s="7"/>
      <c r="B500" s="7"/>
      <c r="C500" s="7"/>
      <c r="D500" s="7"/>
      <c r="E500" s="7"/>
      <c r="F500" s="9"/>
      <c r="G500" s="7"/>
      <c r="H500" s="7"/>
      <c r="I500" s="7"/>
      <c r="J500" s="7"/>
      <c r="K500" s="7"/>
      <c r="L500" s="26" t="str">
        <f t="shared" si="1"/>
        <v/>
      </c>
      <c r="M500" s="28" t="str">
        <f>IFERROR(__xludf.DUMMYFUNCTION("IF(Account!$F500&lt;&gt;"""", VALUE(REGEXREPLACE($I500, ""\,"", ""."")), """")"),"")</f>
        <v/>
      </c>
      <c r="N500" s="31" t="str">
        <f>IF(Account!$F500&lt;&gt;"", DATEVALUE(MID($A500,4,3) &amp; LEFT($A500,3) &amp; RIGHT($A500,4)) + TIMEVALUE($B500), "")</f>
        <v/>
      </c>
      <c r="O500" s="33" t="str">
        <f>IF(Account!$F500&lt;&gt;"", DATEVALUE(MID($A500,4,3) &amp; LEFT($A500,3) &amp; RIGHT($A500,4)), "")</f>
        <v/>
      </c>
      <c r="P500" s="34" t="str">
        <f>IFERROR(VLOOKUP($Q500,Selection!$F:$G,2,false))</f>
        <v/>
      </c>
      <c r="Q500" s="36" t="str">
        <f>IF(AND($X500="change",$H500="EUR"),IF(AND($Z500="Crédit",$N500=$N501),$Q501,IF(AND($Z500="Débit",$N500=$N499),$Q499)),IF(OR(AND(OR($E500&lt;&gt;"",$L500=""),$M500&lt;&gt;0),$A500=""),IFERROR(VLOOKUP($E500,Selection!$E:$F,2,false)),IFERROR(VLOOKUP(SUBSTITUTE($I500,"-","",1),$K501:$Q1119,7,false),VLOOKUP($K500,$K501:$Q1119,7,false))))</f>
        <v/>
      </c>
      <c r="R500" s="34" t="str">
        <f t="shared" si="2"/>
        <v/>
      </c>
      <c r="S500" s="37" t="str">
        <f t="shared" si="3"/>
        <v/>
      </c>
      <c r="T500" s="38" t="str">
        <f t="shared" si="4"/>
        <v/>
      </c>
      <c r="U500" s="28" t="str">
        <f t="shared" si="5"/>
        <v/>
      </c>
      <c r="V500" s="39" t="str">
        <f>IFERROR(__xludf.DUMMYFUNCTION(" IF(Account!$F500&lt;&gt;"""", SPLIT(Account!$F500, "" ""), """")"),"")</f>
        <v/>
      </c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</row>
    <row r="501">
      <c r="A501" s="7"/>
      <c r="B501" s="7"/>
      <c r="C501" s="7"/>
      <c r="D501" s="7"/>
      <c r="E501" s="7"/>
      <c r="F501" s="9"/>
      <c r="G501" s="341"/>
      <c r="H501" s="7"/>
      <c r="I501" s="7"/>
      <c r="J501" s="7"/>
      <c r="K501" s="7"/>
      <c r="L501" s="26" t="str">
        <f t="shared" si="1"/>
        <v/>
      </c>
      <c r="M501" s="28" t="str">
        <f>IFERROR(__xludf.DUMMYFUNCTION("IF(Account!$F501&lt;&gt;"""", VALUE(REGEXREPLACE($I501, ""\,"", ""."")), """")"),"")</f>
        <v/>
      </c>
      <c r="N501" s="31" t="str">
        <f>IF(Account!$F501&lt;&gt;"", DATEVALUE(MID($A501,4,3) &amp; LEFT($A501,3) &amp; RIGHT($A501,4)) + TIMEVALUE($B501), "")</f>
        <v/>
      </c>
      <c r="O501" s="33" t="str">
        <f>IF(Account!$F501&lt;&gt;"", DATEVALUE(MID($A501,4,3) &amp; LEFT($A501,3) &amp; RIGHT($A501,4)), "")</f>
        <v/>
      </c>
      <c r="P501" s="34" t="str">
        <f>IFERROR(VLOOKUP($Q501,Selection!$F:$G,2,false))</f>
        <v/>
      </c>
      <c r="Q501" s="36" t="str">
        <f>IF(AND($X501="change",$H501="EUR"),IF(AND($Z501="Crédit",$N501=$N502),$Q502,IF(AND($Z501="Débit",$N501=$N500),$Q500)),IF(OR(AND(OR($E501&lt;&gt;"",$L501=""),$M501&lt;&gt;0),$A501=""),IFERROR(VLOOKUP($E501,Selection!$E:$F,2,false)),IFERROR(VLOOKUP(SUBSTITUTE($I501,"-","",1),$K502:$Q1119,7,false),VLOOKUP($K501,$K502:$Q1119,7,false))))</f>
        <v/>
      </c>
      <c r="R501" s="34" t="str">
        <f t="shared" si="2"/>
        <v/>
      </c>
      <c r="S501" s="37" t="str">
        <f t="shared" si="3"/>
        <v/>
      </c>
      <c r="T501" s="38" t="str">
        <f t="shared" si="4"/>
        <v/>
      </c>
      <c r="U501" s="28" t="str">
        <f t="shared" si="5"/>
        <v/>
      </c>
      <c r="V501" s="39" t="str">
        <f>IFERROR(__xludf.DUMMYFUNCTION(" IF(Account!$F501&lt;&gt;"""", SPLIT(Account!$F501, "" ""), """")"),"")</f>
        <v/>
      </c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</row>
    <row r="502">
      <c r="A502" s="7"/>
      <c r="B502" s="7"/>
      <c r="C502" s="7"/>
      <c r="D502" s="7"/>
      <c r="E502" s="7"/>
      <c r="F502" s="9"/>
      <c r="G502" s="341"/>
      <c r="H502" s="7"/>
      <c r="I502" s="7"/>
      <c r="J502" s="7"/>
      <c r="K502" s="7"/>
      <c r="L502" s="26" t="str">
        <f t="shared" si="1"/>
        <v/>
      </c>
      <c r="M502" s="28" t="str">
        <f>IFERROR(__xludf.DUMMYFUNCTION("IF(Account!$F502&lt;&gt;"""", VALUE(REGEXREPLACE($I502, ""\,"", ""."")), """")"),"")</f>
        <v/>
      </c>
      <c r="N502" s="31" t="str">
        <f>IF(Account!$F502&lt;&gt;"", DATEVALUE(MID($A502,4,3) &amp; LEFT($A502,3) &amp; RIGHT($A502,4)) + TIMEVALUE($B502), "")</f>
        <v/>
      </c>
      <c r="O502" s="33" t="str">
        <f>IF(Account!$F502&lt;&gt;"", DATEVALUE(MID($A502,4,3) &amp; LEFT($A502,3) &amp; RIGHT($A502,4)), "")</f>
        <v/>
      </c>
      <c r="P502" s="34" t="str">
        <f>IFERROR(VLOOKUP($Q502,Selection!$F:$G,2,false))</f>
        <v/>
      </c>
      <c r="Q502" s="36" t="str">
        <f>IF(AND($X502="change",$H502="EUR"),IF(AND($Z502="Crédit",$N502=$N503),$Q503,IF(AND($Z502="Débit",$N502=$N501),$Q501)),IF(OR(AND(OR($E502&lt;&gt;"",$L502=""),$M502&lt;&gt;0),$A502=""),IFERROR(VLOOKUP($E502,Selection!$E:$F,2,false)),IFERROR(VLOOKUP(SUBSTITUTE($I502,"-","",1),$K503:$Q1119,7,false),VLOOKUP($K502,$K503:$Q1119,7,false))))</f>
        <v/>
      </c>
      <c r="R502" s="34" t="str">
        <f t="shared" si="2"/>
        <v/>
      </c>
      <c r="S502" s="37" t="str">
        <f t="shared" si="3"/>
        <v/>
      </c>
      <c r="T502" s="38" t="str">
        <f t="shared" si="4"/>
        <v/>
      </c>
      <c r="U502" s="28" t="str">
        <f t="shared" si="5"/>
        <v/>
      </c>
      <c r="V502" s="39" t="str">
        <f>IFERROR(__xludf.DUMMYFUNCTION(" IF(Account!$F502&lt;&gt;"""", SPLIT(Account!$F502, "" ""), """")"),"")</f>
        <v/>
      </c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</row>
    <row r="503">
      <c r="A503" s="7"/>
      <c r="B503" s="7"/>
      <c r="C503" s="7"/>
      <c r="D503" s="7"/>
      <c r="E503" s="7"/>
      <c r="F503" s="9"/>
      <c r="G503" s="341"/>
      <c r="H503" s="7"/>
      <c r="I503" s="7"/>
      <c r="J503" s="7"/>
      <c r="K503" s="7"/>
      <c r="L503" s="26" t="str">
        <f t="shared" si="1"/>
        <v/>
      </c>
      <c r="M503" s="28" t="str">
        <f>IFERROR(__xludf.DUMMYFUNCTION("IF(Account!$F503&lt;&gt;"""", VALUE(REGEXREPLACE($I503, ""\,"", ""."")), """")"),"")</f>
        <v/>
      </c>
      <c r="N503" s="31" t="str">
        <f>IF(Account!$F503&lt;&gt;"", DATEVALUE(MID($A503,4,3) &amp; LEFT($A503,3) &amp; RIGHT($A503,4)) + TIMEVALUE($B503), "")</f>
        <v/>
      </c>
      <c r="O503" s="33" t="str">
        <f>IF(Account!$F503&lt;&gt;"", DATEVALUE(MID($A503,4,3) &amp; LEFT($A503,3) &amp; RIGHT($A503,4)), "")</f>
        <v/>
      </c>
      <c r="P503" s="34" t="str">
        <f>IFERROR(VLOOKUP($Q503,Selection!$F:$G,2,false))</f>
        <v/>
      </c>
      <c r="Q503" s="36" t="str">
        <f>IF(AND($X503="change",$H503="EUR"),IF(AND($Z503="Crédit",$N503=$N504),$Q504,IF(AND($Z503="Débit",$N503=$N502),$Q502)),IF(OR(AND(OR($E503&lt;&gt;"",$L503=""),$M503&lt;&gt;0),$A503=""),IFERROR(VLOOKUP($E503,Selection!$E:$F,2,false)),IFERROR(VLOOKUP(SUBSTITUTE($I503,"-","",1),$K504:$Q1119,7,false),VLOOKUP($K503,$K504:$Q1119,7,false))))</f>
        <v/>
      </c>
      <c r="R503" s="34" t="str">
        <f t="shared" si="2"/>
        <v/>
      </c>
      <c r="S503" s="37" t="str">
        <f t="shared" si="3"/>
        <v/>
      </c>
      <c r="T503" s="38" t="str">
        <f t="shared" si="4"/>
        <v/>
      </c>
      <c r="U503" s="28" t="str">
        <f t="shared" si="5"/>
        <v/>
      </c>
      <c r="V503" s="39" t="str">
        <f>IFERROR(__xludf.DUMMYFUNCTION(" IF(Account!$F503&lt;&gt;"""", SPLIT(Account!$F503, "" ""), """")"),"")</f>
        <v/>
      </c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</row>
    <row r="504">
      <c r="A504" s="7"/>
      <c r="B504" s="7"/>
      <c r="C504" s="7"/>
      <c r="D504" s="7"/>
      <c r="E504" s="7"/>
      <c r="F504" s="9"/>
      <c r="G504" s="7"/>
      <c r="H504" s="7"/>
      <c r="I504" s="7"/>
      <c r="J504" s="7"/>
      <c r="K504" s="7"/>
      <c r="L504" s="26" t="str">
        <f t="shared" si="1"/>
        <v/>
      </c>
      <c r="M504" s="28" t="str">
        <f>IFERROR(__xludf.DUMMYFUNCTION("IF(Account!$F504&lt;&gt;"""", VALUE(REGEXREPLACE($I504, ""\,"", ""."")), """")"),"")</f>
        <v/>
      </c>
      <c r="N504" s="31" t="str">
        <f>IF(Account!$F504&lt;&gt;"", DATEVALUE(MID($A504,4,3) &amp; LEFT($A504,3) &amp; RIGHT($A504,4)) + TIMEVALUE($B504), "")</f>
        <v/>
      </c>
      <c r="O504" s="33" t="str">
        <f>IF(Account!$F504&lt;&gt;"", DATEVALUE(MID($A504,4,3) &amp; LEFT($A504,3) &amp; RIGHT($A504,4)), "")</f>
        <v/>
      </c>
      <c r="P504" s="34" t="str">
        <f>IFERROR(VLOOKUP($Q504,Selection!$F:$G,2,false))</f>
        <v/>
      </c>
      <c r="Q504" s="36" t="str">
        <f>IF(AND($X504="change",$H504="EUR"),IF(AND($Z504="Crédit",$N504=$N505),$Q505,IF(AND($Z504="Débit",$N504=$N503),$Q503)),IF(OR(AND(OR($E504&lt;&gt;"",$L504=""),$M504&lt;&gt;0),$A504=""),IFERROR(VLOOKUP($E504,Selection!$E:$F,2,false)),IFERROR(VLOOKUP(SUBSTITUTE($I504,"-","",1),$K505:$Q1119,7,false),VLOOKUP($K504,$K505:$Q1119,7,false))))</f>
        <v/>
      </c>
      <c r="R504" s="34" t="str">
        <f t="shared" si="2"/>
        <v/>
      </c>
      <c r="S504" s="37" t="str">
        <f t="shared" si="3"/>
        <v/>
      </c>
      <c r="T504" s="38" t="str">
        <f t="shared" si="4"/>
        <v/>
      </c>
      <c r="U504" s="28" t="str">
        <f t="shared" si="5"/>
        <v/>
      </c>
      <c r="V504" s="39" t="str">
        <f>IFERROR(__xludf.DUMMYFUNCTION(" IF(Account!$F504&lt;&gt;"""", SPLIT(Account!$F504, "" ""), """")"),"")</f>
        <v/>
      </c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</row>
    <row r="505">
      <c r="A505" s="7"/>
      <c r="B505" s="7"/>
      <c r="C505" s="7"/>
      <c r="D505" s="7"/>
      <c r="E505" s="7"/>
      <c r="F505" s="9"/>
      <c r="G505" s="341"/>
      <c r="H505" s="7"/>
      <c r="I505" s="7"/>
      <c r="J505" s="7"/>
      <c r="K505" s="7"/>
      <c r="L505" s="26" t="str">
        <f t="shared" si="1"/>
        <v/>
      </c>
      <c r="M505" s="28" t="str">
        <f>IFERROR(__xludf.DUMMYFUNCTION("IF(Account!$F505&lt;&gt;"""", VALUE(REGEXREPLACE($I505, ""\,"", ""."")), """")"),"")</f>
        <v/>
      </c>
      <c r="N505" s="31" t="str">
        <f>IF(Account!$F505&lt;&gt;"", DATEVALUE(MID($A505,4,3) &amp; LEFT($A505,3) &amp; RIGHT($A505,4)) + TIMEVALUE($B505), "")</f>
        <v/>
      </c>
      <c r="O505" s="33" t="str">
        <f>IF(Account!$F505&lt;&gt;"", DATEVALUE(MID($A505,4,3) &amp; LEFT($A505,3) &amp; RIGHT($A505,4)), "")</f>
        <v/>
      </c>
      <c r="P505" s="34" t="str">
        <f>IFERROR(VLOOKUP($Q505,Selection!$F:$G,2,false))</f>
        <v/>
      </c>
      <c r="Q505" s="36" t="str">
        <f>IF(AND($X505="change",$H505="EUR"),IF(AND($Z505="Crédit",$N505=$N506),$Q506,IF(AND($Z505="Débit",$N505=$N504),$Q504)),IF(OR(AND(OR($E505&lt;&gt;"",$L505=""),$M505&lt;&gt;0),$A505=""),IFERROR(VLOOKUP($E505,Selection!$E:$F,2,false)),IFERROR(VLOOKUP(SUBSTITUTE($I505,"-","",1),$K506:$Q1119,7,false),VLOOKUP($K505,$K506:$Q1119,7,false))))</f>
        <v/>
      </c>
      <c r="R505" s="34" t="str">
        <f t="shared" si="2"/>
        <v/>
      </c>
      <c r="S505" s="37" t="str">
        <f t="shared" si="3"/>
        <v/>
      </c>
      <c r="T505" s="38" t="str">
        <f t="shared" si="4"/>
        <v/>
      </c>
      <c r="U505" s="28" t="str">
        <f t="shared" si="5"/>
        <v/>
      </c>
      <c r="V505" s="39" t="str">
        <f>IFERROR(__xludf.DUMMYFUNCTION(" IF(Account!$F505&lt;&gt;"""", SPLIT(Account!$F505, "" ""), """")"),"")</f>
        <v/>
      </c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</row>
    <row r="506">
      <c r="A506" s="7"/>
      <c r="B506" s="7"/>
      <c r="C506" s="7"/>
      <c r="D506" s="7"/>
      <c r="E506" s="7"/>
      <c r="F506" s="9"/>
      <c r="G506" s="7"/>
      <c r="H506" s="7"/>
      <c r="I506" s="7"/>
      <c r="J506" s="7"/>
      <c r="K506" s="7"/>
      <c r="L506" s="26" t="str">
        <f t="shared" si="1"/>
        <v/>
      </c>
      <c r="M506" s="28" t="str">
        <f>IFERROR(__xludf.DUMMYFUNCTION("IF(Account!$F506&lt;&gt;"""", VALUE(REGEXREPLACE($I506, ""\,"", ""."")), """")"),"")</f>
        <v/>
      </c>
      <c r="N506" s="31" t="str">
        <f>IF(Account!$F506&lt;&gt;"", DATEVALUE(MID($A506,4,3) &amp; LEFT($A506,3) &amp; RIGHT($A506,4)) + TIMEVALUE($B506), "")</f>
        <v/>
      </c>
      <c r="O506" s="33" t="str">
        <f>IF(Account!$F506&lt;&gt;"", DATEVALUE(MID($A506,4,3) &amp; LEFT($A506,3) &amp; RIGHT($A506,4)), "")</f>
        <v/>
      </c>
      <c r="P506" s="34" t="str">
        <f>IFERROR(VLOOKUP($Q506,Selection!$F:$G,2,false))</f>
        <v/>
      </c>
      <c r="Q506" s="36" t="str">
        <f>IF(AND($X506="change",$H506="EUR"),IF(AND($Z506="Crédit",$N506=$N507),$Q507,IF(AND($Z506="Débit",$N506=$N505),$Q505)),IF(OR(AND(OR($E506&lt;&gt;"",$L506=""),$M506&lt;&gt;0),$A506=""),IFERROR(VLOOKUP($E506,Selection!$E:$F,2,false)),IFERROR(VLOOKUP(SUBSTITUTE($I506,"-","",1),$K507:$Q1119,7,false),VLOOKUP($K506,$K507:$Q1119,7,false))))</f>
        <v/>
      </c>
      <c r="R506" s="34" t="str">
        <f t="shared" si="2"/>
        <v/>
      </c>
      <c r="S506" s="37" t="str">
        <f t="shared" si="3"/>
        <v/>
      </c>
      <c r="T506" s="38" t="str">
        <f t="shared" si="4"/>
        <v/>
      </c>
      <c r="U506" s="28" t="str">
        <f t="shared" si="5"/>
        <v/>
      </c>
      <c r="V506" s="39" t="str">
        <f>IFERROR(__xludf.DUMMYFUNCTION(" IF(Account!$F506&lt;&gt;"""", SPLIT(Account!$F506, "" ""), """")"),"")</f>
        <v/>
      </c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</row>
    <row r="507">
      <c r="A507" s="7"/>
      <c r="B507" s="7"/>
      <c r="C507" s="7"/>
      <c r="D507" s="7"/>
      <c r="E507" s="7"/>
      <c r="F507" s="9"/>
      <c r="G507" s="341"/>
      <c r="H507" s="7"/>
      <c r="I507" s="7"/>
      <c r="J507" s="7"/>
      <c r="K507" s="7"/>
      <c r="L507" s="26" t="str">
        <f t="shared" si="1"/>
        <v/>
      </c>
      <c r="M507" s="28" t="str">
        <f>IFERROR(__xludf.DUMMYFUNCTION("IF(Account!$F507&lt;&gt;"""", VALUE(REGEXREPLACE($I507, ""\,"", ""."")), """")"),"")</f>
        <v/>
      </c>
      <c r="N507" s="31" t="str">
        <f>IF(Account!$F507&lt;&gt;"", DATEVALUE(MID($A507,4,3) &amp; LEFT($A507,3) &amp; RIGHT($A507,4)) + TIMEVALUE($B507), "")</f>
        <v/>
      </c>
      <c r="O507" s="33" t="str">
        <f>IF(Account!$F507&lt;&gt;"", DATEVALUE(MID($A507,4,3) &amp; LEFT($A507,3) &amp; RIGHT($A507,4)), "")</f>
        <v/>
      </c>
      <c r="P507" s="34" t="str">
        <f>IFERROR(VLOOKUP($Q507,Selection!$F:$G,2,false))</f>
        <v/>
      </c>
      <c r="Q507" s="36" t="str">
        <f>IF(AND($X507="change",$H507="EUR"),IF(AND($Z507="Crédit",$N507=$N508),$Q508,IF(AND($Z507="Débit",$N507=$N506),$Q506)),IF(OR(AND(OR($E507&lt;&gt;"",$L507=""),$M507&lt;&gt;0),$A507=""),IFERROR(VLOOKUP($E507,Selection!$E:$F,2,false)),IFERROR(VLOOKUP(SUBSTITUTE($I507,"-","",1),$K508:$Q1119,7,false),VLOOKUP($K507,$K508:$Q1119,7,false))))</f>
        <v/>
      </c>
      <c r="R507" s="34" t="str">
        <f t="shared" si="2"/>
        <v/>
      </c>
      <c r="S507" s="37" t="str">
        <f t="shared" si="3"/>
        <v/>
      </c>
      <c r="T507" s="38" t="str">
        <f t="shared" si="4"/>
        <v/>
      </c>
      <c r="U507" s="28" t="str">
        <f t="shared" si="5"/>
        <v/>
      </c>
      <c r="V507" s="39" t="str">
        <f>IFERROR(__xludf.DUMMYFUNCTION(" IF(Account!$F507&lt;&gt;"""", SPLIT(Account!$F507, "" ""), """")"),"")</f>
        <v/>
      </c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</row>
    <row r="508">
      <c r="A508" s="7"/>
      <c r="B508" s="7"/>
      <c r="C508" s="7"/>
      <c r="D508" s="7"/>
      <c r="E508" s="7"/>
      <c r="F508" s="9"/>
      <c r="G508" s="341"/>
      <c r="H508" s="7"/>
      <c r="I508" s="7"/>
      <c r="J508" s="7"/>
      <c r="K508" s="7"/>
      <c r="L508" s="26" t="str">
        <f t="shared" si="1"/>
        <v/>
      </c>
      <c r="M508" s="28" t="str">
        <f>IFERROR(__xludf.DUMMYFUNCTION("IF(Account!$F508&lt;&gt;"""", VALUE(REGEXREPLACE($I508, ""\,"", ""."")), """")"),"")</f>
        <v/>
      </c>
      <c r="N508" s="31" t="str">
        <f>IF(Account!$F508&lt;&gt;"", DATEVALUE(MID($A508,4,3) &amp; LEFT($A508,3) &amp; RIGHT($A508,4)) + TIMEVALUE($B508), "")</f>
        <v/>
      </c>
      <c r="O508" s="33" t="str">
        <f>IF(Account!$F508&lt;&gt;"", DATEVALUE(MID($A508,4,3) &amp; LEFT($A508,3) &amp; RIGHT($A508,4)), "")</f>
        <v/>
      </c>
      <c r="P508" s="34" t="str">
        <f>IFERROR(VLOOKUP($Q508,Selection!$F:$G,2,false))</f>
        <v/>
      </c>
      <c r="Q508" s="36" t="str">
        <f>IF(AND($X508="change",$H508="EUR"),IF(AND($Z508="Crédit",$N508=$N509),$Q509,IF(AND($Z508="Débit",$N508=$N507),$Q507)),IF(OR(AND(OR($E508&lt;&gt;"",$L508=""),$M508&lt;&gt;0),$A508=""),IFERROR(VLOOKUP($E508,Selection!$E:$F,2,false)),IFERROR(VLOOKUP(SUBSTITUTE($I508,"-","",1),$K509:$Q1119,7,false),VLOOKUP($K508,$K509:$Q1119,7,false))))</f>
        <v/>
      </c>
      <c r="R508" s="34" t="str">
        <f t="shared" si="2"/>
        <v/>
      </c>
      <c r="S508" s="37" t="str">
        <f t="shared" si="3"/>
        <v/>
      </c>
      <c r="T508" s="38" t="str">
        <f t="shared" si="4"/>
        <v/>
      </c>
      <c r="U508" s="28" t="str">
        <f t="shared" si="5"/>
        <v/>
      </c>
      <c r="V508" s="39" t="str">
        <f>IFERROR(__xludf.DUMMYFUNCTION(" IF(Account!$F508&lt;&gt;"""", SPLIT(Account!$F508, "" ""), """")"),"")</f>
        <v/>
      </c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</row>
    <row r="509">
      <c r="A509" s="7"/>
      <c r="B509" s="7"/>
      <c r="C509" s="7"/>
      <c r="D509" s="7"/>
      <c r="E509" s="7"/>
      <c r="F509" s="9"/>
      <c r="G509" s="341"/>
      <c r="H509" s="7"/>
      <c r="I509" s="7"/>
      <c r="J509" s="7"/>
      <c r="K509" s="7"/>
      <c r="L509" s="26" t="str">
        <f t="shared" si="1"/>
        <v/>
      </c>
      <c r="M509" s="28" t="str">
        <f>IFERROR(__xludf.DUMMYFUNCTION("IF(Account!$F509&lt;&gt;"""", VALUE(REGEXREPLACE($I509, ""\,"", ""."")), """")"),"")</f>
        <v/>
      </c>
      <c r="N509" s="31" t="str">
        <f>IF(Account!$F509&lt;&gt;"", DATEVALUE(MID($A509,4,3) &amp; LEFT($A509,3) &amp; RIGHT($A509,4)) + TIMEVALUE($B509), "")</f>
        <v/>
      </c>
      <c r="O509" s="33" t="str">
        <f>IF(Account!$F509&lt;&gt;"", DATEVALUE(MID($A509,4,3) &amp; LEFT($A509,3) &amp; RIGHT($A509,4)), "")</f>
        <v/>
      </c>
      <c r="P509" s="34" t="str">
        <f>IFERROR(VLOOKUP($Q509,Selection!$F:$G,2,false))</f>
        <v/>
      </c>
      <c r="Q509" s="36" t="str">
        <f>IF(AND($X509="change",$H509="EUR"),IF(AND($Z509="Crédit",$N509=$N510),$Q510,IF(AND($Z509="Débit",$N509=$N508),$Q508)),IF(OR(AND(OR($E509&lt;&gt;"",$L509=""),$M509&lt;&gt;0),$A509=""),IFERROR(VLOOKUP($E509,Selection!$E:$F,2,false)),IFERROR(VLOOKUP(SUBSTITUTE($I509,"-","",1),$K510:$Q1119,7,false),VLOOKUP($K509,$K510:$Q1119,7,false))))</f>
        <v/>
      </c>
      <c r="R509" s="34" t="str">
        <f t="shared" si="2"/>
        <v/>
      </c>
      <c r="S509" s="37" t="str">
        <f t="shared" si="3"/>
        <v/>
      </c>
      <c r="T509" s="38" t="str">
        <f t="shared" si="4"/>
        <v/>
      </c>
      <c r="U509" s="28" t="str">
        <f t="shared" si="5"/>
        <v/>
      </c>
      <c r="V509" s="39" t="str">
        <f>IFERROR(__xludf.DUMMYFUNCTION(" IF(Account!$F509&lt;&gt;"""", SPLIT(Account!$F509, "" ""), """")"),"")</f>
        <v/>
      </c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</row>
    <row r="510">
      <c r="A510" s="7"/>
      <c r="B510" s="7"/>
      <c r="C510" s="7"/>
      <c r="D510" s="7"/>
      <c r="E510" s="7"/>
      <c r="F510" s="9"/>
      <c r="G510" s="7"/>
      <c r="H510" s="7"/>
      <c r="I510" s="7"/>
      <c r="J510" s="7"/>
      <c r="K510" s="7"/>
      <c r="L510" s="26" t="str">
        <f t="shared" si="1"/>
        <v/>
      </c>
      <c r="M510" s="28" t="str">
        <f>IFERROR(__xludf.DUMMYFUNCTION("IF(Account!$F510&lt;&gt;"""", VALUE(REGEXREPLACE($I510, ""\,"", ""."")), """")"),"")</f>
        <v/>
      </c>
      <c r="N510" s="31" t="str">
        <f>IF(Account!$F510&lt;&gt;"", DATEVALUE(MID($A510,4,3) &amp; LEFT($A510,3) &amp; RIGHT($A510,4)) + TIMEVALUE($B510), "")</f>
        <v/>
      </c>
      <c r="O510" s="33" t="str">
        <f>IF(Account!$F510&lt;&gt;"", DATEVALUE(MID($A510,4,3) &amp; LEFT($A510,3) &amp; RIGHT($A510,4)), "")</f>
        <v/>
      </c>
      <c r="P510" s="34" t="str">
        <f>IFERROR(VLOOKUP($Q510,Selection!$F:$G,2,false))</f>
        <v/>
      </c>
      <c r="Q510" s="36" t="str">
        <f>IF(AND($X510="change",$H510="EUR"),IF(AND($Z510="Crédit",$N510=$N511),$Q511,IF(AND($Z510="Débit",$N510=$N509),$Q509)),IF(OR(AND(OR($E510&lt;&gt;"",$L510=""),$M510&lt;&gt;0),$A510=""),IFERROR(VLOOKUP($E510,Selection!$E:$F,2,false)),IFERROR(VLOOKUP(SUBSTITUTE($I510,"-","",1),$K511:$Q1119,7,false),VLOOKUP($K510,$K511:$Q1119,7,false))))</f>
        <v/>
      </c>
      <c r="R510" s="34" t="str">
        <f t="shared" si="2"/>
        <v/>
      </c>
      <c r="S510" s="37" t="str">
        <f t="shared" si="3"/>
        <v/>
      </c>
      <c r="T510" s="38" t="str">
        <f t="shared" si="4"/>
        <v/>
      </c>
      <c r="U510" s="28" t="str">
        <f t="shared" si="5"/>
        <v/>
      </c>
      <c r="V510" s="39" t="str">
        <f>IFERROR(__xludf.DUMMYFUNCTION(" IF(Account!$F510&lt;&gt;"""", SPLIT(Account!$F510, "" ""), """")"),"")</f>
        <v/>
      </c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</row>
    <row r="511">
      <c r="A511" s="7"/>
      <c r="B511" s="7"/>
      <c r="C511" s="7"/>
      <c r="D511" s="7"/>
      <c r="E511" s="7"/>
      <c r="F511" s="9"/>
      <c r="G511" s="341"/>
      <c r="H511" s="7"/>
      <c r="I511" s="7"/>
      <c r="J511" s="7"/>
      <c r="K511" s="7"/>
      <c r="L511" s="26" t="str">
        <f t="shared" si="1"/>
        <v/>
      </c>
      <c r="M511" s="28" t="str">
        <f>IFERROR(__xludf.DUMMYFUNCTION("IF(Account!$F511&lt;&gt;"""", VALUE(REGEXREPLACE($I511, ""\,"", ""."")), """")"),"")</f>
        <v/>
      </c>
      <c r="N511" s="31" t="str">
        <f>IF(Account!$F511&lt;&gt;"", DATEVALUE(MID($A511,4,3) &amp; LEFT($A511,3) &amp; RIGHT($A511,4)) + TIMEVALUE($B511), "")</f>
        <v/>
      </c>
      <c r="O511" s="33" t="str">
        <f>IF(Account!$F511&lt;&gt;"", DATEVALUE(MID($A511,4,3) &amp; LEFT($A511,3) &amp; RIGHT($A511,4)), "")</f>
        <v/>
      </c>
      <c r="P511" s="34" t="str">
        <f>IFERROR(VLOOKUP($Q511,Selection!$F:$G,2,false))</f>
        <v/>
      </c>
      <c r="Q511" s="36" t="str">
        <f>IF(AND($X511="change",$H511="EUR"),IF(AND($Z511="Crédit",$N511=$N512),$Q512,IF(AND($Z511="Débit",$N511=$N510),$Q510)),IF(OR(AND(OR($E511&lt;&gt;"",$L511=""),$M511&lt;&gt;0),$A511=""),IFERROR(VLOOKUP($E511,Selection!$E:$F,2,false)),IFERROR(VLOOKUP(SUBSTITUTE($I511,"-","",1),$K512:$Q1119,7,false),VLOOKUP($K511,$K512:$Q1119,7,false))))</f>
        <v/>
      </c>
      <c r="R511" s="34" t="str">
        <f t="shared" si="2"/>
        <v/>
      </c>
      <c r="S511" s="37" t="str">
        <f t="shared" si="3"/>
        <v/>
      </c>
      <c r="T511" s="38" t="str">
        <f t="shared" si="4"/>
        <v/>
      </c>
      <c r="U511" s="28" t="str">
        <f t="shared" si="5"/>
        <v/>
      </c>
      <c r="V511" s="39" t="str">
        <f>IFERROR(__xludf.DUMMYFUNCTION(" IF(Account!$F511&lt;&gt;"""", SPLIT(Account!$F511, "" ""), """")"),"")</f>
        <v/>
      </c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</row>
    <row r="512">
      <c r="A512" s="7"/>
      <c r="B512" s="7"/>
      <c r="C512" s="7"/>
      <c r="D512" s="7"/>
      <c r="E512" s="7"/>
      <c r="F512" s="9"/>
      <c r="G512" s="7"/>
      <c r="H512" s="7"/>
      <c r="I512" s="7"/>
      <c r="J512" s="7"/>
      <c r="K512" s="7"/>
      <c r="L512" s="26" t="str">
        <f t="shared" si="1"/>
        <v/>
      </c>
      <c r="M512" s="28" t="str">
        <f>IFERROR(__xludf.DUMMYFUNCTION("IF(Account!$F512&lt;&gt;"""", VALUE(REGEXREPLACE($I512, ""\,"", ""."")), """")"),"")</f>
        <v/>
      </c>
      <c r="N512" s="31" t="str">
        <f>IF(Account!$F512&lt;&gt;"", DATEVALUE(MID($A512,4,3) &amp; LEFT($A512,3) &amp; RIGHT($A512,4)) + TIMEVALUE($B512), "")</f>
        <v/>
      </c>
      <c r="O512" s="33" t="str">
        <f>IF(Account!$F512&lt;&gt;"", DATEVALUE(MID($A512,4,3) &amp; LEFT($A512,3) &amp; RIGHT($A512,4)), "")</f>
        <v/>
      </c>
      <c r="P512" s="34" t="str">
        <f>IFERROR(VLOOKUP($Q512,Selection!$F:$G,2,false))</f>
        <v/>
      </c>
      <c r="Q512" s="36" t="str">
        <f>IF(AND($X512="change",$H512="EUR"),IF(AND($Z512="Crédit",$N512=$N513),$Q513,IF(AND($Z512="Débit",$N512=$N511),$Q511)),IF(OR(AND(OR($E512&lt;&gt;"",$L512=""),$M512&lt;&gt;0),$A512=""),IFERROR(VLOOKUP($E512,Selection!$E:$F,2,false)),IFERROR(VLOOKUP(SUBSTITUTE($I512,"-","",1),$K513:$Q1119,7,false),VLOOKUP($K512,$K513:$Q1119,7,false))))</f>
        <v/>
      </c>
      <c r="R512" s="34" t="str">
        <f t="shared" si="2"/>
        <v/>
      </c>
      <c r="S512" s="37" t="str">
        <f t="shared" si="3"/>
        <v/>
      </c>
      <c r="T512" s="38" t="str">
        <f t="shared" si="4"/>
        <v/>
      </c>
      <c r="U512" s="28" t="str">
        <f t="shared" si="5"/>
        <v/>
      </c>
      <c r="V512" s="39" t="str">
        <f>IFERROR(__xludf.DUMMYFUNCTION(" IF(Account!$F512&lt;&gt;"""", SPLIT(Account!$F512, "" ""), """")"),"")</f>
        <v/>
      </c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</row>
    <row r="513">
      <c r="A513" s="7"/>
      <c r="B513" s="7"/>
      <c r="C513" s="7"/>
      <c r="D513" s="7"/>
      <c r="E513" s="7"/>
      <c r="F513" s="9"/>
      <c r="G513" s="341"/>
      <c r="H513" s="7"/>
      <c r="I513" s="7"/>
      <c r="J513" s="7"/>
      <c r="K513" s="7"/>
      <c r="L513" s="26" t="str">
        <f t="shared" si="1"/>
        <v/>
      </c>
      <c r="M513" s="28" t="str">
        <f>IFERROR(__xludf.DUMMYFUNCTION("IF(Account!$F513&lt;&gt;"""", VALUE(REGEXREPLACE($I513, ""\,"", ""."")), """")"),"")</f>
        <v/>
      </c>
      <c r="N513" s="31" t="str">
        <f>IF(Account!$F513&lt;&gt;"", DATEVALUE(MID($A513,4,3) &amp; LEFT($A513,3) &amp; RIGHT($A513,4)) + TIMEVALUE($B513), "")</f>
        <v/>
      </c>
      <c r="O513" s="33" t="str">
        <f>IF(Account!$F513&lt;&gt;"", DATEVALUE(MID($A513,4,3) &amp; LEFT($A513,3) &amp; RIGHT($A513,4)), "")</f>
        <v/>
      </c>
      <c r="P513" s="34" t="str">
        <f>IFERROR(VLOOKUP($Q513,Selection!$F:$G,2,false))</f>
        <v/>
      </c>
      <c r="Q513" s="36" t="str">
        <f>IF(AND($X513="change",$H513="EUR"),IF(AND($Z513="Crédit",$N513=$N514),$Q514,IF(AND($Z513="Débit",$N513=$N512),$Q512)),IF(OR(AND(OR($E513&lt;&gt;"",$L513=""),$M513&lt;&gt;0),$A513=""),IFERROR(VLOOKUP($E513,Selection!$E:$F,2,false)),IFERROR(VLOOKUP(SUBSTITUTE($I513,"-","",1),$K514:$Q1119,7,false),VLOOKUP($K513,$K514:$Q1119,7,false))))</f>
        <v/>
      </c>
      <c r="R513" s="34" t="str">
        <f t="shared" si="2"/>
        <v/>
      </c>
      <c r="S513" s="37" t="str">
        <f t="shared" si="3"/>
        <v/>
      </c>
      <c r="T513" s="38" t="str">
        <f t="shared" si="4"/>
        <v/>
      </c>
      <c r="U513" s="28" t="str">
        <f t="shared" si="5"/>
        <v/>
      </c>
      <c r="V513" s="39" t="str">
        <f>IFERROR(__xludf.DUMMYFUNCTION(" IF(Account!$F513&lt;&gt;"""", SPLIT(Account!$F513, "" ""), """")"),"")</f>
        <v/>
      </c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</row>
    <row r="514">
      <c r="A514" s="7"/>
      <c r="B514" s="7"/>
      <c r="C514" s="7"/>
      <c r="D514" s="7"/>
      <c r="E514" s="7"/>
      <c r="F514" s="9"/>
      <c r="G514" s="7"/>
      <c r="H514" s="7"/>
      <c r="I514" s="7"/>
      <c r="J514" s="7"/>
      <c r="K514" s="7"/>
      <c r="L514" s="26" t="str">
        <f t="shared" si="1"/>
        <v/>
      </c>
      <c r="M514" s="28" t="str">
        <f>IFERROR(__xludf.DUMMYFUNCTION("IF(Account!$F514&lt;&gt;"""", VALUE(REGEXREPLACE($I514, ""\,"", ""."")), """")"),"")</f>
        <v/>
      </c>
      <c r="N514" s="31" t="str">
        <f>IF(Account!$F514&lt;&gt;"", DATEVALUE(MID($A514,4,3) &amp; LEFT($A514,3) &amp; RIGHT($A514,4)) + TIMEVALUE($B514), "")</f>
        <v/>
      </c>
      <c r="O514" s="33" t="str">
        <f>IF(Account!$F514&lt;&gt;"", DATEVALUE(MID($A514,4,3) &amp; LEFT($A514,3) &amp; RIGHT($A514,4)), "")</f>
        <v/>
      </c>
      <c r="P514" s="34" t="str">
        <f>IFERROR(VLOOKUP($Q514,Selection!$F:$G,2,false))</f>
        <v/>
      </c>
      <c r="Q514" s="36" t="str">
        <f>IF(AND($X514="change",$H514="EUR"),IF(AND($Z514="Crédit",$N514=$N515),$Q515,IF(AND($Z514="Débit",$N514=$N513),$Q513)),IF(OR(AND(OR($E514&lt;&gt;"",$L514=""),$M514&lt;&gt;0),$A514=""),IFERROR(VLOOKUP($E514,Selection!$E:$F,2,false)),IFERROR(VLOOKUP(SUBSTITUTE($I514,"-","",1),$K515:$Q1119,7,false),VLOOKUP($K514,$K515:$Q1119,7,false))))</f>
        <v/>
      </c>
      <c r="R514" s="34" t="str">
        <f t="shared" si="2"/>
        <v/>
      </c>
      <c r="S514" s="37" t="str">
        <f t="shared" si="3"/>
        <v/>
      </c>
      <c r="T514" s="38" t="str">
        <f t="shared" si="4"/>
        <v/>
      </c>
      <c r="U514" s="28" t="str">
        <f t="shared" si="5"/>
        <v/>
      </c>
      <c r="V514" s="39" t="str">
        <f>IFERROR(__xludf.DUMMYFUNCTION(" IF(Account!$F514&lt;&gt;"""", SPLIT(Account!$F514, "" ""), """")"),"")</f>
        <v/>
      </c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</row>
    <row r="515">
      <c r="A515" s="7"/>
      <c r="B515" s="7"/>
      <c r="C515" s="7"/>
      <c r="D515" s="7"/>
      <c r="E515" s="7"/>
      <c r="F515" s="9"/>
      <c r="G515" s="341"/>
      <c r="H515" s="7"/>
      <c r="I515" s="7"/>
      <c r="J515" s="7"/>
      <c r="K515" s="7"/>
      <c r="L515" s="26" t="str">
        <f t="shared" si="1"/>
        <v/>
      </c>
      <c r="M515" s="28" t="str">
        <f>IFERROR(__xludf.DUMMYFUNCTION("IF(Account!$F515&lt;&gt;"""", VALUE(REGEXREPLACE($I515, ""\,"", ""."")), """")"),"")</f>
        <v/>
      </c>
      <c r="N515" s="31" t="str">
        <f>IF(Account!$F515&lt;&gt;"", DATEVALUE(MID($A515,4,3) &amp; LEFT($A515,3) &amp; RIGHT($A515,4)) + TIMEVALUE($B515), "")</f>
        <v/>
      </c>
      <c r="O515" s="33" t="str">
        <f>IF(Account!$F515&lt;&gt;"", DATEVALUE(MID($A515,4,3) &amp; LEFT($A515,3) &amp; RIGHT($A515,4)), "")</f>
        <v/>
      </c>
      <c r="P515" s="34" t="str">
        <f>IFERROR(VLOOKUP($Q515,Selection!$F:$G,2,false))</f>
        <v/>
      </c>
      <c r="Q515" s="36" t="str">
        <f>IF(AND($X515="change",$H515="EUR"),IF(AND($Z515="Crédit",$N515=$N516),$Q516,IF(AND($Z515="Débit",$N515=$N514),$Q514)),IF(OR(AND(OR($E515&lt;&gt;"",$L515=""),$M515&lt;&gt;0),$A515=""),IFERROR(VLOOKUP($E515,Selection!$E:$F,2,false)),IFERROR(VLOOKUP(SUBSTITUTE($I515,"-","",1),$K516:$Q1119,7,false),VLOOKUP($K515,$K516:$Q1119,7,false))))</f>
        <v/>
      </c>
      <c r="R515" s="34" t="str">
        <f t="shared" si="2"/>
        <v/>
      </c>
      <c r="S515" s="37" t="str">
        <f t="shared" si="3"/>
        <v/>
      </c>
      <c r="T515" s="38" t="str">
        <f t="shared" si="4"/>
        <v/>
      </c>
      <c r="U515" s="28" t="str">
        <f t="shared" si="5"/>
        <v/>
      </c>
      <c r="V515" s="39" t="str">
        <f>IFERROR(__xludf.DUMMYFUNCTION(" IF(Account!$F515&lt;&gt;"""", SPLIT(Account!$F515, "" ""), """")"),"")</f>
        <v/>
      </c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</row>
    <row r="516">
      <c r="A516" s="7"/>
      <c r="B516" s="7"/>
      <c r="C516" s="7"/>
      <c r="D516" s="7"/>
      <c r="E516" s="7"/>
      <c r="F516" s="9"/>
      <c r="G516" s="7"/>
      <c r="H516" s="7"/>
      <c r="I516" s="7"/>
      <c r="J516" s="7"/>
      <c r="K516" s="7"/>
      <c r="L516" s="26" t="str">
        <f t="shared" si="1"/>
        <v/>
      </c>
      <c r="M516" s="28" t="str">
        <f>IFERROR(__xludf.DUMMYFUNCTION("IF(Account!$F516&lt;&gt;"""", VALUE(REGEXREPLACE($I516, ""\,"", ""."")), """")"),"")</f>
        <v/>
      </c>
      <c r="N516" s="31" t="str">
        <f>IF(Account!$F516&lt;&gt;"", DATEVALUE(MID($A516,4,3) &amp; LEFT($A516,3) &amp; RIGHT($A516,4)) + TIMEVALUE($B516), "")</f>
        <v/>
      </c>
      <c r="O516" s="33" t="str">
        <f>IF(Account!$F516&lt;&gt;"", DATEVALUE(MID($A516,4,3) &amp; LEFT($A516,3) &amp; RIGHT($A516,4)), "")</f>
        <v/>
      </c>
      <c r="P516" s="34" t="str">
        <f>IFERROR(VLOOKUP($Q516,Selection!$F:$G,2,false))</f>
        <v/>
      </c>
      <c r="Q516" s="36" t="str">
        <f>IF(AND($X516="change",$H516="EUR"),IF(AND($Z516="Crédit",$N516=$N517),$Q517,IF(AND($Z516="Débit",$N516=$N515),$Q515)),IF(OR(AND(OR($E516&lt;&gt;"",$L516=""),$M516&lt;&gt;0),$A516=""),IFERROR(VLOOKUP($E516,Selection!$E:$F,2,false)),IFERROR(VLOOKUP(SUBSTITUTE($I516,"-","",1),$K517:$Q1119,7,false),VLOOKUP($K516,$K517:$Q1119,7,false))))</f>
        <v/>
      </c>
      <c r="R516" s="34" t="str">
        <f t="shared" si="2"/>
        <v/>
      </c>
      <c r="S516" s="37" t="str">
        <f t="shared" si="3"/>
        <v/>
      </c>
      <c r="T516" s="38" t="str">
        <f t="shared" si="4"/>
        <v/>
      </c>
      <c r="U516" s="28" t="str">
        <f t="shared" si="5"/>
        <v/>
      </c>
      <c r="V516" s="39" t="str">
        <f>IFERROR(__xludf.DUMMYFUNCTION(" IF(Account!$F516&lt;&gt;"""", SPLIT(Account!$F516, "" ""), """")"),"")</f>
        <v/>
      </c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</row>
    <row r="517">
      <c r="A517" s="7"/>
      <c r="B517" s="7"/>
      <c r="C517" s="7"/>
      <c r="D517" s="7"/>
      <c r="E517" s="7"/>
      <c r="F517" s="9"/>
      <c r="G517" s="341"/>
      <c r="H517" s="7"/>
      <c r="I517" s="7"/>
      <c r="J517" s="7"/>
      <c r="K517" s="7"/>
      <c r="L517" s="26" t="str">
        <f t="shared" si="1"/>
        <v/>
      </c>
      <c r="M517" s="28" t="str">
        <f>IFERROR(__xludf.DUMMYFUNCTION("IF(Account!$F517&lt;&gt;"""", VALUE(REGEXREPLACE($I517, ""\,"", ""."")), """")"),"")</f>
        <v/>
      </c>
      <c r="N517" s="31" t="str">
        <f>IF(Account!$F517&lt;&gt;"", DATEVALUE(MID($A517,4,3) &amp; LEFT($A517,3) &amp; RIGHT($A517,4)) + TIMEVALUE($B517), "")</f>
        <v/>
      </c>
      <c r="O517" s="33" t="str">
        <f>IF(Account!$F517&lt;&gt;"", DATEVALUE(MID($A517,4,3) &amp; LEFT($A517,3) &amp; RIGHT($A517,4)), "")</f>
        <v/>
      </c>
      <c r="P517" s="34" t="str">
        <f>IFERROR(VLOOKUP($Q517,Selection!$F:$G,2,false))</f>
        <v/>
      </c>
      <c r="Q517" s="36" t="str">
        <f>IF(AND($X517="change",$H517="EUR"),IF(AND($Z517="Crédit",$N517=$N518),$Q518,IF(AND($Z517="Débit",$N517=$N516),$Q516)),IF(OR(AND(OR($E517&lt;&gt;"",$L517=""),$M517&lt;&gt;0),$A517=""),IFERROR(VLOOKUP($E517,Selection!$E:$F,2,false)),IFERROR(VLOOKUP(SUBSTITUTE($I517,"-","",1),$K518:$Q1119,7,false),VLOOKUP($K517,$K518:$Q1119,7,false))))</f>
        <v/>
      </c>
      <c r="R517" s="34" t="str">
        <f t="shared" si="2"/>
        <v/>
      </c>
      <c r="S517" s="37" t="str">
        <f t="shared" si="3"/>
        <v/>
      </c>
      <c r="T517" s="38" t="str">
        <f t="shared" si="4"/>
        <v/>
      </c>
      <c r="U517" s="28" t="str">
        <f t="shared" si="5"/>
        <v/>
      </c>
      <c r="V517" s="39" t="str">
        <f>IFERROR(__xludf.DUMMYFUNCTION(" IF(Account!$F517&lt;&gt;"""", SPLIT(Account!$F517, "" ""), """")"),"")</f>
        <v/>
      </c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</row>
    <row r="518">
      <c r="A518" s="7"/>
      <c r="B518" s="7"/>
      <c r="C518" s="7"/>
      <c r="D518" s="7"/>
      <c r="E518" s="7"/>
      <c r="F518" s="9"/>
      <c r="G518" s="341"/>
      <c r="H518" s="7"/>
      <c r="I518" s="7"/>
      <c r="J518" s="7"/>
      <c r="K518" s="7"/>
      <c r="L518" s="26" t="str">
        <f t="shared" si="1"/>
        <v/>
      </c>
      <c r="M518" s="28" t="str">
        <f>IFERROR(__xludf.DUMMYFUNCTION("IF(Account!$F518&lt;&gt;"""", VALUE(REGEXREPLACE($I518, ""\,"", ""."")), """")"),"")</f>
        <v/>
      </c>
      <c r="N518" s="31" t="str">
        <f>IF(Account!$F518&lt;&gt;"", DATEVALUE(MID($A518,4,3) &amp; LEFT($A518,3) &amp; RIGHT($A518,4)) + TIMEVALUE($B518), "")</f>
        <v/>
      </c>
      <c r="O518" s="33" t="str">
        <f>IF(Account!$F518&lt;&gt;"", DATEVALUE(MID($A518,4,3) &amp; LEFT($A518,3) &amp; RIGHT($A518,4)), "")</f>
        <v/>
      </c>
      <c r="P518" s="34" t="str">
        <f>IFERROR(VLOOKUP($Q518,Selection!$F:$G,2,false))</f>
        <v/>
      </c>
      <c r="Q518" s="36" t="str">
        <f>IF(AND($X518="change",$H518="EUR"),IF(AND($Z518="Crédit",$N518=$N519),$Q519,IF(AND($Z518="Débit",$N518=$N517),$Q517)),IF(OR(AND(OR($E518&lt;&gt;"",$L518=""),$M518&lt;&gt;0),$A518=""),IFERROR(VLOOKUP($E518,Selection!$E:$F,2,false)),IFERROR(VLOOKUP(SUBSTITUTE($I518,"-","",1),$K519:$Q1119,7,false),VLOOKUP($K518,$K519:$Q1119,7,false))))</f>
        <v/>
      </c>
      <c r="R518" s="34" t="str">
        <f t="shared" si="2"/>
        <v/>
      </c>
      <c r="S518" s="37" t="str">
        <f t="shared" si="3"/>
        <v/>
      </c>
      <c r="T518" s="38" t="str">
        <f t="shared" si="4"/>
        <v/>
      </c>
      <c r="U518" s="28" t="str">
        <f t="shared" si="5"/>
        <v/>
      </c>
      <c r="V518" s="39" t="str">
        <f>IFERROR(__xludf.DUMMYFUNCTION(" IF(Account!$F518&lt;&gt;"""", SPLIT(Account!$F518, "" ""), """")"),"")</f>
        <v/>
      </c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</row>
    <row r="519">
      <c r="A519" s="7"/>
      <c r="B519" s="7"/>
      <c r="C519" s="7"/>
      <c r="D519" s="7"/>
      <c r="E519" s="7"/>
      <c r="F519" s="9"/>
      <c r="G519" s="341"/>
      <c r="H519" s="7"/>
      <c r="I519" s="7"/>
      <c r="J519" s="7"/>
      <c r="K519" s="7"/>
      <c r="L519" s="26" t="str">
        <f t="shared" si="1"/>
        <v/>
      </c>
      <c r="M519" s="28" t="str">
        <f>IFERROR(__xludf.DUMMYFUNCTION("IF(Account!$F519&lt;&gt;"""", VALUE(REGEXREPLACE($I519, ""\,"", ""."")), """")"),"")</f>
        <v/>
      </c>
      <c r="N519" s="31" t="str">
        <f>IF(Account!$F519&lt;&gt;"", DATEVALUE(MID($A519,4,3) &amp; LEFT($A519,3) &amp; RIGHT($A519,4)) + TIMEVALUE($B519), "")</f>
        <v/>
      </c>
      <c r="O519" s="33" t="str">
        <f>IF(Account!$F519&lt;&gt;"", DATEVALUE(MID($A519,4,3) &amp; LEFT($A519,3) &amp; RIGHT($A519,4)), "")</f>
        <v/>
      </c>
      <c r="P519" s="34" t="str">
        <f>IFERROR(VLOOKUP($Q519,Selection!$F:$G,2,false))</f>
        <v/>
      </c>
      <c r="Q519" s="36" t="str">
        <f>IF(AND($X519="change",$H519="EUR"),IF(AND($Z519="Crédit",$N519=$N520),$Q520,IF(AND($Z519="Débit",$N519=$N518),$Q518)),IF(OR(AND(OR($E519&lt;&gt;"",$L519=""),$M519&lt;&gt;0),$A519=""),IFERROR(VLOOKUP($E519,Selection!$E:$F,2,false)),IFERROR(VLOOKUP(SUBSTITUTE($I519,"-","",1),$K520:$Q1119,7,false),VLOOKUP($K519,$K520:$Q1119,7,false))))</f>
        <v/>
      </c>
      <c r="R519" s="34" t="str">
        <f t="shared" si="2"/>
        <v/>
      </c>
      <c r="S519" s="37" t="str">
        <f t="shared" si="3"/>
        <v/>
      </c>
      <c r="T519" s="38" t="str">
        <f t="shared" si="4"/>
        <v/>
      </c>
      <c r="U519" s="28" t="str">
        <f t="shared" si="5"/>
        <v/>
      </c>
      <c r="V519" s="39" t="str">
        <f>IFERROR(__xludf.DUMMYFUNCTION(" IF(Account!$F519&lt;&gt;"""", SPLIT(Account!$F519, "" ""), """")"),"")</f>
        <v/>
      </c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</row>
    <row r="520">
      <c r="A520" s="7"/>
      <c r="B520" s="7"/>
      <c r="C520" s="7"/>
      <c r="D520" s="7"/>
      <c r="E520" s="7"/>
      <c r="F520" s="9"/>
      <c r="G520" s="341"/>
      <c r="H520" s="7"/>
      <c r="I520" s="7"/>
      <c r="J520" s="7"/>
      <c r="K520" s="7"/>
      <c r="L520" s="26" t="str">
        <f t="shared" si="1"/>
        <v/>
      </c>
      <c r="M520" s="28" t="str">
        <f>IFERROR(__xludf.DUMMYFUNCTION("IF(Account!$F520&lt;&gt;"""", VALUE(REGEXREPLACE($I520, ""\,"", ""."")), """")"),"")</f>
        <v/>
      </c>
      <c r="N520" s="31" t="str">
        <f>IF(Account!$F520&lt;&gt;"", DATEVALUE(MID($A520,4,3) &amp; LEFT($A520,3) &amp; RIGHT($A520,4)) + TIMEVALUE($B520), "")</f>
        <v/>
      </c>
      <c r="O520" s="33" t="str">
        <f>IF(Account!$F520&lt;&gt;"", DATEVALUE(MID($A520,4,3) &amp; LEFT($A520,3) &amp; RIGHT($A520,4)), "")</f>
        <v/>
      </c>
      <c r="P520" s="34" t="str">
        <f>IFERROR(VLOOKUP($Q520,Selection!$F:$G,2,false))</f>
        <v/>
      </c>
      <c r="Q520" s="36" t="str">
        <f>IF(AND($X520="change",$H520="EUR"),IF(AND($Z520="Crédit",$N520=$N521),$Q521,IF(AND($Z520="Débit",$N520=$N519),$Q519)),IF(OR(AND(OR($E520&lt;&gt;"",$L520=""),$M520&lt;&gt;0),$A520=""),IFERROR(VLOOKUP($E520,Selection!$E:$F,2,false)),IFERROR(VLOOKUP(SUBSTITUTE($I520,"-","",1),$K521:$Q1119,7,false),VLOOKUP($K520,$K521:$Q1119,7,false))))</f>
        <v/>
      </c>
      <c r="R520" s="34" t="str">
        <f t="shared" si="2"/>
        <v/>
      </c>
      <c r="S520" s="37" t="str">
        <f t="shared" si="3"/>
        <v/>
      </c>
      <c r="T520" s="38" t="str">
        <f t="shared" si="4"/>
        <v/>
      </c>
      <c r="U520" s="28" t="str">
        <f t="shared" si="5"/>
        <v/>
      </c>
      <c r="V520" s="39" t="str">
        <f>IFERROR(__xludf.DUMMYFUNCTION(" IF(Account!$F520&lt;&gt;"""", SPLIT(Account!$F520, "" ""), """")"),"")</f>
        <v/>
      </c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</row>
    <row r="521">
      <c r="A521" s="7"/>
      <c r="B521" s="7"/>
      <c r="C521" s="7"/>
      <c r="D521" s="7"/>
      <c r="E521" s="7"/>
      <c r="F521" s="9"/>
      <c r="G521" s="341"/>
      <c r="H521" s="7"/>
      <c r="I521" s="7"/>
      <c r="J521" s="7"/>
      <c r="K521" s="7"/>
      <c r="L521" s="26" t="str">
        <f t="shared" si="1"/>
        <v/>
      </c>
      <c r="M521" s="28" t="str">
        <f>IFERROR(__xludf.DUMMYFUNCTION("IF(Account!$F521&lt;&gt;"""", VALUE(REGEXREPLACE($I521, ""\,"", ""."")), """")"),"")</f>
        <v/>
      </c>
      <c r="N521" s="31" t="str">
        <f>IF(Account!$F521&lt;&gt;"", DATEVALUE(MID($A521,4,3) &amp; LEFT($A521,3) &amp; RIGHT($A521,4)) + TIMEVALUE($B521), "")</f>
        <v/>
      </c>
      <c r="O521" s="33" t="str">
        <f>IF(Account!$F521&lt;&gt;"", DATEVALUE(MID($A521,4,3) &amp; LEFT($A521,3) &amp; RIGHT($A521,4)), "")</f>
        <v/>
      </c>
      <c r="P521" s="34" t="str">
        <f>IFERROR(VLOOKUP($Q521,Selection!$F:$G,2,false))</f>
        <v/>
      </c>
      <c r="Q521" s="36" t="str">
        <f>IF(AND($X521="change",$H521="EUR"),IF(AND($Z521="Crédit",$N521=$N522),$Q522,IF(AND($Z521="Débit",$N521=$N520),$Q520)),IF(OR(AND(OR($E521&lt;&gt;"",$L521=""),$M521&lt;&gt;0),$A521=""),IFERROR(VLOOKUP($E521,Selection!$E:$F,2,false)),IFERROR(VLOOKUP(SUBSTITUTE($I521,"-","",1),$K522:$Q1119,7,false),VLOOKUP($K521,$K522:$Q1119,7,false))))</f>
        <v/>
      </c>
      <c r="R521" s="34" t="str">
        <f t="shared" si="2"/>
        <v/>
      </c>
      <c r="S521" s="37" t="str">
        <f t="shared" si="3"/>
        <v/>
      </c>
      <c r="T521" s="38" t="str">
        <f t="shared" si="4"/>
        <v/>
      </c>
      <c r="U521" s="28" t="str">
        <f t="shared" si="5"/>
        <v/>
      </c>
      <c r="V521" s="39" t="str">
        <f>IFERROR(__xludf.DUMMYFUNCTION(" IF(Account!$F521&lt;&gt;"""", SPLIT(Account!$F521, "" ""), """")"),"")</f>
        <v/>
      </c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</row>
    <row r="522">
      <c r="A522" s="7"/>
      <c r="B522" s="7"/>
      <c r="C522" s="7"/>
      <c r="D522" s="7"/>
      <c r="E522" s="7"/>
      <c r="F522" s="9"/>
      <c r="G522" s="7"/>
      <c r="H522" s="7"/>
      <c r="I522" s="7"/>
      <c r="J522" s="7"/>
      <c r="K522" s="7"/>
      <c r="L522" s="26" t="str">
        <f t="shared" si="1"/>
        <v/>
      </c>
      <c r="M522" s="28" t="str">
        <f>IFERROR(__xludf.DUMMYFUNCTION("IF(Account!$F522&lt;&gt;"""", VALUE(REGEXREPLACE($I522, ""\,"", ""."")), """")"),"")</f>
        <v/>
      </c>
      <c r="N522" s="31" t="str">
        <f>IF(Account!$F522&lt;&gt;"", DATEVALUE(MID($A522,4,3) &amp; LEFT($A522,3) &amp; RIGHT($A522,4)) + TIMEVALUE($B522), "")</f>
        <v/>
      </c>
      <c r="O522" s="33" t="str">
        <f>IF(Account!$F522&lt;&gt;"", DATEVALUE(MID($A522,4,3) &amp; LEFT($A522,3) &amp; RIGHT($A522,4)), "")</f>
        <v/>
      </c>
      <c r="P522" s="34" t="str">
        <f>IFERROR(VLOOKUP($Q522,Selection!$F:$G,2,false))</f>
        <v/>
      </c>
      <c r="Q522" s="36" t="str">
        <f>IF(AND($X522="change",$H522="EUR"),IF(AND($Z522="Crédit",$N522=$N523),$Q523,IF(AND($Z522="Débit",$N522=$N521),$Q521)),IF(OR(AND(OR($E522&lt;&gt;"",$L522=""),$M522&lt;&gt;0),$A522=""),IFERROR(VLOOKUP($E522,Selection!$E:$F,2,false)),IFERROR(VLOOKUP(SUBSTITUTE($I522,"-","",1),$K523:$Q1119,7,false),VLOOKUP($K522,$K523:$Q1119,7,false))))</f>
        <v/>
      </c>
      <c r="R522" s="34" t="str">
        <f t="shared" si="2"/>
        <v/>
      </c>
      <c r="S522" s="37" t="str">
        <f t="shared" si="3"/>
        <v/>
      </c>
      <c r="T522" s="38" t="str">
        <f t="shared" si="4"/>
        <v/>
      </c>
      <c r="U522" s="28" t="str">
        <f t="shared" si="5"/>
        <v/>
      </c>
      <c r="V522" s="39" t="str">
        <f>IFERROR(__xludf.DUMMYFUNCTION(" IF(Account!$F522&lt;&gt;"""", SPLIT(Account!$F522, "" ""), """")"),"")</f>
        <v/>
      </c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</row>
    <row r="523">
      <c r="A523" s="7"/>
      <c r="B523" s="7"/>
      <c r="C523" s="7"/>
      <c r="D523" s="7"/>
      <c r="E523" s="7"/>
      <c r="F523" s="9"/>
      <c r="G523" s="341"/>
      <c r="H523" s="7"/>
      <c r="I523" s="7"/>
      <c r="J523" s="7"/>
      <c r="K523" s="7"/>
      <c r="L523" s="26" t="str">
        <f t="shared" si="1"/>
        <v/>
      </c>
      <c r="M523" s="28" t="str">
        <f>IFERROR(__xludf.DUMMYFUNCTION("IF(Account!$F523&lt;&gt;"""", VALUE(REGEXREPLACE($I523, ""\,"", ""."")), """")"),"")</f>
        <v/>
      </c>
      <c r="N523" s="31" t="str">
        <f>IF(Account!$F523&lt;&gt;"", DATEVALUE(MID($A523,4,3) &amp; LEFT($A523,3) &amp; RIGHT($A523,4)) + TIMEVALUE($B523), "")</f>
        <v/>
      </c>
      <c r="O523" s="33" t="str">
        <f>IF(Account!$F523&lt;&gt;"", DATEVALUE(MID($A523,4,3) &amp; LEFT($A523,3) &amp; RIGHT($A523,4)), "")</f>
        <v/>
      </c>
      <c r="P523" s="34" t="str">
        <f>IFERROR(VLOOKUP($Q523,Selection!$F:$G,2,false))</f>
        <v/>
      </c>
      <c r="Q523" s="36" t="str">
        <f>IF(AND($X523="change",$H523="EUR"),IF(AND($Z523="Crédit",$N523=$N524),$Q524,IF(AND($Z523="Débit",$N523=$N522),$Q522)),IF(OR(AND(OR($E523&lt;&gt;"",$L523=""),$M523&lt;&gt;0),$A523=""),IFERROR(VLOOKUP($E523,Selection!$E:$F,2,false)),IFERROR(VLOOKUP(SUBSTITUTE($I523,"-","",1),$K524:$Q1119,7,false),VLOOKUP($K523,$K524:$Q1119,7,false))))</f>
        <v/>
      </c>
      <c r="R523" s="34" t="str">
        <f t="shared" si="2"/>
        <v/>
      </c>
      <c r="S523" s="37" t="str">
        <f t="shared" si="3"/>
        <v/>
      </c>
      <c r="T523" s="38" t="str">
        <f t="shared" si="4"/>
        <v/>
      </c>
      <c r="U523" s="28" t="str">
        <f t="shared" si="5"/>
        <v/>
      </c>
      <c r="V523" s="39" t="str">
        <f>IFERROR(__xludf.DUMMYFUNCTION(" IF(Account!$F523&lt;&gt;"""", SPLIT(Account!$F523, "" ""), """")"),"")</f>
        <v/>
      </c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</row>
    <row r="524">
      <c r="A524" s="7"/>
      <c r="B524" s="7"/>
      <c r="C524" s="7"/>
      <c r="D524" s="7"/>
      <c r="E524" s="7"/>
      <c r="F524" s="9"/>
      <c r="G524" s="341"/>
      <c r="H524" s="7"/>
      <c r="I524" s="7"/>
      <c r="J524" s="7"/>
      <c r="K524" s="7"/>
      <c r="L524" s="26" t="str">
        <f t="shared" si="1"/>
        <v/>
      </c>
      <c r="M524" s="28" t="str">
        <f>IFERROR(__xludf.DUMMYFUNCTION("IF(Account!$F524&lt;&gt;"""", VALUE(REGEXREPLACE($I524, ""\,"", ""."")), """")"),"")</f>
        <v/>
      </c>
      <c r="N524" s="31" t="str">
        <f>IF(Account!$F524&lt;&gt;"", DATEVALUE(MID($A524,4,3) &amp; LEFT($A524,3) &amp; RIGHT($A524,4)) + TIMEVALUE($B524), "")</f>
        <v/>
      </c>
      <c r="O524" s="33" t="str">
        <f>IF(Account!$F524&lt;&gt;"", DATEVALUE(MID($A524,4,3) &amp; LEFT($A524,3) &amp; RIGHT($A524,4)), "")</f>
        <v/>
      </c>
      <c r="P524" s="34" t="str">
        <f>IFERROR(VLOOKUP($Q524,Selection!$F:$G,2,false))</f>
        <v/>
      </c>
      <c r="Q524" s="36" t="str">
        <f>IF(AND($X524="change",$H524="EUR"),IF(AND($Z524="Crédit",$N524=$N525),$Q525,IF(AND($Z524="Débit",$N524=$N523),$Q523)),IF(OR(AND(OR($E524&lt;&gt;"",$L524=""),$M524&lt;&gt;0),$A524=""),IFERROR(VLOOKUP($E524,Selection!$E:$F,2,false)),IFERROR(VLOOKUP(SUBSTITUTE($I524,"-","",1),$K525:$Q1119,7,false),VLOOKUP($K524,$K525:$Q1119,7,false))))</f>
        <v/>
      </c>
      <c r="R524" s="34" t="str">
        <f t="shared" si="2"/>
        <v/>
      </c>
      <c r="S524" s="37" t="str">
        <f t="shared" si="3"/>
        <v/>
      </c>
      <c r="T524" s="38" t="str">
        <f t="shared" si="4"/>
        <v/>
      </c>
      <c r="U524" s="28" t="str">
        <f t="shared" si="5"/>
        <v/>
      </c>
      <c r="V524" s="39" t="str">
        <f>IFERROR(__xludf.DUMMYFUNCTION(" IF(Account!$F524&lt;&gt;"""", SPLIT(Account!$F524, "" ""), """")"),"")</f>
        <v/>
      </c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</row>
    <row r="525">
      <c r="A525" s="7"/>
      <c r="B525" s="7"/>
      <c r="C525" s="7"/>
      <c r="D525" s="7"/>
      <c r="E525" s="7"/>
      <c r="F525" s="9"/>
      <c r="G525" s="7"/>
      <c r="H525" s="7"/>
      <c r="I525" s="7"/>
      <c r="J525" s="7"/>
      <c r="K525" s="7"/>
      <c r="L525" s="26" t="str">
        <f t="shared" si="1"/>
        <v/>
      </c>
      <c r="M525" s="28" t="str">
        <f>IFERROR(__xludf.DUMMYFUNCTION("IF(Account!$F525&lt;&gt;"""", VALUE(REGEXREPLACE($I525, ""\,"", ""."")), """")"),"")</f>
        <v/>
      </c>
      <c r="N525" s="31" t="str">
        <f>IF(Account!$F525&lt;&gt;"", DATEVALUE(MID($A525,4,3) &amp; LEFT($A525,3) &amp; RIGHT($A525,4)) + TIMEVALUE($B525), "")</f>
        <v/>
      </c>
      <c r="O525" s="33" t="str">
        <f>IF(Account!$F525&lt;&gt;"", DATEVALUE(MID($A525,4,3) &amp; LEFT($A525,3) &amp; RIGHT($A525,4)), "")</f>
        <v/>
      </c>
      <c r="P525" s="34" t="str">
        <f>IFERROR(VLOOKUP($Q525,Selection!$F:$G,2,false))</f>
        <v/>
      </c>
      <c r="Q525" s="36" t="str">
        <f>IF(AND($X525="change",$H525="EUR"),IF(AND($Z525="Crédit",$N525=$N526),$Q526,IF(AND($Z525="Débit",$N525=$N524),$Q524)),IF(OR(AND(OR($E525&lt;&gt;"",$L525=""),$M525&lt;&gt;0),$A525=""),IFERROR(VLOOKUP($E525,Selection!$E:$F,2,false)),IFERROR(VLOOKUP(SUBSTITUTE($I525,"-","",1),$K526:$Q1119,7,false),VLOOKUP($K525,$K526:$Q1119,7,false))))</f>
        <v/>
      </c>
      <c r="R525" s="34" t="str">
        <f t="shared" si="2"/>
        <v/>
      </c>
      <c r="S525" s="37" t="str">
        <f t="shared" si="3"/>
        <v/>
      </c>
      <c r="T525" s="38" t="str">
        <f t="shared" si="4"/>
        <v/>
      </c>
      <c r="U525" s="28" t="str">
        <f t="shared" si="5"/>
        <v/>
      </c>
      <c r="V525" s="39" t="str">
        <f>IFERROR(__xludf.DUMMYFUNCTION(" IF(Account!$F525&lt;&gt;"""", SPLIT(Account!$F525, "" ""), """")"),"")</f>
        <v/>
      </c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</row>
    <row r="526">
      <c r="A526" s="7"/>
      <c r="B526" s="7"/>
      <c r="C526" s="7"/>
      <c r="D526" s="7"/>
      <c r="E526" s="7"/>
      <c r="F526" s="9"/>
      <c r="G526" s="341"/>
      <c r="H526" s="7"/>
      <c r="I526" s="7"/>
      <c r="J526" s="7"/>
      <c r="K526" s="7"/>
      <c r="L526" s="26" t="str">
        <f t="shared" si="1"/>
        <v/>
      </c>
      <c r="M526" s="28" t="str">
        <f>IFERROR(__xludf.DUMMYFUNCTION("IF(Account!$F526&lt;&gt;"""", VALUE(REGEXREPLACE($I526, ""\,"", ""."")), """")"),"")</f>
        <v/>
      </c>
      <c r="N526" s="31" t="str">
        <f>IF(Account!$F526&lt;&gt;"", DATEVALUE(MID($A526,4,3) &amp; LEFT($A526,3) &amp; RIGHT($A526,4)) + TIMEVALUE($B526), "")</f>
        <v/>
      </c>
      <c r="O526" s="33" t="str">
        <f>IF(Account!$F526&lt;&gt;"", DATEVALUE(MID($A526,4,3) &amp; LEFT($A526,3) &amp; RIGHT($A526,4)), "")</f>
        <v/>
      </c>
      <c r="P526" s="34" t="str">
        <f>IFERROR(VLOOKUP($Q526,Selection!$F:$G,2,false))</f>
        <v/>
      </c>
      <c r="Q526" s="36" t="str">
        <f>IF(AND($X526="change",$H526="EUR"),IF(AND($Z526="Crédit",$N526=$N527),$Q527,IF(AND($Z526="Débit",$N526=$N525),$Q525)),IF(OR(AND(OR($E526&lt;&gt;"",$L526=""),$M526&lt;&gt;0),$A526=""),IFERROR(VLOOKUP($E526,Selection!$E:$F,2,false)),IFERROR(VLOOKUP(SUBSTITUTE($I526,"-","",1),$K527:$Q1119,7,false),VLOOKUP($K526,$K527:$Q1119,7,false))))</f>
        <v/>
      </c>
      <c r="R526" s="34" t="str">
        <f t="shared" si="2"/>
        <v/>
      </c>
      <c r="S526" s="37" t="str">
        <f t="shared" si="3"/>
        <v/>
      </c>
      <c r="T526" s="38" t="str">
        <f t="shared" si="4"/>
        <v/>
      </c>
      <c r="U526" s="28" t="str">
        <f t="shared" si="5"/>
        <v/>
      </c>
      <c r="V526" s="39" t="str">
        <f>IFERROR(__xludf.DUMMYFUNCTION(" IF(Account!$F526&lt;&gt;"""", SPLIT(Account!$F526, "" ""), """")"),"")</f>
        <v/>
      </c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</row>
    <row r="527">
      <c r="A527" s="7"/>
      <c r="B527" s="7"/>
      <c r="C527" s="7"/>
      <c r="D527" s="7"/>
      <c r="E527" s="7"/>
      <c r="F527" s="9"/>
      <c r="G527" s="341"/>
      <c r="H527" s="7"/>
      <c r="I527" s="7"/>
      <c r="J527" s="7"/>
      <c r="K527" s="7"/>
      <c r="L527" s="26" t="str">
        <f t="shared" si="1"/>
        <v/>
      </c>
      <c r="M527" s="28" t="str">
        <f>IFERROR(__xludf.DUMMYFUNCTION("IF(Account!$F527&lt;&gt;"""", VALUE(REGEXREPLACE($I527, ""\,"", ""."")), """")"),"")</f>
        <v/>
      </c>
      <c r="N527" s="31" t="str">
        <f>IF(Account!$F527&lt;&gt;"", DATEVALUE(MID($A527,4,3) &amp; LEFT($A527,3) &amp; RIGHT($A527,4)) + TIMEVALUE($B527), "")</f>
        <v/>
      </c>
      <c r="O527" s="33" t="str">
        <f>IF(Account!$F527&lt;&gt;"", DATEVALUE(MID($A527,4,3) &amp; LEFT($A527,3) &amp; RIGHT($A527,4)), "")</f>
        <v/>
      </c>
      <c r="P527" s="34" t="str">
        <f>IFERROR(VLOOKUP($Q527,Selection!$F:$G,2,false))</f>
        <v/>
      </c>
      <c r="Q527" s="36" t="str">
        <f>IF(AND($X527="change",$H527="EUR"),IF(AND($Z527="Crédit",$N527=$N528),$Q528,IF(AND($Z527="Débit",$N527=$N526),$Q526)),IF(OR(AND(OR($E527&lt;&gt;"",$L527=""),$M527&lt;&gt;0),$A527=""),IFERROR(VLOOKUP($E527,Selection!$E:$F,2,false)),IFERROR(VLOOKUP(SUBSTITUTE($I527,"-","",1),$K528:$Q1119,7,false),VLOOKUP($K527,$K528:$Q1119,7,false))))</f>
        <v/>
      </c>
      <c r="R527" s="34" t="str">
        <f t="shared" si="2"/>
        <v/>
      </c>
      <c r="S527" s="37" t="str">
        <f t="shared" si="3"/>
        <v/>
      </c>
      <c r="T527" s="38" t="str">
        <f t="shared" si="4"/>
        <v/>
      </c>
      <c r="U527" s="28" t="str">
        <f t="shared" si="5"/>
        <v/>
      </c>
      <c r="V527" s="39" t="str">
        <f>IFERROR(__xludf.DUMMYFUNCTION(" IF(Account!$F527&lt;&gt;"""", SPLIT(Account!$F527, "" ""), """")"),"")</f>
        <v/>
      </c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</row>
    <row r="528">
      <c r="A528" s="7"/>
      <c r="B528" s="7"/>
      <c r="C528" s="7"/>
      <c r="D528" s="7"/>
      <c r="E528" s="7"/>
      <c r="F528" s="9"/>
      <c r="G528" s="7"/>
      <c r="H528" s="7"/>
      <c r="I528" s="7"/>
      <c r="J528" s="7"/>
      <c r="K528" s="7"/>
      <c r="L528" s="26" t="str">
        <f t="shared" si="1"/>
        <v/>
      </c>
      <c r="M528" s="28" t="str">
        <f>IFERROR(__xludf.DUMMYFUNCTION("IF(Account!$F528&lt;&gt;"""", VALUE(REGEXREPLACE($I528, ""\,"", ""."")), """")"),"")</f>
        <v/>
      </c>
      <c r="N528" s="31" t="str">
        <f>IF(Account!$F528&lt;&gt;"", DATEVALUE(MID($A528,4,3) &amp; LEFT($A528,3) &amp; RIGHT($A528,4)) + TIMEVALUE($B528), "")</f>
        <v/>
      </c>
      <c r="O528" s="33" t="str">
        <f>IF(Account!$F528&lt;&gt;"", DATEVALUE(MID($A528,4,3) &amp; LEFT($A528,3) &amp; RIGHT($A528,4)), "")</f>
        <v/>
      </c>
      <c r="P528" s="34" t="str">
        <f>IFERROR(VLOOKUP($Q528,Selection!$F:$G,2,false))</f>
        <v/>
      </c>
      <c r="Q528" s="36" t="str">
        <f>IF(AND($X528="change",$H528="EUR"),IF(AND($Z528="Crédit",$N528=$N529),$Q529,IF(AND($Z528="Débit",$N528=$N527),$Q527)),IF(OR(AND(OR($E528&lt;&gt;"",$L528=""),$M528&lt;&gt;0),$A528=""),IFERROR(VLOOKUP($E528,Selection!$E:$F,2,false)),IFERROR(VLOOKUP(SUBSTITUTE($I528,"-","",1),$K529:$Q1119,7,false),VLOOKUP($K528,$K529:$Q1119,7,false))))</f>
        <v/>
      </c>
      <c r="R528" s="34" t="str">
        <f t="shared" si="2"/>
        <v/>
      </c>
      <c r="S528" s="37" t="str">
        <f t="shared" si="3"/>
        <v/>
      </c>
      <c r="T528" s="38" t="str">
        <f t="shared" si="4"/>
        <v/>
      </c>
      <c r="U528" s="28" t="str">
        <f t="shared" si="5"/>
        <v/>
      </c>
      <c r="V528" s="39" t="str">
        <f>IFERROR(__xludf.DUMMYFUNCTION(" IF(Account!$F528&lt;&gt;"""", SPLIT(Account!$F528, "" ""), """")"),"")</f>
        <v/>
      </c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</row>
    <row r="529">
      <c r="A529" s="7"/>
      <c r="B529" s="7"/>
      <c r="C529" s="7"/>
      <c r="D529" s="7"/>
      <c r="E529" s="7"/>
      <c r="F529" s="9"/>
      <c r="G529" s="341"/>
      <c r="H529" s="7"/>
      <c r="I529" s="7"/>
      <c r="J529" s="7"/>
      <c r="K529" s="7"/>
      <c r="L529" s="26" t="str">
        <f t="shared" si="1"/>
        <v/>
      </c>
      <c r="M529" s="28" t="str">
        <f>IFERROR(__xludf.DUMMYFUNCTION("IF(Account!$F529&lt;&gt;"""", VALUE(REGEXREPLACE($I529, ""\,"", ""."")), """")"),"")</f>
        <v/>
      </c>
      <c r="N529" s="31" t="str">
        <f>IF(Account!$F529&lt;&gt;"", DATEVALUE(MID($A529,4,3) &amp; LEFT($A529,3) &amp; RIGHT($A529,4)) + TIMEVALUE($B529), "")</f>
        <v/>
      </c>
      <c r="O529" s="33" t="str">
        <f>IF(Account!$F529&lt;&gt;"", DATEVALUE(MID($A529,4,3) &amp; LEFT($A529,3) &amp; RIGHT($A529,4)), "")</f>
        <v/>
      </c>
      <c r="P529" s="34" t="str">
        <f>IFERROR(VLOOKUP($Q529,Selection!$F:$G,2,false))</f>
        <v/>
      </c>
      <c r="Q529" s="36" t="str">
        <f>IF(AND($X529="change",$H529="EUR"),IF(AND($Z529="Crédit",$N529=$N530),$Q530,IF(AND($Z529="Débit",$N529=$N528),$Q528)),IF(OR(AND(OR($E529&lt;&gt;"",$L529=""),$M529&lt;&gt;0),$A529=""),IFERROR(VLOOKUP($E529,Selection!$E:$F,2,false)),IFERROR(VLOOKUP(SUBSTITUTE($I529,"-","",1),$K530:$Q1119,7,false),VLOOKUP($K529,$K530:$Q1119,7,false))))</f>
        <v/>
      </c>
      <c r="R529" s="34" t="str">
        <f t="shared" si="2"/>
        <v/>
      </c>
      <c r="S529" s="37" t="str">
        <f t="shared" si="3"/>
        <v/>
      </c>
      <c r="T529" s="38" t="str">
        <f t="shared" si="4"/>
        <v/>
      </c>
      <c r="U529" s="28" t="str">
        <f t="shared" si="5"/>
        <v/>
      </c>
      <c r="V529" s="39" t="str">
        <f>IFERROR(__xludf.DUMMYFUNCTION(" IF(Account!$F529&lt;&gt;"""", SPLIT(Account!$F529, "" ""), """")"),"")</f>
        <v/>
      </c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</row>
    <row r="530">
      <c r="A530" s="7"/>
      <c r="B530" s="7"/>
      <c r="C530" s="7"/>
      <c r="D530" s="7"/>
      <c r="E530" s="7"/>
      <c r="F530" s="9"/>
      <c r="G530" s="341"/>
      <c r="H530" s="7"/>
      <c r="I530" s="7"/>
      <c r="J530" s="7"/>
      <c r="K530" s="7"/>
      <c r="L530" s="26" t="str">
        <f t="shared" si="1"/>
        <v/>
      </c>
      <c r="M530" s="28" t="str">
        <f>IFERROR(__xludf.DUMMYFUNCTION("IF(Account!$F530&lt;&gt;"""", VALUE(REGEXREPLACE($I530, ""\,"", ""."")), """")"),"")</f>
        <v/>
      </c>
      <c r="N530" s="31" t="str">
        <f>IF(Account!$F530&lt;&gt;"", DATEVALUE(MID($A530,4,3) &amp; LEFT($A530,3) &amp; RIGHT($A530,4)) + TIMEVALUE($B530), "")</f>
        <v/>
      </c>
      <c r="O530" s="33" t="str">
        <f>IF(Account!$F530&lt;&gt;"", DATEVALUE(MID($A530,4,3) &amp; LEFT($A530,3) &amp; RIGHT($A530,4)), "")</f>
        <v/>
      </c>
      <c r="P530" s="34" t="str">
        <f>IFERROR(VLOOKUP($Q530,Selection!$F:$G,2,false))</f>
        <v/>
      </c>
      <c r="Q530" s="36" t="str">
        <f>IF(AND($X530="change",$H530="EUR"),IF(AND($Z530="Crédit",$N530=$N531),$Q531,IF(AND($Z530="Débit",$N530=$N529),$Q529)),IF(OR(AND(OR($E530&lt;&gt;"",$L530=""),$M530&lt;&gt;0),$A530=""),IFERROR(VLOOKUP($E530,Selection!$E:$F,2,false)),IFERROR(VLOOKUP(SUBSTITUTE($I530,"-","",1),$K531:$Q1119,7,false),VLOOKUP($K530,$K531:$Q1119,7,false))))</f>
        <v/>
      </c>
      <c r="R530" s="34" t="str">
        <f t="shared" si="2"/>
        <v/>
      </c>
      <c r="S530" s="37" t="str">
        <f t="shared" si="3"/>
        <v/>
      </c>
      <c r="T530" s="38" t="str">
        <f t="shared" si="4"/>
        <v/>
      </c>
      <c r="U530" s="28" t="str">
        <f t="shared" si="5"/>
        <v/>
      </c>
      <c r="V530" s="39" t="str">
        <f>IFERROR(__xludf.DUMMYFUNCTION(" IF(Account!$F530&lt;&gt;"""", SPLIT(Account!$F530, "" ""), """")"),"")</f>
        <v/>
      </c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</row>
    <row r="531">
      <c r="A531" s="7"/>
      <c r="B531" s="7"/>
      <c r="C531" s="7"/>
      <c r="D531" s="7"/>
      <c r="E531" s="7"/>
      <c r="F531" s="9"/>
      <c r="G531" s="7"/>
      <c r="H531" s="7"/>
      <c r="I531" s="7"/>
      <c r="J531" s="7"/>
      <c r="K531" s="7"/>
      <c r="L531" s="26" t="str">
        <f t="shared" si="1"/>
        <v/>
      </c>
      <c r="M531" s="28" t="str">
        <f>IFERROR(__xludf.DUMMYFUNCTION("IF(Account!$F531&lt;&gt;"""", VALUE(REGEXREPLACE($I531, ""\,"", ""."")), """")"),"")</f>
        <v/>
      </c>
      <c r="N531" s="31" t="str">
        <f>IF(Account!$F531&lt;&gt;"", DATEVALUE(MID($A531,4,3) &amp; LEFT($A531,3) &amp; RIGHT($A531,4)) + TIMEVALUE($B531), "")</f>
        <v/>
      </c>
      <c r="O531" s="33" t="str">
        <f>IF(Account!$F531&lt;&gt;"", DATEVALUE(MID($A531,4,3) &amp; LEFT($A531,3) &amp; RIGHT($A531,4)), "")</f>
        <v/>
      </c>
      <c r="P531" s="34" t="str">
        <f>IFERROR(VLOOKUP($Q531,Selection!$F:$G,2,false))</f>
        <v/>
      </c>
      <c r="Q531" s="36" t="str">
        <f>IF(AND($X531="change",$H531="EUR"),IF(AND($Z531="Crédit",$N531=$N532),$Q532,IF(AND($Z531="Débit",$N531=$N530),$Q530)),IF(OR(AND(OR($E531&lt;&gt;"",$L531=""),$M531&lt;&gt;0),$A531=""),IFERROR(VLOOKUP($E531,Selection!$E:$F,2,false)),IFERROR(VLOOKUP(SUBSTITUTE($I531,"-","",1),$K532:$Q1119,7,false),VLOOKUP($K531,$K532:$Q1119,7,false))))</f>
        <v/>
      </c>
      <c r="R531" s="34" t="str">
        <f t="shared" si="2"/>
        <v/>
      </c>
      <c r="S531" s="37" t="str">
        <f t="shared" si="3"/>
        <v/>
      </c>
      <c r="T531" s="38" t="str">
        <f t="shared" si="4"/>
        <v/>
      </c>
      <c r="U531" s="28" t="str">
        <f t="shared" si="5"/>
        <v/>
      </c>
      <c r="V531" s="39" t="str">
        <f>IFERROR(__xludf.DUMMYFUNCTION(" IF(Account!$F531&lt;&gt;"""", SPLIT(Account!$F531, "" ""), """")"),"")</f>
        <v/>
      </c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</row>
    <row r="532">
      <c r="A532" s="7"/>
      <c r="B532" s="7"/>
      <c r="C532" s="7"/>
      <c r="D532" s="7"/>
      <c r="E532" s="7"/>
      <c r="F532" s="9"/>
      <c r="G532" s="341"/>
      <c r="H532" s="7"/>
      <c r="I532" s="7"/>
      <c r="J532" s="7"/>
      <c r="K532" s="7"/>
      <c r="L532" s="26" t="str">
        <f t="shared" si="1"/>
        <v/>
      </c>
      <c r="M532" s="28" t="str">
        <f>IFERROR(__xludf.DUMMYFUNCTION("IF(Account!$F532&lt;&gt;"""", VALUE(REGEXREPLACE($I532, ""\,"", ""."")), """")"),"")</f>
        <v/>
      </c>
      <c r="N532" s="31" t="str">
        <f>IF(Account!$F532&lt;&gt;"", DATEVALUE(MID($A532,4,3) &amp; LEFT($A532,3) &amp; RIGHT($A532,4)) + TIMEVALUE($B532), "")</f>
        <v/>
      </c>
      <c r="O532" s="33" t="str">
        <f>IF(Account!$F532&lt;&gt;"", DATEVALUE(MID($A532,4,3) &amp; LEFT($A532,3) &amp; RIGHT($A532,4)), "")</f>
        <v/>
      </c>
      <c r="P532" s="34" t="str">
        <f>IFERROR(VLOOKUP($Q532,Selection!$F:$G,2,false))</f>
        <v/>
      </c>
      <c r="Q532" s="36" t="str">
        <f>IF(AND($X532="change",$H532="EUR"),IF(AND($Z532="Crédit",$N532=$N533),$Q533,IF(AND($Z532="Débit",$N532=$N531),$Q531)),IF(OR(AND(OR($E532&lt;&gt;"",$L532=""),$M532&lt;&gt;0),$A532=""),IFERROR(VLOOKUP($E532,Selection!$E:$F,2,false)),IFERROR(VLOOKUP(SUBSTITUTE($I532,"-","",1),$K533:$Q1119,7,false),VLOOKUP($K532,$K533:$Q1119,7,false))))</f>
        <v/>
      </c>
      <c r="R532" s="34" t="str">
        <f t="shared" si="2"/>
        <v/>
      </c>
      <c r="S532" s="37" t="str">
        <f t="shared" si="3"/>
        <v/>
      </c>
      <c r="T532" s="38" t="str">
        <f t="shared" si="4"/>
        <v/>
      </c>
      <c r="U532" s="28" t="str">
        <f t="shared" si="5"/>
        <v/>
      </c>
      <c r="V532" s="39" t="str">
        <f>IFERROR(__xludf.DUMMYFUNCTION(" IF(Account!$F532&lt;&gt;"""", SPLIT(Account!$F532, "" ""), """")"),"")</f>
        <v/>
      </c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</row>
    <row r="533">
      <c r="A533" s="7"/>
      <c r="B533" s="7"/>
      <c r="C533" s="7"/>
      <c r="D533" s="7"/>
      <c r="E533" s="7"/>
      <c r="F533" s="9"/>
      <c r="G533" s="341"/>
      <c r="H533" s="7"/>
      <c r="I533" s="7"/>
      <c r="J533" s="7"/>
      <c r="K533" s="7"/>
      <c r="L533" s="26" t="str">
        <f t="shared" si="1"/>
        <v/>
      </c>
      <c r="M533" s="28" t="str">
        <f>IFERROR(__xludf.DUMMYFUNCTION("IF(Account!$F533&lt;&gt;"""", VALUE(REGEXREPLACE($I533, ""\,"", ""."")), """")"),"")</f>
        <v/>
      </c>
      <c r="N533" s="31" t="str">
        <f>IF(Account!$F533&lt;&gt;"", DATEVALUE(MID($A533,4,3) &amp; LEFT($A533,3) &amp; RIGHT($A533,4)) + TIMEVALUE($B533), "")</f>
        <v/>
      </c>
      <c r="O533" s="33" t="str">
        <f>IF(Account!$F533&lt;&gt;"", DATEVALUE(MID($A533,4,3) &amp; LEFT($A533,3) &amp; RIGHT($A533,4)), "")</f>
        <v/>
      </c>
      <c r="P533" s="34" t="str">
        <f>IFERROR(VLOOKUP($Q533,Selection!$F:$G,2,false))</f>
        <v/>
      </c>
      <c r="Q533" s="36" t="str">
        <f>IF(AND($X533="change",$H533="EUR"),IF(AND($Z533="Crédit",$N533=$N534),$Q534,IF(AND($Z533="Débit",$N533=$N532),$Q532)),IF(OR(AND(OR($E533&lt;&gt;"",$L533=""),$M533&lt;&gt;0),$A533=""),IFERROR(VLOOKUP($E533,Selection!$E:$F,2,false)),IFERROR(VLOOKUP(SUBSTITUTE($I533,"-","",1),$K534:$Q1119,7,false),VLOOKUP($K533,$K534:$Q1119,7,false))))</f>
        <v/>
      </c>
      <c r="R533" s="34" t="str">
        <f t="shared" si="2"/>
        <v/>
      </c>
      <c r="S533" s="37" t="str">
        <f t="shared" si="3"/>
        <v/>
      </c>
      <c r="T533" s="38" t="str">
        <f t="shared" si="4"/>
        <v/>
      </c>
      <c r="U533" s="28" t="str">
        <f t="shared" si="5"/>
        <v/>
      </c>
      <c r="V533" s="39" t="str">
        <f>IFERROR(__xludf.DUMMYFUNCTION(" IF(Account!$F533&lt;&gt;"""", SPLIT(Account!$F533, "" ""), """")"),"")</f>
        <v/>
      </c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</row>
    <row r="534">
      <c r="A534" s="7"/>
      <c r="B534" s="7"/>
      <c r="C534" s="7"/>
      <c r="D534" s="7"/>
      <c r="E534" s="7"/>
      <c r="F534" s="9"/>
      <c r="G534" s="341"/>
      <c r="H534" s="341"/>
      <c r="I534" s="341"/>
      <c r="J534" s="7"/>
      <c r="K534" s="7"/>
      <c r="L534" s="26" t="str">
        <f t="shared" si="1"/>
        <v/>
      </c>
      <c r="M534" s="28" t="str">
        <f>IFERROR(__xludf.DUMMYFUNCTION("IF(Account!$F534&lt;&gt;"""", VALUE(REGEXREPLACE($I534, ""\,"", ""."")), """")"),"")</f>
        <v/>
      </c>
      <c r="N534" s="31" t="str">
        <f>IF(Account!$F534&lt;&gt;"", DATEVALUE(MID($A534,4,3) &amp; LEFT($A534,3) &amp; RIGHT($A534,4)) + TIMEVALUE($B534), "")</f>
        <v/>
      </c>
      <c r="O534" s="33" t="str">
        <f>IF(Account!$F534&lt;&gt;"", DATEVALUE(MID($A534,4,3) &amp; LEFT($A534,3) &amp; RIGHT($A534,4)), "")</f>
        <v/>
      </c>
      <c r="P534" s="34" t="str">
        <f>IFERROR(VLOOKUP($Q534,Selection!$F:$G,2,false))</f>
        <v/>
      </c>
      <c r="Q534" s="36" t="str">
        <f>IF(AND($X534="change",$H534="EUR"),IF(AND($Z534="Crédit",$N534=$N535),$Q535,IF(AND($Z534="Débit",$N534=$N533),$Q533)),IF(OR(AND(OR($E534&lt;&gt;"",$L534=""),$M534&lt;&gt;0),$A534=""),IFERROR(VLOOKUP($E534,Selection!$E:$F,2,false)),IFERROR(VLOOKUP(SUBSTITUTE($I534,"-","",1),$K535:$Q1119,7,false),VLOOKUP($K534,$K535:$Q1119,7,false))))</f>
        <v/>
      </c>
      <c r="R534" s="34" t="str">
        <f t="shared" si="2"/>
        <v/>
      </c>
      <c r="S534" s="37" t="str">
        <f t="shared" si="3"/>
        <v/>
      </c>
      <c r="T534" s="38" t="str">
        <f t="shared" si="4"/>
        <v/>
      </c>
      <c r="U534" s="28" t="str">
        <f t="shared" si="5"/>
        <v/>
      </c>
      <c r="V534" s="39" t="str">
        <f>IFERROR(__xludf.DUMMYFUNCTION(" IF(Account!$F534&lt;&gt;"""", SPLIT(Account!$F534, "" ""), """")"),"")</f>
        <v/>
      </c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</row>
    <row r="535">
      <c r="A535" s="7"/>
      <c r="B535" s="7"/>
      <c r="C535" s="7"/>
      <c r="D535" s="7"/>
      <c r="E535" s="7"/>
      <c r="F535" s="9"/>
      <c r="G535" s="341"/>
      <c r="H535" s="7"/>
      <c r="I535" s="7"/>
      <c r="J535" s="7"/>
      <c r="K535" s="7"/>
      <c r="L535" s="26" t="str">
        <f t="shared" si="1"/>
        <v/>
      </c>
      <c r="M535" s="28" t="str">
        <f>IFERROR(__xludf.DUMMYFUNCTION("IF(Account!$F535&lt;&gt;"""", VALUE(REGEXREPLACE($I535, ""\,"", ""."")), """")"),"")</f>
        <v/>
      </c>
      <c r="N535" s="31" t="str">
        <f>IF(Account!$F535&lt;&gt;"", DATEVALUE(MID($A535,4,3) &amp; LEFT($A535,3) &amp; RIGHT($A535,4)) + TIMEVALUE($B535), "")</f>
        <v/>
      </c>
      <c r="O535" s="33" t="str">
        <f>IF(Account!$F535&lt;&gt;"", DATEVALUE(MID($A535,4,3) &amp; LEFT($A535,3) &amp; RIGHT($A535,4)), "")</f>
        <v/>
      </c>
      <c r="P535" s="34" t="str">
        <f>IFERROR(VLOOKUP($Q535,Selection!$F:$G,2,false))</f>
        <v/>
      </c>
      <c r="Q535" s="36" t="str">
        <f>IF(AND($X535="change",$H535="EUR"),IF(AND($Z535="Crédit",$N535=$N536),$Q536,IF(AND($Z535="Débit",$N535=$N534),$Q534)),IF(OR(AND(OR($E535&lt;&gt;"",$L535=""),$M535&lt;&gt;0),$A535=""),IFERROR(VLOOKUP($E535,Selection!$E:$F,2,false)),IFERROR(VLOOKUP(SUBSTITUTE($I535,"-","",1),$K536:$Q1119,7,false),VLOOKUP($K535,$K536:$Q1119,7,false))))</f>
        <v/>
      </c>
      <c r="R535" s="34" t="str">
        <f t="shared" si="2"/>
        <v/>
      </c>
      <c r="S535" s="37" t="str">
        <f t="shared" si="3"/>
        <v/>
      </c>
      <c r="T535" s="38" t="str">
        <f t="shared" si="4"/>
        <v/>
      </c>
      <c r="U535" s="28" t="str">
        <f t="shared" si="5"/>
        <v/>
      </c>
      <c r="V535" s="39" t="str">
        <f>IFERROR(__xludf.DUMMYFUNCTION(" IF(Account!$F535&lt;&gt;"""", SPLIT(Account!$F535, "" ""), """")"),"")</f>
        <v/>
      </c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</row>
    <row r="536">
      <c r="A536" s="7"/>
      <c r="B536" s="7"/>
      <c r="C536" s="7"/>
      <c r="D536" s="7"/>
      <c r="E536" s="7"/>
      <c r="F536" s="9"/>
      <c r="G536" s="341"/>
      <c r="H536" s="341"/>
      <c r="I536" s="341"/>
      <c r="J536" s="7"/>
      <c r="K536" s="7"/>
      <c r="L536" s="26" t="str">
        <f t="shared" si="1"/>
        <v/>
      </c>
      <c r="M536" s="28" t="str">
        <f>IFERROR(__xludf.DUMMYFUNCTION("IF(Account!$F536&lt;&gt;"""", VALUE(REGEXREPLACE($I536, ""\,"", ""."")), """")"),"")</f>
        <v/>
      </c>
      <c r="N536" s="31" t="str">
        <f>IF(Account!$F536&lt;&gt;"", DATEVALUE(MID($A536,4,3) &amp; LEFT($A536,3) &amp; RIGHT($A536,4)) + TIMEVALUE($B536), "")</f>
        <v/>
      </c>
      <c r="O536" s="33" t="str">
        <f>IF(Account!$F536&lt;&gt;"", DATEVALUE(MID($A536,4,3) &amp; LEFT($A536,3) &amp; RIGHT($A536,4)), "")</f>
        <v/>
      </c>
      <c r="P536" s="34" t="str">
        <f>IFERROR(VLOOKUP($Q536,Selection!$F:$G,2,false))</f>
        <v/>
      </c>
      <c r="Q536" s="36" t="str">
        <f>IF(AND($X536="change",$H536="EUR"),IF(AND($Z536="Crédit",$N536=$N537),$Q537,IF(AND($Z536="Débit",$N536=$N535),$Q535)),IF(OR(AND(OR($E536&lt;&gt;"",$L536=""),$M536&lt;&gt;0),$A536=""),IFERROR(VLOOKUP($E536,Selection!$E:$F,2,false)),IFERROR(VLOOKUP(SUBSTITUTE($I536,"-","",1),$K537:$Q1119,7,false),VLOOKUP($K536,$K537:$Q1119,7,false))))</f>
        <v/>
      </c>
      <c r="R536" s="34" t="str">
        <f t="shared" si="2"/>
        <v/>
      </c>
      <c r="S536" s="37" t="str">
        <f t="shared" si="3"/>
        <v/>
      </c>
      <c r="T536" s="38" t="str">
        <f t="shared" si="4"/>
        <v/>
      </c>
      <c r="U536" s="28" t="str">
        <f t="shared" si="5"/>
        <v/>
      </c>
      <c r="V536" s="39" t="str">
        <f>IFERROR(__xludf.DUMMYFUNCTION(" IF(Account!$F536&lt;&gt;"""", SPLIT(Account!$F536, "" ""), """")"),"")</f>
        <v/>
      </c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</row>
    <row r="537">
      <c r="A537" s="7"/>
      <c r="B537" s="7"/>
      <c r="C537" s="7"/>
      <c r="D537" s="7"/>
      <c r="E537" s="7"/>
      <c r="F537" s="9"/>
      <c r="G537" s="341"/>
      <c r="H537" s="7"/>
      <c r="I537" s="7"/>
      <c r="J537" s="7"/>
      <c r="K537" s="7"/>
      <c r="L537" s="26" t="str">
        <f t="shared" si="1"/>
        <v/>
      </c>
      <c r="M537" s="28" t="str">
        <f>IFERROR(__xludf.DUMMYFUNCTION("IF(Account!$F537&lt;&gt;"""", VALUE(REGEXREPLACE($I537, ""\,"", ""."")), """")"),"")</f>
        <v/>
      </c>
      <c r="N537" s="31" t="str">
        <f>IF(Account!$F537&lt;&gt;"", DATEVALUE(MID($A537,4,3) &amp; LEFT($A537,3) &amp; RIGHT($A537,4)) + TIMEVALUE($B537), "")</f>
        <v/>
      </c>
      <c r="O537" s="33" t="str">
        <f>IF(Account!$F537&lt;&gt;"", DATEVALUE(MID($A537,4,3) &amp; LEFT($A537,3) &amp; RIGHT($A537,4)), "")</f>
        <v/>
      </c>
      <c r="P537" s="34" t="str">
        <f>IFERROR(VLOOKUP($Q537,Selection!$F:$G,2,false))</f>
        <v/>
      </c>
      <c r="Q537" s="36" t="str">
        <f>IF(AND($X537="change",$H537="EUR"),IF(AND($Z537="Crédit",$N537=$N538),$Q538,IF(AND($Z537="Débit",$N537=$N536),$Q536)),IF(OR(AND(OR($E537&lt;&gt;"",$L537=""),$M537&lt;&gt;0),$A537=""),IFERROR(VLOOKUP($E537,Selection!$E:$F,2,false)),IFERROR(VLOOKUP(SUBSTITUTE($I537,"-","",1),$K538:$Q1119,7,false),VLOOKUP($K537,$K538:$Q1119,7,false))))</f>
        <v/>
      </c>
      <c r="R537" s="34" t="str">
        <f t="shared" si="2"/>
        <v/>
      </c>
      <c r="S537" s="37" t="str">
        <f t="shared" si="3"/>
        <v/>
      </c>
      <c r="T537" s="38" t="str">
        <f t="shared" si="4"/>
        <v/>
      </c>
      <c r="U537" s="28" t="str">
        <f t="shared" si="5"/>
        <v/>
      </c>
      <c r="V537" s="39" t="str">
        <f>IFERROR(__xludf.DUMMYFUNCTION(" IF(Account!$F537&lt;&gt;"""", SPLIT(Account!$F537, "" ""), """")"),"")</f>
        <v/>
      </c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</row>
    <row r="538">
      <c r="A538" s="7"/>
      <c r="B538" s="7"/>
      <c r="C538" s="7"/>
      <c r="D538" s="7"/>
      <c r="E538" s="7"/>
      <c r="F538" s="9"/>
      <c r="G538" s="7"/>
      <c r="H538" s="7"/>
      <c r="I538" s="7"/>
      <c r="J538" s="7"/>
      <c r="K538" s="7"/>
      <c r="L538" s="26" t="str">
        <f t="shared" si="1"/>
        <v/>
      </c>
      <c r="M538" s="28" t="str">
        <f>IFERROR(__xludf.DUMMYFUNCTION("IF(Account!$F538&lt;&gt;"""", VALUE(REGEXREPLACE($I538, ""\,"", ""."")), """")"),"")</f>
        <v/>
      </c>
      <c r="N538" s="31" t="str">
        <f>IF(Account!$F538&lt;&gt;"", DATEVALUE(MID($A538,4,3) &amp; LEFT($A538,3) &amp; RIGHT($A538,4)) + TIMEVALUE($B538), "")</f>
        <v/>
      </c>
      <c r="O538" s="33" t="str">
        <f>IF(Account!$F538&lt;&gt;"", DATEVALUE(MID($A538,4,3) &amp; LEFT($A538,3) &amp; RIGHT($A538,4)), "")</f>
        <v/>
      </c>
      <c r="P538" s="34" t="str">
        <f>IFERROR(VLOOKUP($Q538,Selection!$F:$G,2,false))</f>
        <v/>
      </c>
      <c r="Q538" s="36" t="str">
        <f>IF(AND($X538="change",$H538="EUR"),IF(AND($Z538="Crédit",$N538=$N539),$Q539,IF(AND($Z538="Débit",$N538=$N537),$Q537)),IF(OR(AND(OR($E538&lt;&gt;"",$L538=""),$M538&lt;&gt;0),$A538=""),IFERROR(VLOOKUP($E538,Selection!$E:$F,2,false)),IFERROR(VLOOKUP(SUBSTITUTE($I538,"-","",1),$K539:$Q1119,7,false),VLOOKUP($K538,$K539:$Q1119,7,false))))</f>
        <v/>
      </c>
      <c r="R538" s="34" t="str">
        <f t="shared" si="2"/>
        <v/>
      </c>
      <c r="S538" s="37" t="str">
        <f t="shared" si="3"/>
        <v/>
      </c>
      <c r="T538" s="38" t="str">
        <f t="shared" si="4"/>
        <v/>
      </c>
      <c r="U538" s="28" t="str">
        <f t="shared" si="5"/>
        <v/>
      </c>
      <c r="V538" s="39" t="str">
        <f>IFERROR(__xludf.DUMMYFUNCTION(" IF(Account!$F538&lt;&gt;"""", SPLIT(Account!$F538, "" ""), """")"),"")</f>
        <v/>
      </c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</row>
    <row r="539">
      <c r="A539" s="7"/>
      <c r="B539" s="7"/>
      <c r="C539" s="7"/>
      <c r="D539" s="7"/>
      <c r="E539" s="7"/>
      <c r="F539" s="9"/>
      <c r="G539" s="341"/>
      <c r="H539" s="7"/>
      <c r="I539" s="7"/>
      <c r="J539" s="7"/>
      <c r="K539" s="7"/>
      <c r="L539" s="26" t="str">
        <f t="shared" si="1"/>
        <v/>
      </c>
      <c r="M539" s="28" t="str">
        <f>IFERROR(__xludf.DUMMYFUNCTION("IF(Account!$F539&lt;&gt;"""", VALUE(REGEXREPLACE($I539, ""\,"", ""."")), """")"),"")</f>
        <v/>
      </c>
      <c r="N539" s="31" t="str">
        <f>IF(Account!$F539&lt;&gt;"", DATEVALUE(MID($A539,4,3) &amp; LEFT($A539,3) &amp; RIGHT($A539,4)) + TIMEVALUE($B539), "")</f>
        <v/>
      </c>
      <c r="O539" s="33" t="str">
        <f>IF(Account!$F539&lt;&gt;"", DATEVALUE(MID($A539,4,3) &amp; LEFT($A539,3) &amp; RIGHT($A539,4)), "")</f>
        <v/>
      </c>
      <c r="P539" s="34" t="str">
        <f>IFERROR(VLOOKUP($Q539,Selection!$F:$G,2,false))</f>
        <v/>
      </c>
      <c r="Q539" s="36" t="str">
        <f>IF(AND($X539="change",$H539="EUR"),IF(AND($Z539="Crédit",$N539=$N540),$Q540,IF(AND($Z539="Débit",$N539=$N538),$Q538)),IF(OR(AND(OR($E539&lt;&gt;"",$L539=""),$M539&lt;&gt;0),$A539=""),IFERROR(VLOOKUP($E539,Selection!$E:$F,2,false)),IFERROR(VLOOKUP(SUBSTITUTE($I539,"-","",1),$K540:$Q1119,7,false),VLOOKUP($K539,$K540:$Q1119,7,false))))</f>
        <v/>
      </c>
      <c r="R539" s="34" t="str">
        <f t="shared" si="2"/>
        <v/>
      </c>
      <c r="S539" s="37" t="str">
        <f t="shared" si="3"/>
        <v/>
      </c>
      <c r="T539" s="38" t="str">
        <f t="shared" si="4"/>
        <v/>
      </c>
      <c r="U539" s="28" t="str">
        <f t="shared" si="5"/>
        <v/>
      </c>
      <c r="V539" s="39" t="str">
        <f>IFERROR(__xludf.DUMMYFUNCTION(" IF(Account!$F539&lt;&gt;"""", SPLIT(Account!$F539, "" ""), """")"),"")</f>
        <v/>
      </c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</row>
    <row r="540">
      <c r="A540" s="7"/>
      <c r="B540" s="7"/>
      <c r="C540" s="7"/>
      <c r="D540" s="7"/>
      <c r="E540" s="7"/>
      <c r="F540" s="9"/>
      <c r="G540" s="7"/>
      <c r="H540" s="7"/>
      <c r="I540" s="7"/>
      <c r="J540" s="7"/>
      <c r="K540" s="7"/>
      <c r="L540" s="26" t="str">
        <f t="shared" si="1"/>
        <v/>
      </c>
      <c r="M540" s="28" t="str">
        <f>IFERROR(__xludf.DUMMYFUNCTION("IF(Account!$F540&lt;&gt;"""", VALUE(REGEXREPLACE($I540, ""\,"", ""."")), """")"),"")</f>
        <v/>
      </c>
      <c r="N540" s="31" t="str">
        <f>IF(Account!$F540&lt;&gt;"", DATEVALUE(MID($A540,4,3) &amp; LEFT($A540,3) &amp; RIGHT($A540,4)) + TIMEVALUE($B540), "")</f>
        <v/>
      </c>
      <c r="O540" s="33" t="str">
        <f>IF(Account!$F540&lt;&gt;"", DATEVALUE(MID($A540,4,3) &amp; LEFT($A540,3) &amp; RIGHT($A540,4)), "")</f>
        <v/>
      </c>
      <c r="P540" s="34" t="str">
        <f>IFERROR(VLOOKUP($Q540,Selection!$F:$G,2,false))</f>
        <v/>
      </c>
      <c r="Q540" s="36" t="str">
        <f>IF(AND($X540="change",$H540="EUR"),IF(AND($Z540="Crédit",$N540=$N541),$Q541,IF(AND($Z540="Débit",$N540=$N539),$Q539)),IF(OR(AND(OR($E540&lt;&gt;"",$L540=""),$M540&lt;&gt;0),$A540=""),IFERROR(VLOOKUP($E540,Selection!$E:$F,2,false)),IFERROR(VLOOKUP(SUBSTITUTE($I540,"-","",1),$K541:$Q1119,7,false),VLOOKUP($K540,$K541:$Q1119,7,false))))</f>
        <v/>
      </c>
      <c r="R540" s="34" t="str">
        <f t="shared" si="2"/>
        <v/>
      </c>
      <c r="S540" s="37" t="str">
        <f t="shared" si="3"/>
        <v/>
      </c>
      <c r="T540" s="38" t="str">
        <f t="shared" si="4"/>
        <v/>
      </c>
      <c r="U540" s="28" t="str">
        <f t="shared" si="5"/>
        <v/>
      </c>
      <c r="V540" s="39" t="str">
        <f>IFERROR(__xludf.DUMMYFUNCTION(" IF(Account!$F540&lt;&gt;"""", SPLIT(Account!$F540, "" ""), """")"),"")</f>
        <v/>
      </c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</row>
    <row r="541">
      <c r="A541" s="7"/>
      <c r="B541" s="7"/>
      <c r="C541" s="7"/>
      <c r="D541" s="7"/>
      <c r="E541" s="7"/>
      <c r="F541" s="9"/>
      <c r="G541" s="341"/>
      <c r="H541" s="7"/>
      <c r="I541" s="7"/>
      <c r="J541" s="7"/>
      <c r="K541" s="7"/>
      <c r="L541" s="26" t="str">
        <f t="shared" si="1"/>
        <v/>
      </c>
      <c r="M541" s="28" t="str">
        <f>IFERROR(__xludf.DUMMYFUNCTION("IF(Account!$F541&lt;&gt;"""", VALUE(REGEXREPLACE($I541, ""\,"", ""."")), """")"),"")</f>
        <v/>
      </c>
      <c r="N541" s="31" t="str">
        <f>IF(Account!$F541&lt;&gt;"", DATEVALUE(MID($A541,4,3) &amp; LEFT($A541,3) &amp; RIGHT($A541,4)) + TIMEVALUE($B541), "")</f>
        <v/>
      </c>
      <c r="O541" s="33" t="str">
        <f>IF(Account!$F541&lt;&gt;"", DATEVALUE(MID($A541,4,3) &amp; LEFT($A541,3) &amp; RIGHT($A541,4)), "")</f>
        <v/>
      </c>
      <c r="P541" s="34" t="str">
        <f>IFERROR(VLOOKUP($Q541,Selection!$F:$G,2,false))</f>
        <v/>
      </c>
      <c r="Q541" s="36" t="str">
        <f>IF(AND($X541="change",$H541="EUR"),IF(AND($Z541="Crédit",$N541=$N542),$Q542,IF(AND($Z541="Débit",$N541=$N540),$Q540)),IF(OR(AND(OR($E541&lt;&gt;"",$L541=""),$M541&lt;&gt;0),$A541=""),IFERROR(VLOOKUP($E541,Selection!$E:$F,2,false)),IFERROR(VLOOKUP(SUBSTITUTE($I541,"-","",1),$K542:$Q1119,7,false),VLOOKUP($K541,$K542:$Q1119,7,false))))</f>
        <v/>
      </c>
      <c r="R541" s="34" t="str">
        <f t="shared" si="2"/>
        <v/>
      </c>
      <c r="S541" s="37" t="str">
        <f t="shared" si="3"/>
        <v/>
      </c>
      <c r="T541" s="38" t="str">
        <f t="shared" si="4"/>
        <v/>
      </c>
      <c r="U541" s="28" t="str">
        <f t="shared" si="5"/>
        <v/>
      </c>
      <c r="V541" s="39" t="str">
        <f>IFERROR(__xludf.DUMMYFUNCTION(" IF(Account!$F541&lt;&gt;"""", SPLIT(Account!$F541, "" ""), """")"),"")</f>
        <v/>
      </c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</row>
    <row r="542">
      <c r="A542" s="7"/>
      <c r="B542" s="7"/>
      <c r="C542" s="7"/>
      <c r="D542" s="7"/>
      <c r="E542" s="7"/>
      <c r="F542" s="9"/>
      <c r="G542" s="7"/>
      <c r="H542" s="7"/>
      <c r="I542" s="7"/>
      <c r="J542" s="7"/>
      <c r="K542" s="7"/>
      <c r="L542" s="26" t="str">
        <f t="shared" si="1"/>
        <v/>
      </c>
      <c r="M542" s="28" t="str">
        <f>IFERROR(__xludf.DUMMYFUNCTION("IF(Account!$F542&lt;&gt;"""", VALUE(REGEXREPLACE($I542, ""\,"", ""."")), """")"),"")</f>
        <v/>
      </c>
      <c r="N542" s="31" t="str">
        <f>IF(Account!$F542&lt;&gt;"", DATEVALUE(MID($A542,4,3) &amp; LEFT($A542,3) &amp; RIGHT($A542,4)) + TIMEVALUE($B542), "")</f>
        <v/>
      </c>
      <c r="O542" s="33" t="str">
        <f>IF(Account!$F542&lt;&gt;"", DATEVALUE(MID($A542,4,3) &amp; LEFT($A542,3) &amp; RIGHT($A542,4)), "")</f>
        <v/>
      </c>
      <c r="P542" s="34" t="str">
        <f>IFERROR(VLOOKUP($Q542,Selection!$F:$G,2,false))</f>
        <v/>
      </c>
      <c r="Q542" s="36" t="str">
        <f>IF(AND($X542="change",$H542="EUR"),IF(AND($Z542="Crédit",$N542=$N543),$Q543,IF(AND($Z542="Débit",$N542=$N541),$Q541)),IF(OR(AND(OR($E542&lt;&gt;"",$L542=""),$M542&lt;&gt;0),$A542=""),IFERROR(VLOOKUP($E542,Selection!$E:$F,2,false)),IFERROR(VLOOKUP(SUBSTITUTE($I542,"-","",1),$K543:$Q1119,7,false),VLOOKUP($K542,$K543:$Q1119,7,false))))</f>
        <v/>
      </c>
      <c r="R542" s="34" t="str">
        <f t="shared" si="2"/>
        <v/>
      </c>
      <c r="S542" s="37" t="str">
        <f t="shared" si="3"/>
        <v/>
      </c>
      <c r="T542" s="38" t="str">
        <f t="shared" si="4"/>
        <v/>
      </c>
      <c r="U542" s="28" t="str">
        <f t="shared" si="5"/>
        <v/>
      </c>
      <c r="V542" s="39" t="str">
        <f>IFERROR(__xludf.DUMMYFUNCTION(" IF(Account!$F542&lt;&gt;"""", SPLIT(Account!$F542, "" ""), """")"),"")</f>
        <v/>
      </c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</row>
    <row r="543">
      <c r="A543" s="7"/>
      <c r="B543" s="7"/>
      <c r="C543" s="7"/>
      <c r="D543" s="7"/>
      <c r="E543" s="7"/>
      <c r="F543" s="9"/>
      <c r="G543" s="341"/>
      <c r="H543" s="7"/>
      <c r="I543" s="7"/>
      <c r="J543" s="7"/>
      <c r="K543" s="7"/>
      <c r="L543" s="26" t="str">
        <f t="shared" si="1"/>
        <v/>
      </c>
      <c r="M543" s="28" t="str">
        <f>IFERROR(__xludf.DUMMYFUNCTION("IF(Account!$F543&lt;&gt;"""", VALUE(REGEXREPLACE($I543, ""\,"", ""."")), """")"),"")</f>
        <v/>
      </c>
      <c r="N543" s="31" t="str">
        <f>IF(Account!$F543&lt;&gt;"", DATEVALUE(MID($A543,4,3) &amp; LEFT($A543,3) &amp; RIGHT($A543,4)) + TIMEVALUE($B543), "")</f>
        <v/>
      </c>
      <c r="O543" s="33" t="str">
        <f>IF(Account!$F543&lt;&gt;"", DATEVALUE(MID($A543,4,3) &amp; LEFT($A543,3) &amp; RIGHT($A543,4)), "")</f>
        <v/>
      </c>
      <c r="P543" s="34" t="str">
        <f>IFERROR(VLOOKUP($Q543,Selection!$F:$G,2,false))</f>
        <v/>
      </c>
      <c r="Q543" s="36" t="str">
        <f>IF(AND($X543="change",$H543="EUR"),IF(AND($Z543="Crédit",$N543=$N544),$Q544,IF(AND($Z543="Débit",$N543=$N542),$Q542)),IF(OR(AND(OR($E543&lt;&gt;"",$L543=""),$M543&lt;&gt;0),$A543=""),IFERROR(VLOOKUP($E543,Selection!$E:$F,2,false)),IFERROR(VLOOKUP(SUBSTITUTE($I543,"-","",1),$K544:$Q1119,7,false),VLOOKUP($K543,$K544:$Q1119,7,false))))</f>
        <v/>
      </c>
      <c r="R543" s="34" t="str">
        <f t="shared" si="2"/>
        <v/>
      </c>
      <c r="S543" s="37" t="str">
        <f t="shared" si="3"/>
        <v/>
      </c>
      <c r="T543" s="38" t="str">
        <f t="shared" si="4"/>
        <v/>
      </c>
      <c r="U543" s="28" t="str">
        <f t="shared" si="5"/>
        <v/>
      </c>
      <c r="V543" s="39" t="str">
        <f>IFERROR(__xludf.DUMMYFUNCTION(" IF(Account!$F543&lt;&gt;"""", SPLIT(Account!$F543, "" ""), """")"),"")</f>
        <v/>
      </c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</row>
    <row r="544">
      <c r="A544" s="7"/>
      <c r="B544" s="7"/>
      <c r="C544" s="7"/>
      <c r="D544" s="7"/>
      <c r="E544" s="7"/>
      <c r="F544" s="9"/>
      <c r="G544" s="7"/>
      <c r="H544" s="7"/>
      <c r="I544" s="7"/>
      <c r="J544" s="7"/>
      <c r="K544" s="7"/>
      <c r="L544" s="26" t="str">
        <f t="shared" si="1"/>
        <v/>
      </c>
      <c r="M544" s="28" t="str">
        <f>IFERROR(__xludf.DUMMYFUNCTION("IF(Account!$F544&lt;&gt;"""", VALUE(REGEXREPLACE($I544, ""\,"", ""."")), """")"),"")</f>
        <v/>
      </c>
      <c r="N544" s="31" t="str">
        <f>IF(Account!$F544&lt;&gt;"", DATEVALUE(MID($A544,4,3) &amp; LEFT($A544,3) &amp; RIGHT($A544,4)) + TIMEVALUE($B544), "")</f>
        <v/>
      </c>
      <c r="O544" s="33" t="str">
        <f>IF(Account!$F544&lt;&gt;"", DATEVALUE(MID($A544,4,3) &amp; LEFT($A544,3) &amp; RIGHT($A544,4)), "")</f>
        <v/>
      </c>
      <c r="P544" s="34" t="str">
        <f>IFERROR(VLOOKUP($Q544,Selection!$F:$G,2,false))</f>
        <v/>
      </c>
      <c r="Q544" s="36" t="str">
        <f>IF(AND($X544="change",$H544="EUR"),IF(AND($Z544="Crédit",$N544=$N545),$Q545,IF(AND($Z544="Débit",$N544=$N543),$Q543)),IF(OR(AND(OR($E544&lt;&gt;"",$L544=""),$M544&lt;&gt;0),$A544=""),IFERROR(VLOOKUP($E544,Selection!$E:$F,2,false)),IFERROR(VLOOKUP(SUBSTITUTE($I544,"-","",1),$K545:$Q1119,7,false),VLOOKUP($K544,$K545:$Q1119,7,false))))</f>
        <v/>
      </c>
      <c r="R544" s="34" t="str">
        <f t="shared" si="2"/>
        <v/>
      </c>
      <c r="S544" s="37" t="str">
        <f t="shared" si="3"/>
        <v/>
      </c>
      <c r="T544" s="38" t="str">
        <f t="shared" si="4"/>
        <v/>
      </c>
      <c r="U544" s="28" t="str">
        <f t="shared" si="5"/>
        <v/>
      </c>
      <c r="V544" s="39" t="str">
        <f>IFERROR(__xludf.DUMMYFUNCTION(" IF(Account!$F544&lt;&gt;"""", SPLIT(Account!$F544, "" ""), """")"),"")</f>
        <v/>
      </c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</row>
    <row r="545">
      <c r="A545" s="7"/>
      <c r="B545" s="7"/>
      <c r="C545" s="7"/>
      <c r="D545" s="7"/>
      <c r="E545" s="7"/>
      <c r="F545" s="9"/>
      <c r="G545" s="341"/>
      <c r="H545" s="7"/>
      <c r="I545" s="7"/>
      <c r="J545" s="7"/>
      <c r="K545" s="7"/>
      <c r="L545" s="26" t="str">
        <f t="shared" si="1"/>
        <v/>
      </c>
      <c r="M545" s="28" t="str">
        <f>IFERROR(__xludf.DUMMYFUNCTION("IF(Account!$F545&lt;&gt;"""", VALUE(REGEXREPLACE($I545, ""\,"", ""."")), """")"),"")</f>
        <v/>
      </c>
      <c r="N545" s="31" t="str">
        <f>IF(Account!$F545&lt;&gt;"", DATEVALUE(MID($A545,4,3) &amp; LEFT($A545,3) &amp; RIGHT($A545,4)) + TIMEVALUE($B545), "")</f>
        <v/>
      </c>
      <c r="O545" s="33" t="str">
        <f>IF(Account!$F545&lt;&gt;"", DATEVALUE(MID($A545,4,3) &amp; LEFT($A545,3) &amp; RIGHT($A545,4)), "")</f>
        <v/>
      </c>
      <c r="P545" s="34" t="str">
        <f>IFERROR(VLOOKUP($Q545,Selection!$F:$G,2,false))</f>
        <v/>
      </c>
      <c r="Q545" s="36" t="str">
        <f>IF(AND($X545="change",$H545="EUR"),IF(AND($Z545="Crédit",$N545=$N546),$Q546,IF(AND($Z545="Débit",$N545=$N544),$Q544)),IF(OR(AND(OR($E545&lt;&gt;"",$L545=""),$M545&lt;&gt;0),$A545=""),IFERROR(VLOOKUP($E545,Selection!$E:$F,2,false)),IFERROR(VLOOKUP(SUBSTITUTE($I545,"-","",1),$K546:$Q1119,7,false),VLOOKUP($K545,$K546:$Q1119,7,false))))</f>
        <v/>
      </c>
      <c r="R545" s="34" t="str">
        <f t="shared" si="2"/>
        <v/>
      </c>
      <c r="S545" s="37" t="str">
        <f t="shared" si="3"/>
        <v/>
      </c>
      <c r="T545" s="38" t="str">
        <f t="shared" si="4"/>
        <v/>
      </c>
      <c r="U545" s="28" t="str">
        <f t="shared" si="5"/>
        <v/>
      </c>
      <c r="V545" s="39" t="str">
        <f>IFERROR(__xludf.DUMMYFUNCTION(" IF(Account!$F545&lt;&gt;"""", SPLIT(Account!$F545, "" ""), """")"),"")</f>
        <v/>
      </c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</row>
    <row r="546">
      <c r="A546" s="7"/>
      <c r="B546" s="7"/>
      <c r="C546" s="7"/>
      <c r="D546" s="7"/>
      <c r="E546" s="7"/>
      <c r="F546" s="9"/>
      <c r="G546" s="341"/>
      <c r="H546" s="7"/>
      <c r="I546" s="7"/>
      <c r="J546" s="7"/>
      <c r="K546" s="7"/>
      <c r="L546" s="26" t="str">
        <f t="shared" si="1"/>
        <v/>
      </c>
      <c r="M546" s="28" t="str">
        <f>IFERROR(__xludf.DUMMYFUNCTION("IF(Account!$F546&lt;&gt;"""", VALUE(REGEXREPLACE($I546, ""\,"", ""."")), """")"),"")</f>
        <v/>
      </c>
      <c r="N546" s="31" t="str">
        <f>IF(Account!$F546&lt;&gt;"", DATEVALUE(MID($A546,4,3) &amp; LEFT($A546,3) &amp; RIGHT($A546,4)) + TIMEVALUE($B546), "")</f>
        <v/>
      </c>
      <c r="O546" s="33" t="str">
        <f>IF(Account!$F546&lt;&gt;"", DATEVALUE(MID($A546,4,3) &amp; LEFT($A546,3) &amp; RIGHT($A546,4)), "")</f>
        <v/>
      </c>
      <c r="P546" s="34" t="str">
        <f>IFERROR(VLOOKUP($Q546,Selection!$F:$G,2,false))</f>
        <v/>
      </c>
      <c r="Q546" s="36" t="str">
        <f>IF(AND($X546="change",$H546="EUR"),IF(AND($Z546="Crédit",$N546=$N547),$Q547,IF(AND($Z546="Débit",$N546=$N545),$Q545)),IF(OR(AND(OR($E546&lt;&gt;"",$L546=""),$M546&lt;&gt;0),$A546=""),IFERROR(VLOOKUP($E546,Selection!$E:$F,2,false)),IFERROR(VLOOKUP(SUBSTITUTE($I546,"-","",1),$K547:$Q1119,7,false),VLOOKUP($K546,$K547:$Q1119,7,false))))</f>
        <v/>
      </c>
      <c r="R546" s="34" t="str">
        <f t="shared" si="2"/>
        <v/>
      </c>
      <c r="S546" s="37" t="str">
        <f t="shared" si="3"/>
        <v/>
      </c>
      <c r="T546" s="38" t="str">
        <f t="shared" si="4"/>
        <v/>
      </c>
      <c r="U546" s="28" t="str">
        <f t="shared" si="5"/>
        <v/>
      </c>
      <c r="V546" s="39" t="str">
        <f>IFERROR(__xludf.DUMMYFUNCTION(" IF(Account!$F546&lt;&gt;"""", SPLIT(Account!$F546, "" ""), """")"),"")</f>
        <v/>
      </c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</row>
    <row r="547">
      <c r="A547" s="7"/>
      <c r="B547" s="7"/>
      <c r="C547" s="7"/>
      <c r="D547" s="7"/>
      <c r="E547" s="7"/>
      <c r="F547" s="9"/>
      <c r="G547" s="341"/>
      <c r="H547" s="7"/>
      <c r="I547" s="7"/>
      <c r="J547" s="7"/>
      <c r="K547" s="7"/>
      <c r="L547" s="26" t="str">
        <f t="shared" si="1"/>
        <v/>
      </c>
      <c r="M547" s="28" t="str">
        <f>IFERROR(__xludf.DUMMYFUNCTION("IF(Account!$F547&lt;&gt;"""", VALUE(REGEXREPLACE($I547, ""\,"", ""."")), """")"),"")</f>
        <v/>
      </c>
      <c r="N547" s="31" t="str">
        <f>IF(Account!$F547&lt;&gt;"", DATEVALUE(MID($A547,4,3) &amp; LEFT($A547,3) &amp; RIGHT($A547,4)) + TIMEVALUE($B547), "")</f>
        <v/>
      </c>
      <c r="O547" s="33" t="str">
        <f>IF(Account!$F547&lt;&gt;"", DATEVALUE(MID($A547,4,3) &amp; LEFT($A547,3) &amp; RIGHT($A547,4)), "")</f>
        <v/>
      </c>
      <c r="P547" s="34" t="str">
        <f>IFERROR(VLOOKUP($Q547,Selection!$F:$G,2,false))</f>
        <v/>
      </c>
      <c r="Q547" s="36" t="str">
        <f>IF(AND($X547="change",$H547="EUR"),IF(AND($Z547="Crédit",$N547=$N548),$Q548,IF(AND($Z547="Débit",$N547=$N546),$Q546)),IF(OR(AND(OR($E547&lt;&gt;"",$L547=""),$M547&lt;&gt;0),$A547=""),IFERROR(VLOOKUP($E547,Selection!$E:$F,2,false)),IFERROR(VLOOKUP(SUBSTITUTE($I547,"-","",1),$K548:$Q1119,7,false),VLOOKUP($K547,$K548:$Q1119,7,false))))</f>
        <v/>
      </c>
      <c r="R547" s="34" t="str">
        <f t="shared" si="2"/>
        <v/>
      </c>
      <c r="S547" s="37" t="str">
        <f t="shared" si="3"/>
        <v/>
      </c>
      <c r="T547" s="38" t="str">
        <f t="shared" si="4"/>
        <v/>
      </c>
      <c r="U547" s="28" t="str">
        <f t="shared" si="5"/>
        <v/>
      </c>
      <c r="V547" s="39" t="str">
        <f>IFERROR(__xludf.DUMMYFUNCTION(" IF(Account!$F547&lt;&gt;"""", SPLIT(Account!$F547, "" ""), """")"),"")</f>
        <v/>
      </c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</row>
    <row r="548">
      <c r="A548" s="7"/>
      <c r="B548" s="7"/>
      <c r="C548" s="7"/>
      <c r="D548" s="7"/>
      <c r="E548" s="7"/>
      <c r="F548" s="9"/>
      <c r="G548" s="341"/>
      <c r="H548" s="7"/>
      <c r="I548" s="7"/>
      <c r="J548" s="7"/>
      <c r="K548" s="7"/>
      <c r="L548" s="26" t="str">
        <f t="shared" si="1"/>
        <v/>
      </c>
      <c r="M548" s="28" t="str">
        <f>IFERROR(__xludf.DUMMYFUNCTION("IF(Account!$F548&lt;&gt;"""", VALUE(REGEXREPLACE($I548, ""\,"", ""."")), """")"),"")</f>
        <v/>
      </c>
      <c r="N548" s="31" t="str">
        <f>IF(Account!$F548&lt;&gt;"", DATEVALUE(MID($A548,4,3) &amp; LEFT($A548,3) &amp; RIGHT($A548,4)) + TIMEVALUE($B548), "")</f>
        <v/>
      </c>
      <c r="O548" s="33" t="str">
        <f>IF(Account!$F548&lt;&gt;"", DATEVALUE(MID($A548,4,3) &amp; LEFT($A548,3) &amp; RIGHT($A548,4)), "")</f>
        <v/>
      </c>
      <c r="P548" s="34" t="str">
        <f>IFERROR(VLOOKUP($Q548,Selection!$F:$G,2,false))</f>
        <v/>
      </c>
      <c r="Q548" s="36" t="str">
        <f>IF(AND($X548="change",$H548="EUR"),IF(AND($Z548="Crédit",$N548=$N549),$Q549,IF(AND($Z548="Débit",$N548=$N547),$Q547)),IF(OR(AND(OR($E548&lt;&gt;"",$L548=""),$M548&lt;&gt;0),$A548=""),IFERROR(VLOOKUP($E548,Selection!$E:$F,2,false)),IFERROR(VLOOKUP(SUBSTITUTE($I548,"-","",1),$K549:$Q1119,7,false),VLOOKUP($K548,$K549:$Q1119,7,false))))</f>
        <v/>
      </c>
      <c r="R548" s="34" t="str">
        <f t="shared" si="2"/>
        <v/>
      </c>
      <c r="S548" s="37" t="str">
        <f t="shared" si="3"/>
        <v/>
      </c>
      <c r="T548" s="38" t="str">
        <f t="shared" si="4"/>
        <v/>
      </c>
      <c r="U548" s="28" t="str">
        <f t="shared" si="5"/>
        <v/>
      </c>
      <c r="V548" s="39" t="str">
        <f>IFERROR(__xludf.DUMMYFUNCTION(" IF(Account!$F548&lt;&gt;"""", SPLIT(Account!$F548, "" ""), """")"),"")</f>
        <v/>
      </c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</row>
    <row r="549">
      <c r="A549" s="7"/>
      <c r="B549" s="7"/>
      <c r="C549" s="7"/>
      <c r="D549" s="7"/>
      <c r="E549" s="7"/>
      <c r="F549" s="9"/>
      <c r="G549" s="341"/>
      <c r="H549" s="7"/>
      <c r="I549" s="7"/>
      <c r="J549" s="7"/>
      <c r="K549" s="7"/>
      <c r="L549" s="26" t="str">
        <f t="shared" si="1"/>
        <v/>
      </c>
      <c r="M549" s="28" t="str">
        <f>IFERROR(__xludf.DUMMYFUNCTION("IF(Account!$F549&lt;&gt;"""", VALUE(REGEXREPLACE($I549, ""\,"", ""."")), """")"),"")</f>
        <v/>
      </c>
      <c r="N549" s="31" t="str">
        <f>IF(Account!$F549&lt;&gt;"", DATEVALUE(MID($A549,4,3) &amp; LEFT($A549,3) &amp; RIGHT($A549,4)) + TIMEVALUE($B549), "")</f>
        <v/>
      </c>
      <c r="O549" s="33" t="str">
        <f>IF(Account!$F549&lt;&gt;"", DATEVALUE(MID($A549,4,3) &amp; LEFT($A549,3) &amp; RIGHT($A549,4)), "")</f>
        <v/>
      </c>
      <c r="P549" s="34" t="str">
        <f>IFERROR(VLOOKUP($Q549,Selection!$F:$G,2,false))</f>
        <v/>
      </c>
      <c r="Q549" s="36" t="str">
        <f>IF(AND($X549="change",$H549="EUR"),IF(AND($Z549="Crédit",$N549=$N550),$Q550,IF(AND($Z549="Débit",$N549=$N548),$Q548)),IF(OR(AND(OR($E549&lt;&gt;"",$L549=""),$M549&lt;&gt;0),$A549=""),IFERROR(VLOOKUP($E549,Selection!$E:$F,2,false)),IFERROR(VLOOKUP(SUBSTITUTE($I549,"-","",1),$K550:$Q1119,7,false),VLOOKUP($K549,$K550:$Q1119,7,false))))</f>
        <v/>
      </c>
      <c r="R549" s="34" t="str">
        <f t="shared" si="2"/>
        <v/>
      </c>
      <c r="S549" s="37" t="str">
        <f t="shared" si="3"/>
        <v/>
      </c>
      <c r="T549" s="38" t="str">
        <f t="shared" si="4"/>
        <v/>
      </c>
      <c r="U549" s="28" t="str">
        <f t="shared" si="5"/>
        <v/>
      </c>
      <c r="V549" s="39" t="str">
        <f>IFERROR(__xludf.DUMMYFUNCTION(" IF(Account!$F549&lt;&gt;"""", SPLIT(Account!$F549, "" ""), """")"),"")</f>
        <v/>
      </c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</row>
    <row r="550">
      <c r="A550" s="7"/>
      <c r="B550" s="7"/>
      <c r="C550" s="7"/>
      <c r="D550" s="7"/>
      <c r="E550" s="7"/>
      <c r="F550" s="9"/>
      <c r="G550" s="7"/>
      <c r="H550" s="7"/>
      <c r="I550" s="7"/>
      <c r="J550" s="7"/>
      <c r="K550" s="7"/>
      <c r="L550" s="26" t="str">
        <f t="shared" si="1"/>
        <v/>
      </c>
      <c r="M550" s="28" t="str">
        <f>IFERROR(__xludf.DUMMYFUNCTION("IF(Account!$F550&lt;&gt;"""", VALUE(REGEXREPLACE($I550, ""\,"", ""."")), """")"),"")</f>
        <v/>
      </c>
      <c r="N550" s="31" t="str">
        <f>IF(Account!$F550&lt;&gt;"", DATEVALUE(MID($A550,4,3) &amp; LEFT($A550,3) &amp; RIGHT($A550,4)) + TIMEVALUE($B550), "")</f>
        <v/>
      </c>
      <c r="O550" s="33" t="str">
        <f>IF(Account!$F550&lt;&gt;"", DATEVALUE(MID($A550,4,3) &amp; LEFT($A550,3) &amp; RIGHT($A550,4)), "")</f>
        <v/>
      </c>
      <c r="P550" s="34" t="str">
        <f>IFERROR(VLOOKUP($Q550,Selection!$F:$G,2,false))</f>
        <v/>
      </c>
      <c r="Q550" s="36" t="str">
        <f>IF(AND($X550="change",$H550="EUR"),IF(AND($Z550="Crédit",$N550=$N551),$Q551,IF(AND($Z550="Débit",$N550=$N549),$Q549)),IF(OR(AND(OR($E550&lt;&gt;"",$L550=""),$M550&lt;&gt;0),$A550=""),IFERROR(VLOOKUP($E550,Selection!$E:$F,2,false)),IFERROR(VLOOKUP(SUBSTITUTE($I550,"-","",1),$K551:$Q1119,7,false),VLOOKUP($K550,$K551:$Q1119,7,false))))</f>
        <v/>
      </c>
      <c r="R550" s="34" t="str">
        <f t="shared" si="2"/>
        <v/>
      </c>
      <c r="S550" s="37" t="str">
        <f t="shared" si="3"/>
        <v/>
      </c>
      <c r="T550" s="38" t="str">
        <f t="shared" si="4"/>
        <v/>
      </c>
      <c r="U550" s="28" t="str">
        <f t="shared" si="5"/>
        <v/>
      </c>
      <c r="V550" s="39" t="str">
        <f>IFERROR(__xludf.DUMMYFUNCTION(" IF(Account!$F550&lt;&gt;"""", SPLIT(Account!$F550, "" ""), """")"),"")</f>
        <v/>
      </c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</row>
    <row r="551">
      <c r="A551" s="7"/>
      <c r="B551" s="7"/>
      <c r="C551" s="7"/>
      <c r="D551" s="7"/>
      <c r="E551" s="7"/>
      <c r="F551" s="9"/>
      <c r="G551" s="341"/>
      <c r="H551" s="7"/>
      <c r="I551" s="7"/>
      <c r="J551" s="7"/>
      <c r="K551" s="7"/>
      <c r="L551" s="26" t="str">
        <f t="shared" si="1"/>
        <v/>
      </c>
      <c r="M551" s="28" t="str">
        <f>IFERROR(__xludf.DUMMYFUNCTION("IF(Account!$F551&lt;&gt;"""", VALUE(REGEXREPLACE($I551, ""\,"", ""."")), """")"),"")</f>
        <v/>
      </c>
      <c r="N551" s="31" t="str">
        <f>IF(Account!$F551&lt;&gt;"", DATEVALUE(MID($A551,4,3) &amp; LEFT($A551,3) &amp; RIGHT($A551,4)) + TIMEVALUE($B551), "")</f>
        <v/>
      </c>
      <c r="O551" s="33" t="str">
        <f>IF(Account!$F551&lt;&gt;"", DATEVALUE(MID($A551,4,3) &amp; LEFT($A551,3) &amp; RIGHT($A551,4)), "")</f>
        <v/>
      </c>
      <c r="P551" s="34" t="str">
        <f>IFERROR(VLOOKUP($Q551,Selection!$F:$G,2,false))</f>
        <v/>
      </c>
      <c r="Q551" s="36" t="str">
        <f>IF(AND($X551="change",$H551="EUR"),IF(AND($Z551="Crédit",$N551=$N552),$Q552,IF(AND($Z551="Débit",$N551=$N550),$Q550)),IF(OR(AND(OR($E551&lt;&gt;"",$L551=""),$M551&lt;&gt;0),$A551=""),IFERROR(VLOOKUP($E551,Selection!$E:$F,2,false)),IFERROR(VLOOKUP(SUBSTITUTE($I551,"-","",1),$K552:$Q1119,7,false),VLOOKUP($K551,$K552:$Q1119,7,false))))</f>
        <v/>
      </c>
      <c r="R551" s="34" t="str">
        <f t="shared" si="2"/>
        <v/>
      </c>
      <c r="S551" s="37" t="str">
        <f t="shared" si="3"/>
        <v/>
      </c>
      <c r="T551" s="38" t="str">
        <f t="shared" si="4"/>
        <v/>
      </c>
      <c r="U551" s="28" t="str">
        <f t="shared" si="5"/>
        <v/>
      </c>
      <c r="V551" s="39" t="str">
        <f>IFERROR(__xludf.DUMMYFUNCTION(" IF(Account!$F551&lt;&gt;"""", SPLIT(Account!$F551, "" ""), """")"),"")</f>
        <v/>
      </c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</row>
    <row r="552">
      <c r="A552" s="7"/>
      <c r="B552" s="7"/>
      <c r="C552" s="7"/>
      <c r="D552" s="7"/>
      <c r="E552" s="7"/>
      <c r="F552" s="9"/>
      <c r="G552" s="7"/>
      <c r="H552" s="7"/>
      <c r="I552" s="7"/>
      <c r="J552" s="7"/>
      <c r="K552" s="7"/>
      <c r="L552" s="26" t="str">
        <f t="shared" si="1"/>
        <v/>
      </c>
      <c r="M552" s="28" t="str">
        <f>IFERROR(__xludf.DUMMYFUNCTION("IF(Account!$F552&lt;&gt;"""", VALUE(REGEXREPLACE($I552, ""\,"", ""."")), """")"),"")</f>
        <v/>
      </c>
      <c r="N552" s="31" t="str">
        <f>IF(Account!$F552&lt;&gt;"", DATEVALUE(MID($A552,4,3) &amp; LEFT($A552,3) &amp; RIGHT($A552,4)) + TIMEVALUE($B552), "")</f>
        <v/>
      </c>
      <c r="O552" s="33" t="str">
        <f>IF(Account!$F552&lt;&gt;"", DATEVALUE(MID($A552,4,3) &amp; LEFT($A552,3) &amp; RIGHT($A552,4)), "")</f>
        <v/>
      </c>
      <c r="P552" s="34" t="str">
        <f>IFERROR(VLOOKUP($Q552,Selection!$F:$G,2,false))</f>
        <v/>
      </c>
      <c r="Q552" s="36" t="str">
        <f>IF(AND($X552="change",$H552="EUR"),IF(AND($Z552="Crédit",$N552=$N553),$Q553,IF(AND($Z552="Débit",$N552=$N551),$Q551)),IF(OR(AND(OR($E552&lt;&gt;"",$L552=""),$M552&lt;&gt;0),$A552=""),IFERROR(VLOOKUP($E552,Selection!$E:$F,2,false)),IFERROR(VLOOKUP(SUBSTITUTE($I552,"-","",1),$K553:$Q1119,7,false),VLOOKUP($K552,$K553:$Q1119,7,false))))</f>
        <v/>
      </c>
      <c r="R552" s="34" t="str">
        <f t="shared" si="2"/>
        <v/>
      </c>
      <c r="S552" s="37" t="str">
        <f t="shared" si="3"/>
        <v/>
      </c>
      <c r="T552" s="38" t="str">
        <f t="shared" si="4"/>
        <v/>
      </c>
      <c r="U552" s="28" t="str">
        <f t="shared" si="5"/>
        <v/>
      </c>
      <c r="V552" s="39" t="str">
        <f>IFERROR(__xludf.DUMMYFUNCTION(" IF(Account!$F552&lt;&gt;"""", SPLIT(Account!$F552, "" ""), """")"),"")</f>
        <v/>
      </c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</row>
    <row r="553">
      <c r="A553" s="7"/>
      <c r="B553" s="7"/>
      <c r="C553" s="7"/>
      <c r="D553" s="7"/>
      <c r="E553" s="7"/>
      <c r="F553" s="9"/>
      <c r="G553" s="341"/>
      <c r="H553" s="7"/>
      <c r="I553" s="7"/>
      <c r="J553" s="7"/>
      <c r="K553" s="7"/>
      <c r="L553" s="26" t="str">
        <f t="shared" si="1"/>
        <v/>
      </c>
      <c r="M553" s="28" t="str">
        <f>IFERROR(__xludf.DUMMYFUNCTION("IF(Account!$F553&lt;&gt;"""", VALUE(REGEXREPLACE($I553, ""\,"", ""."")), """")"),"")</f>
        <v/>
      </c>
      <c r="N553" s="31" t="str">
        <f>IF(Account!$F553&lt;&gt;"", DATEVALUE(MID($A553,4,3) &amp; LEFT($A553,3) &amp; RIGHT($A553,4)) + TIMEVALUE($B553), "")</f>
        <v/>
      </c>
      <c r="O553" s="33" t="str">
        <f>IF(Account!$F553&lt;&gt;"", DATEVALUE(MID($A553,4,3) &amp; LEFT($A553,3) &amp; RIGHT($A553,4)), "")</f>
        <v/>
      </c>
      <c r="P553" s="34" t="str">
        <f>IFERROR(VLOOKUP($Q553,Selection!$F:$G,2,false))</f>
        <v/>
      </c>
      <c r="Q553" s="36" t="str">
        <f>IF(AND($X553="change",$H553="EUR"),IF(AND($Z553="Crédit",$N553=$N554),$Q554,IF(AND($Z553="Débit",$N553=$N552),$Q552)),IF(OR(AND(OR($E553&lt;&gt;"",$L553=""),$M553&lt;&gt;0),$A553=""),IFERROR(VLOOKUP($E553,Selection!$E:$F,2,false)),IFERROR(VLOOKUP(SUBSTITUTE($I553,"-","",1),$K554:$Q1119,7,false),VLOOKUP($K553,$K554:$Q1119,7,false))))</f>
        <v/>
      </c>
      <c r="R553" s="34" t="str">
        <f t="shared" si="2"/>
        <v/>
      </c>
      <c r="S553" s="37" t="str">
        <f t="shared" si="3"/>
        <v/>
      </c>
      <c r="T553" s="38" t="str">
        <f t="shared" si="4"/>
        <v/>
      </c>
      <c r="U553" s="28" t="str">
        <f t="shared" si="5"/>
        <v/>
      </c>
      <c r="V553" s="39" t="str">
        <f>IFERROR(__xludf.DUMMYFUNCTION(" IF(Account!$F553&lt;&gt;"""", SPLIT(Account!$F553, "" ""), """")"),"")</f>
        <v/>
      </c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</row>
    <row r="554">
      <c r="A554" s="7"/>
      <c r="B554" s="7"/>
      <c r="C554" s="7"/>
      <c r="D554" s="7"/>
      <c r="E554" s="7"/>
      <c r="F554" s="9"/>
      <c r="G554" s="7"/>
      <c r="H554" s="7"/>
      <c r="I554" s="7"/>
      <c r="J554" s="7"/>
      <c r="K554" s="7"/>
      <c r="L554" s="26" t="str">
        <f t="shared" si="1"/>
        <v/>
      </c>
      <c r="M554" s="28" t="str">
        <f>IFERROR(__xludf.DUMMYFUNCTION("IF(Account!$F554&lt;&gt;"""", VALUE(REGEXREPLACE($I554, ""\,"", ""."")), """")"),"")</f>
        <v/>
      </c>
      <c r="N554" s="31" t="str">
        <f>IF(Account!$F554&lt;&gt;"", DATEVALUE(MID($A554,4,3) &amp; LEFT($A554,3) &amp; RIGHT($A554,4)) + TIMEVALUE($B554), "")</f>
        <v/>
      </c>
      <c r="O554" s="33" t="str">
        <f>IF(Account!$F554&lt;&gt;"", DATEVALUE(MID($A554,4,3) &amp; LEFT($A554,3) &amp; RIGHT($A554,4)), "")</f>
        <v/>
      </c>
      <c r="P554" s="34" t="str">
        <f>IFERROR(VLOOKUP($Q554,Selection!$F:$G,2,false))</f>
        <v/>
      </c>
      <c r="Q554" s="36" t="str">
        <f>IF(AND($X554="change",$H554="EUR"),IF(AND($Z554="Crédit",$N554=$N555),$Q555,IF(AND($Z554="Débit",$N554=$N553),$Q553)),IF(OR(AND(OR($E554&lt;&gt;"",$L554=""),$M554&lt;&gt;0),$A554=""),IFERROR(VLOOKUP($E554,Selection!$E:$F,2,false)),IFERROR(VLOOKUP(SUBSTITUTE($I554,"-","",1),$K555:$Q1119,7,false),VLOOKUP($K554,$K555:$Q1119,7,false))))</f>
        <v/>
      </c>
      <c r="R554" s="34" t="str">
        <f t="shared" si="2"/>
        <v/>
      </c>
      <c r="S554" s="37" t="str">
        <f t="shared" si="3"/>
        <v/>
      </c>
      <c r="T554" s="38" t="str">
        <f t="shared" si="4"/>
        <v/>
      </c>
      <c r="U554" s="28" t="str">
        <f t="shared" si="5"/>
        <v/>
      </c>
      <c r="V554" s="39" t="str">
        <f>IFERROR(__xludf.DUMMYFUNCTION(" IF(Account!$F554&lt;&gt;"""", SPLIT(Account!$F554, "" ""), """")"),"")</f>
        <v/>
      </c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</row>
    <row r="555">
      <c r="A555" s="7"/>
      <c r="B555" s="7"/>
      <c r="C555" s="7"/>
      <c r="D555" s="7"/>
      <c r="E555" s="7"/>
      <c r="F555" s="9"/>
      <c r="G555" s="341"/>
      <c r="H555" s="7"/>
      <c r="I555" s="7"/>
      <c r="J555" s="7"/>
      <c r="K555" s="7"/>
      <c r="L555" s="26" t="str">
        <f t="shared" si="1"/>
        <v/>
      </c>
      <c r="M555" s="28" t="str">
        <f>IFERROR(__xludf.DUMMYFUNCTION("IF(Account!$F555&lt;&gt;"""", VALUE(REGEXREPLACE($I555, ""\,"", ""."")), """")"),"")</f>
        <v/>
      </c>
      <c r="N555" s="31" t="str">
        <f>IF(Account!$F555&lt;&gt;"", DATEVALUE(MID($A555,4,3) &amp; LEFT($A555,3) &amp; RIGHT($A555,4)) + TIMEVALUE($B555), "")</f>
        <v/>
      </c>
      <c r="O555" s="33" t="str">
        <f>IF(Account!$F555&lt;&gt;"", DATEVALUE(MID($A555,4,3) &amp; LEFT($A555,3) &amp; RIGHT($A555,4)), "")</f>
        <v/>
      </c>
      <c r="P555" s="34" t="str">
        <f>IFERROR(VLOOKUP($Q555,Selection!$F:$G,2,false))</f>
        <v/>
      </c>
      <c r="Q555" s="36" t="str">
        <f>IF(AND($X555="change",$H555="EUR"),IF(AND($Z555="Crédit",$N555=$N556),$Q556,IF(AND($Z555="Débit",$N555=$N554),$Q554)),IF(OR(AND(OR($E555&lt;&gt;"",$L555=""),$M555&lt;&gt;0),$A555=""),IFERROR(VLOOKUP($E555,Selection!$E:$F,2,false)),IFERROR(VLOOKUP(SUBSTITUTE($I555,"-","",1),$K556:$Q1119,7,false),VLOOKUP($K555,$K556:$Q1119,7,false))))</f>
        <v/>
      </c>
      <c r="R555" s="34" t="str">
        <f t="shared" si="2"/>
        <v/>
      </c>
      <c r="S555" s="37" t="str">
        <f t="shared" si="3"/>
        <v/>
      </c>
      <c r="T555" s="38" t="str">
        <f t="shared" si="4"/>
        <v/>
      </c>
      <c r="U555" s="28" t="str">
        <f t="shared" si="5"/>
        <v/>
      </c>
      <c r="V555" s="39" t="str">
        <f>IFERROR(__xludf.DUMMYFUNCTION(" IF(Account!$F555&lt;&gt;"""", SPLIT(Account!$F555, "" ""), """")"),"")</f>
        <v/>
      </c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</row>
    <row r="556">
      <c r="A556" s="7"/>
      <c r="B556" s="7"/>
      <c r="C556" s="7"/>
      <c r="D556" s="7"/>
      <c r="E556" s="7"/>
      <c r="F556" s="9"/>
      <c r="G556" s="7"/>
      <c r="H556" s="7"/>
      <c r="I556" s="7"/>
      <c r="J556" s="7"/>
      <c r="K556" s="7"/>
      <c r="L556" s="26" t="str">
        <f t="shared" si="1"/>
        <v/>
      </c>
      <c r="M556" s="28" t="str">
        <f>IFERROR(__xludf.DUMMYFUNCTION("IF(Account!$F556&lt;&gt;"""", VALUE(REGEXREPLACE($I556, ""\,"", ""."")), """")"),"")</f>
        <v/>
      </c>
      <c r="N556" s="31" t="str">
        <f>IF(Account!$F556&lt;&gt;"", DATEVALUE(MID($A556,4,3) &amp; LEFT($A556,3) &amp; RIGHT($A556,4)) + TIMEVALUE($B556), "")</f>
        <v/>
      </c>
      <c r="O556" s="33" t="str">
        <f>IF(Account!$F556&lt;&gt;"", DATEVALUE(MID($A556,4,3) &amp; LEFT($A556,3) &amp; RIGHT($A556,4)), "")</f>
        <v/>
      </c>
      <c r="P556" s="34" t="str">
        <f>IFERROR(VLOOKUP($Q556,Selection!$F:$G,2,false))</f>
        <v/>
      </c>
      <c r="Q556" s="36" t="str">
        <f>IF(AND($X556="change",$H556="EUR"),IF(AND($Z556="Crédit",$N556=$N557),$Q557,IF(AND($Z556="Débit",$N556=$N555),$Q555)),IF(OR(AND(OR($E556&lt;&gt;"",$L556=""),$M556&lt;&gt;0),$A556=""),IFERROR(VLOOKUP($E556,Selection!$E:$F,2,false)),IFERROR(VLOOKUP(SUBSTITUTE($I556,"-","",1),$K557:$Q1119,7,false),VLOOKUP($K556,$K557:$Q1119,7,false))))</f>
        <v/>
      </c>
      <c r="R556" s="34" t="str">
        <f t="shared" si="2"/>
        <v/>
      </c>
      <c r="S556" s="37" t="str">
        <f t="shared" si="3"/>
        <v/>
      </c>
      <c r="T556" s="38" t="str">
        <f t="shared" si="4"/>
        <v/>
      </c>
      <c r="U556" s="28" t="str">
        <f t="shared" si="5"/>
        <v/>
      </c>
      <c r="V556" s="39" t="str">
        <f>IFERROR(__xludf.DUMMYFUNCTION(" IF(Account!$F556&lt;&gt;"""", SPLIT(Account!$F556, "" ""), """")"),"")</f>
        <v/>
      </c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</row>
    <row r="557">
      <c r="A557" s="7"/>
      <c r="B557" s="7"/>
      <c r="C557" s="7"/>
      <c r="D557" s="7"/>
      <c r="E557" s="7"/>
      <c r="F557" s="9"/>
      <c r="G557" s="341"/>
      <c r="H557" s="7"/>
      <c r="I557" s="7"/>
      <c r="J557" s="7"/>
      <c r="K557" s="7"/>
      <c r="L557" s="26" t="str">
        <f t="shared" si="1"/>
        <v/>
      </c>
      <c r="M557" s="28" t="str">
        <f>IFERROR(__xludf.DUMMYFUNCTION("IF(Account!$F557&lt;&gt;"""", VALUE(REGEXREPLACE($I557, ""\,"", ""."")), """")"),"")</f>
        <v/>
      </c>
      <c r="N557" s="31" t="str">
        <f>IF(Account!$F557&lt;&gt;"", DATEVALUE(MID($A557,4,3) &amp; LEFT($A557,3) &amp; RIGHT($A557,4)) + TIMEVALUE($B557), "")</f>
        <v/>
      </c>
      <c r="O557" s="33" t="str">
        <f>IF(Account!$F557&lt;&gt;"", DATEVALUE(MID($A557,4,3) &amp; LEFT($A557,3) &amp; RIGHT($A557,4)), "")</f>
        <v/>
      </c>
      <c r="P557" s="34" t="str">
        <f>IFERROR(VLOOKUP($Q557,Selection!$F:$G,2,false))</f>
        <v/>
      </c>
      <c r="Q557" s="36" t="str">
        <f>IF(AND($X557="change",$H557="EUR"),IF(AND($Z557="Crédit",$N557=$N558),$Q558,IF(AND($Z557="Débit",$N557=$N556),$Q556)),IF(OR(AND(OR($E557&lt;&gt;"",$L557=""),$M557&lt;&gt;0),$A557=""),IFERROR(VLOOKUP($E557,Selection!$E:$F,2,false)),IFERROR(VLOOKUP(SUBSTITUTE($I557,"-","",1),$K558:$Q1119,7,false),VLOOKUP($K557,$K558:$Q1119,7,false))))</f>
        <v/>
      </c>
      <c r="R557" s="34" t="str">
        <f t="shared" si="2"/>
        <v/>
      </c>
      <c r="S557" s="37" t="str">
        <f t="shared" si="3"/>
        <v/>
      </c>
      <c r="T557" s="38" t="str">
        <f t="shared" si="4"/>
        <v/>
      </c>
      <c r="U557" s="28" t="str">
        <f t="shared" si="5"/>
        <v/>
      </c>
      <c r="V557" s="39" t="str">
        <f>IFERROR(__xludf.DUMMYFUNCTION(" IF(Account!$F557&lt;&gt;"""", SPLIT(Account!$F557, "" ""), """")"),"")</f>
        <v/>
      </c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</row>
    <row r="558">
      <c r="A558" s="7"/>
      <c r="B558" s="7"/>
      <c r="C558" s="7"/>
      <c r="D558" s="7"/>
      <c r="E558" s="7"/>
      <c r="F558" s="9"/>
      <c r="G558" s="7"/>
      <c r="H558" s="7"/>
      <c r="I558" s="7"/>
      <c r="J558" s="7"/>
      <c r="K558" s="7"/>
      <c r="L558" s="26" t="str">
        <f t="shared" si="1"/>
        <v/>
      </c>
      <c r="M558" s="28" t="str">
        <f>IFERROR(__xludf.DUMMYFUNCTION("IF(Account!$F558&lt;&gt;"""", VALUE(REGEXREPLACE($I558, ""\,"", ""."")), """")"),"")</f>
        <v/>
      </c>
      <c r="N558" s="31" t="str">
        <f>IF(Account!$F558&lt;&gt;"", DATEVALUE(MID($A558,4,3) &amp; LEFT($A558,3) &amp; RIGHT($A558,4)) + TIMEVALUE($B558), "")</f>
        <v/>
      </c>
      <c r="O558" s="33" t="str">
        <f>IF(Account!$F558&lt;&gt;"", DATEVALUE(MID($A558,4,3) &amp; LEFT($A558,3) &amp; RIGHT($A558,4)), "")</f>
        <v/>
      </c>
      <c r="P558" s="34" t="str">
        <f>IFERROR(VLOOKUP($Q558,Selection!$F:$G,2,false))</f>
        <v/>
      </c>
      <c r="Q558" s="36" t="str">
        <f>IF(AND($X558="change",$H558="EUR"),IF(AND($Z558="Crédit",$N558=$N559),$Q559,IF(AND($Z558="Débit",$N558=$N557),$Q557)),IF(OR(AND(OR($E558&lt;&gt;"",$L558=""),$M558&lt;&gt;0),$A558=""),IFERROR(VLOOKUP($E558,Selection!$E:$F,2,false)),IFERROR(VLOOKUP(SUBSTITUTE($I558,"-","",1),$K559:$Q1119,7,false),VLOOKUP($K558,$K559:$Q1119,7,false))))</f>
        <v/>
      </c>
      <c r="R558" s="34" t="str">
        <f t="shared" si="2"/>
        <v/>
      </c>
      <c r="S558" s="37" t="str">
        <f t="shared" si="3"/>
        <v/>
      </c>
      <c r="T558" s="38" t="str">
        <f t="shared" si="4"/>
        <v/>
      </c>
      <c r="U558" s="28" t="str">
        <f t="shared" si="5"/>
        <v/>
      </c>
      <c r="V558" s="39" t="str">
        <f>IFERROR(__xludf.DUMMYFUNCTION(" IF(Account!$F558&lt;&gt;"""", SPLIT(Account!$F558, "" ""), """")"),"")</f>
        <v/>
      </c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</row>
    <row r="559">
      <c r="A559" s="7"/>
      <c r="B559" s="7"/>
      <c r="C559" s="7"/>
      <c r="D559" s="7"/>
      <c r="E559" s="7"/>
      <c r="F559" s="9"/>
      <c r="G559" s="341"/>
      <c r="H559" s="7"/>
      <c r="I559" s="7"/>
      <c r="J559" s="7"/>
      <c r="K559" s="7"/>
      <c r="L559" s="26" t="str">
        <f t="shared" si="1"/>
        <v/>
      </c>
      <c r="M559" s="28" t="str">
        <f>IFERROR(__xludf.DUMMYFUNCTION("IF(Account!$F559&lt;&gt;"""", VALUE(REGEXREPLACE($I559, ""\,"", ""."")), """")"),"")</f>
        <v/>
      </c>
      <c r="N559" s="31" t="str">
        <f>IF(Account!$F559&lt;&gt;"", DATEVALUE(MID($A559,4,3) &amp; LEFT($A559,3) &amp; RIGHT($A559,4)) + TIMEVALUE($B559), "")</f>
        <v/>
      </c>
      <c r="O559" s="33" t="str">
        <f>IF(Account!$F559&lt;&gt;"", DATEVALUE(MID($A559,4,3) &amp; LEFT($A559,3) &amp; RIGHT($A559,4)), "")</f>
        <v/>
      </c>
      <c r="P559" s="34" t="str">
        <f>IFERROR(VLOOKUP($Q559,Selection!$F:$G,2,false))</f>
        <v/>
      </c>
      <c r="Q559" s="36" t="str">
        <f>IF(AND($X559="change",$H559="EUR"),IF(AND($Z559="Crédit",$N559=$N560),$Q560,IF(AND($Z559="Débit",$N559=$N558),$Q558)),IF(OR(AND(OR($E559&lt;&gt;"",$L559=""),$M559&lt;&gt;0),$A559=""),IFERROR(VLOOKUP($E559,Selection!$E:$F,2,false)),IFERROR(VLOOKUP(SUBSTITUTE($I559,"-","",1),$K560:$Q1119,7,false),VLOOKUP($K559,$K560:$Q1119,7,false))))</f>
        <v/>
      </c>
      <c r="R559" s="34" t="str">
        <f t="shared" si="2"/>
        <v/>
      </c>
      <c r="S559" s="37" t="str">
        <f t="shared" si="3"/>
        <v/>
      </c>
      <c r="T559" s="38" t="str">
        <f t="shared" si="4"/>
        <v/>
      </c>
      <c r="U559" s="28" t="str">
        <f t="shared" si="5"/>
        <v/>
      </c>
      <c r="V559" s="39" t="str">
        <f>IFERROR(__xludf.DUMMYFUNCTION(" IF(Account!$F559&lt;&gt;"""", SPLIT(Account!$F559, "" ""), """")"),"")</f>
        <v/>
      </c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</row>
    <row r="560">
      <c r="A560" s="7"/>
      <c r="B560" s="7"/>
      <c r="C560" s="7"/>
      <c r="D560" s="7"/>
      <c r="E560" s="7"/>
      <c r="F560" s="9"/>
      <c r="G560" s="7"/>
      <c r="H560" s="7"/>
      <c r="I560" s="7"/>
      <c r="J560" s="7"/>
      <c r="K560" s="7"/>
      <c r="L560" s="26" t="str">
        <f t="shared" si="1"/>
        <v/>
      </c>
      <c r="M560" s="28" t="str">
        <f>IFERROR(__xludf.DUMMYFUNCTION("IF(Account!$F560&lt;&gt;"""", VALUE(REGEXREPLACE($I560, ""\,"", ""."")), """")"),"")</f>
        <v/>
      </c>
      <c r="N560" s="31" t="str">
        <f>IF(Account!$F560&lt;&gt;"", DATEVALUE(MID($A560,4,3) &amp; LEFT($A560,3) &amp; RIGHT($A560,4)) + TIMEVALUE($B560), "")</f>
        <v/>
      </c>
      <c r="O560" s="33" t="str">
        <f>IF(Account!$F560&lt;&gt;"", DATEVALUE(MID($A560,4,3) &amp; LEFT($A560,3) &amp; RIGHT($A560,4)), "")</f>
        <v/>
      </c>
      <c r="P560" s="34" t="str">
        <f>IFERROR(VLOOKUP($Q560,Selection!$F:$G,2,false))</f>
        <v/>
      </c>
      <c r="Q560" s="36" t="str">
        <f>IF(AND($X560="change",$H560="EUR"),IF(AND($Z560="Crédit",$N560=$N561),$Q561,IF(AND($Z560="Débit",$N560=$N559),$Q559)),IF(OR(AND(OR($E560&lt;&gt;"",$L560=""),$M560&lt;&gt;0),$A560=""),IFERROR(VLOOKUP($E560,Selection!$E:$F,2,false)),IFERROR(VLOOKUP(SUBSTITUTE($I560,"-","",1),$K561:$Q1119,7,false),VLOOKUP($K560,$K561:$Q1119,7,false))))</f>
        <v/>
      </c>
      <c r="R560" s="34" t="str">
        <f t="shared" si="2"/>
        <v/>
      </c>
      <c r="S560" s="37" t="str">
        <f t="shared" si="3"/>
        <v/>
      </c>
      <c r="T560" s="38" t="str">
        <f t="shared" si="4"/>
        <v/>
      </c>
      <c r="U560" s="28" t="str">
        <f t="shared" si="5"/>
        <v/>
      </c>
      <c r="V560" s="39" t="str">
        <f>IFERROR(__xludf.DUMMYFUNCTION(" IF(Account!$F560&lt;&gt;"""", SPLIT(Account!$F560, "" ""), """")"),"")</f>
        <v/>
      </c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</row>
    <row r="561">
      <c r="A561" s="7"/>
      <c r="B561" s="7"/>
      <c r="C561" s="7"/>
      <c r="D561" s="7"/>
      <c r="E561" s="7"/>
      <c r="F561" s="9"/>
      <c r="G561" s="341"/>
      <c r="H561" s="7"/>
      <c r="I561" s="7"/>
      <c r="J561" s="7"/>
      <c r="K561" s="7"/>
      <c r="L561" s="26" t="str">
        <f t="shared" si="1"/>
        <v/>
      </c>
      <c r="M561" s="28" t="str">
        <f>IFERROR(__xludf.DUMMYFUNCTION("IF(Account!$F561&lt;&gt;"""", VALUE(REGEXREPLACE($I561, ""\,"", ""."")), """")"),"")</f>
        <v/>
      </c>
      <c r="N561" s="31" t="str">
        <f>IF(Account!$F561&lt;&gt;"", DATEVALUE(MID($A561,4,3) &amp; LEFT($A561,3) &amp; RIGHT($A561,4)) + TIMEVALUE($B561), "")</f>
        <v/>
      </c>
      <c r="O561" s="33" t="str">
        <f>IF(Account!$F561&lt;&gt;"", DATEVALUE(MID($A561,4,3) &amp; LEFT($A561,3) &amp; RIGHT($A561,4)), "")</f>
        <v/>
      </c>
      <c r="P561" s="34" t="str">
        <f>IFERROR(VLOOKUP($Q561,Selection!$F:$G,2,false))</f>
        <v/>
      </c>
      <c r="Q561" s="36" t="str">
        <f>IF(AND($X561="change",$H561="EUR"),IF(AND($Z561="Crédit",$N561=$N562),$Q562,IF(AND($Z561="Débit",$N561=$N560),$Q560)),IF(OR(AND(OR($E561&lt;&gt;"",$L561=""),$M561&lt;&gt;0),$A561=""),IFERROR(VLOOKUP($E561,Selection!$E:$F,2,false)),IFERROR(VLOOKUP(SUBSTITUTE($I561,"-","",1),$K562:$Q1119,7,false),VLOOKUP($K561,$K562:$Q1119,7,false))))</f>
        <v/>
      </c>
      <c r="R561" s="34" t="str">
        <f t="shared" si="2"/>
        <v/>
      </c>
      <c r="S561" s="37" t="str">
        <f t="shared" si="3"/>
        <v/>
      </c>
      <c r="T561" s="38" t="str">
        <f t="shared" si="4"/>
        <v/>
      </c>
      <c r="U561" s="28" t="str">
        <f t="shared" si="5"/>
        <v/>
      </c>
      <c r="V561" s="39" t="str">
        <f>IFERROR(__xludf.DUMMYFUNCTION(" IF(Account!$F561&lt;&gt;"""", SPLIT(Account!$F561, "" ""), """")"),"")</f>
        <v/>
      </c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</row>
    <row r="562">
      <c r="A562" s="7"/>
      <c r="B562" s="7"/>
      <c r="C562" s="7"/>
      <c r="D562" s="7"/>
      <c r="E562" s="7"/>
      <c r="F562" s="9"/>
      <c r="G562" s="341"/>
      <c r="H562" s="7"/>
      <c r="I562" s="7"/>
      <c r="J562" s="7"/>
      <c r="K562" s="7"/>
      <c r="L562" s="26" t="str">
        <f t="shared" si="1"/>
        <v/>
      </c>
      <c r="M562" s="28" t="str">
        <f>IFERROR(__xludf.DUMMYFUNCTION("IF(Account!$F562&lt;&gt;"""", VALUE(REGEXREPLACE($I562, ""\,"", ""."")), """")"),"")</f>
        <v/>
      </c>
      <c r="N562" s="31" t="str">
        <f>IF(Account!$F562&lt;&gt;"", DATEVALUE(MID($A562,4,3) &amp; LEFT($A562,3) &amp; RIGHT($A562,4)) + TIMEVALUE($B562), "")</f>
        <v/>
      </c>
      <c r="O562" s="33" t="str">
        <f>IF(Account!$F562&lt;&gt;"", DATEVALUE(MID($A562,4,3) &amp; LEFT($A562,3) &amp; RIGHT($A562,4)), "")</f>
        <v/>
      </c>
      <c r="P562" s="34" t="str">
        <f>IFERROR(VLOOKUP($Q562,Selection!$F:$G,2,false))</f>
        <v/>
      </c>
      <c r="Q562" s="36" t="str">
        <f>IF(AND($X562="change",$H562="EUR"),IF(AND($Z562="Crédit",$N562=$N563),$Q563,IF(AND($Z562="Débit",$N562=$N561),$Q561)),IF(OR(AND(OR($E562&lt;&gt;"",$L562=""),$M562&lt;&gt;0),$A562=""),IFERROR(VLOOKUP($E562,Selection!$E:$F,2,false)),IFERROR(VLOOKUP(SUBSTITUTE($I562,"-","",1),$K563:$Q1119,7,false),VLOOKUP($K562,$K563:$Q1119,7,false))))</f>
        <v/>
      </c>
      <c r="R562" s="34" t="str">
        <f t="shared" si="2"/>
        <v/>
      </c>
      <c r="S562" s="37" t="str">
        <f t="shared" si="3"/>
        <v/>
      </c>
      <c r="T562" s="38" t="str">
        <f t="shared" si="4"/>
        <v/>
      </c>
      <c r="U562" s="28" t="str">
        <f t="shared" si="5"/>
        <v/>
      </c>
      <c r="V562" s="39" t="str">
        <f>IFERROR(__xludf.DUMMYFUNCTION(" IF(Account!$F562&lt;&gt;"""", SPLIT(Account!$F562, "" ""), """")"),"")</f>
        <v/>
      </c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</row>
    <row r="563">
      <c r="A563" s="7"/>
      <c r="B563" s="7"/>
      <c r="C563" s="7"/>
      <c r="D563" s="7"/>
      <c r="E563" s="7"/>
      <c r="F563" s="9"/>
      <c r="G563" s="341"/>
      <c r="H563" s="7"/>
      <c r="I563" s="7"/>
      <c r="J563" s="7"/>
      <c r="K563" s="7"/>
      <c r="L563" s="26" t="str">
        <f t="shared" si="1"/>
        <v/>
      </c>
      <c r="M563" s="28" t="str">
        <f>IFERROR(__xludf.DUMMYFUNCTION("IF(Account!$F563&lt;&gt;"""", VALUE(REGEXREPLACE($I563, ""\,"", ""."")), """")"),"")</f>
        <v/>
      </c>
      <c r="N563" s="31" t="str">
        <f>IF(Account!$F563&lt;&gt;"", DATEVALUE(MID($A563,4,3) &amp; LEFT($A563,3) &amp; RIGHT($A563,4)) + TIMEVALUE($B563), "")</f>
        <v/>
      </c>
      <c r="O563" s="33" t="str">
        <f>IF(Account!$F563&lt;&gt;"", DATEVALUE(MID($A563,4,3) &amp; LEFT($A563,3) &amp; RIGHT($A563,4)), "")</f>
        <v/>
      </c>
      <c r="P563" s="34" t="str">
        <f>IFERROR(VLOOKUP($Q563,Selection!$F:$G,2,false))</f>
        <v/>
      </c>
      <c r="Q563" s="36" t="str">
        <f>IF(AND($X563="change",$H563="EUR"),IF(AND($Z563="Crédit",$N563=$N564),$Q564,IF(AND($Z563="Débit",$N563=$N562),$Q562)),IF(OR(AND(OR($E563&lt;&gt;"",$L563=""),$M563&lt;&gt;0),$A563=""),IFERROR(VLOOKUP($E563,Selection!$E:$F,2,false)),IFERROR(VLOOKUP(SUBSTITUTE($I563,"-","",1),$K564:$Q1119,7,false),VLOOKUP($K563,$K564:$Q1119,7,false))))</f>
        <v/>
      </c>
      <c r="R563" s="34" t="str">
        <f t="shared" si="2"/>
        <v/>
      </c>
      <c r="S563" s="37" t="str">
        <f t="shared" si="3"/>
        <v/>
      </c>
      <c r="T563" s="38" t="str">
        <f t="shared" si="4"/>
        <v/>
      </c>
      <c r="U563" s="28" t="str">
        <f t="shared" si="5"/>
        <v/>
      </c>
      <c r="V563" s="39" t="str">
        <f>IFERROR(__xludf.DUMMYFUNCTION(" IF(Account!$F563&lt;&gt;"""", SPLIT(Account!$F563, "" ""), """")"),"")</f>
        <v/>
      </c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</row>
    <row r="564">
      <c r="A564" s="7"/>
      <c r="B564" s="7"/>
      <c r="C564" s="7"/>
      <c r="D564" s="7"/>
      <c r="E564" s="7"/>
      <c r="F564" s="9"/>
      <c r="G564" s="341"/>
      <c r="H564" s="7"/>
      <c r="I564" s="7"/>
      <c r="J564" s="7"/>
      <c r="K564" s="7"/>
      <c r="L564" s="26" t="str">
        <f t="shared" si="1"/>
        <v/>
      </c>
      <c r="M564" s="28" t="str">
        <f>IFERROR(__xludf.DUMMYFUNCTION("IF(Account!$F564&lt;&gt;"""", VALUE(REGEXREPLACE($I564, ""\,"", ""."")), """")"),"")</f>
        <v/>
      </c>
      <c r="N564" s="31" t="str">
        <f>IF(Account!$F564&lt;&gt;"", DATEVALUE(MID($A564,4,3) &amp; LEFT($A564,3) &amp; RIGHT($A564,4)) + TIMEVALUE($B564), "")</f>
        <v/>
      </c>
      <c r="O564" s="33" t="str">
        <f>IF(Account!$F564&lt;&gt;"", DATEVALUE(MID($A564,4,3) &amp; LEFT($A564,3) &amp; RIGHT($A564,4)), "")</f>
        <v/>
      </c>
      <c r="P564" s="34" t="str">
        <f>IFERROR(VLOOKUP($Q564,Selection!$F:$G,2,false))</f>
        <v/>
      </c>
      <c r="Q564" s="36" t="str">
        <f>IF(AND($X564="change",$H564="EUR"),IF(AND($Z564="Crédit",$N564=$N565),$Q565,IF(AND($Z564="Débit",$N564=$N563),$Q563)),IF(OR(AND(OR($E564&lt;&gt;"",$L564=""),$M564&lt;&gt;0),$A564=""),IFERROR(VLOOKUP($E564,Selection!$E:$F,2,false)),IFERROR(VLOOKUP(SUBSTITUTE($I564,"-","",1),$K565:$Q1119,7,false),VLOOKUP($K564,$K565:$Q1119,7,false))))</f>
        <v/>
      </c>
      <c r="R564" s="34" t="str">
        <f t="shared" si="2"/>
        <v/>
      </c>
      <c r="S564" s="37" t="str">
        <f t="shared" si="3"/>
        <v/>
      </c>
      <c r="T564" s="38" t="str">
        <f t="shared" si="4"/>
        <v/>
      </c>
      <c r="U564" s="28" t="str">
        <f t="shared" si="5"/>
        <v/>
      </c>
      <c r="V564" s="39" t="str">
        <f>IFERROR(__xludf.DUMMYFUNCTION(" IF(Account!$F564&lt;&gt;"""", SPLIT(Account!$F564, "" ""), """")"),"")</f>
        <v/>
      </c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</row>
    <row r="565">
      <c r="A565" s="7"/>
      <c r="B565" s="7"/>
      <c r="C565" s="7"/>
      <c r="D565" s="7"/>
      <c r="E565" s="7"/>
      <c r="F565" s="9"/>
      <c r="G565" s="341"/>
      <c r="H565" s="7"/>
      <c r="I565" s="7"/>
      <c r="J565" s="7"/>
      <c r="K565" s="7"/>
      <c r="L565" s="26" t="str">
        <f t="shared" si="1"/>
        <v/>
      </c>
      <c r="M565" s="28" t="str">
        <f>IFERROR(__xludf.DUMMYFUNCTION("IF(Account!$F565&lt;&gt;"""", VALUE(REGEXREPLACE($I565, ""\,"", ""."")), """")"),"")</f>
        <v/>
      </c>
      <c r="N565" s="31" t="str">
        <f>IF(Account!$F565&lt;&gt;"", DATEVALUE(MID($A565,4,3) &amp; LEFT($A565,3) &amp; RIGHT($A565,4)) + TIMEVALUE($B565), "")</f>
        <v/>
      </c>
      <c r="O565" s="33" t="str">
        <f>IF(Account!$F565&lt;&gt;"", DATEVALUE(MID($A565,4,3) &amp; LEFT($A565,3) &amp; RIGHT($A565,4)), "")</f>
        <v/>
      </c>
      <c r="P565" s="34" t="str">
        <f>IFERROR(VLOOKUP($Q565,Selection!$F:$G,2,false))</f>
        <v/>
      </c>
      <c r="Q565" s="36" t="str">
        <f>IF(AND($X565="change",$H565="EUR"),IF(AND($Z565="Crédit",$N565=$N566),$Q566,IF(AND($Z565="Débit",$N565=$N564),$Q564)),IF(OR(AND(OR($E565&lt;&gt;"",$L565=""),$M565&lt;&gt;0),$A565=""),IFERROR(VLOOKUP($E565,Selection!$E:$F,2,false)),IFERROR(VLOOKUP(SUBSTITUTE($I565,"-","",1),$K566:$Q1119,7,false),VLOOKUP($K565,$K566:$Q1119,7,false))))</f>
        <v/>
      </c>
      <c r="R565" s="34" t="str">
        <f t="shared" si="2"/>
        <v/>
      </c>
      <c r="S565" s="37" t="str">
        <f t="shared" si="3"/>
        <v/>
      </c>
      <c r="T565" s="38" t="str">
        <f t="shared" si="4"/>
        <v/>
      </c>
      <c r="U565" s="28" t="str">
        <f t="shared" si="5"/>
        <v/>
      </c>
      <c r="V565" s="39" t="str">
        <f>IFERROR(__xludf.DUMMYFUNCTION(" IF(Account!$F565&lt;&gt;"""", SPLIT(Account!$F565, "" ""), """")"),"")</f>
        <v/>
      </c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</row>
    <row r="566">
      <c r="A566" s="7"/>
      <c r="B566" s="7"/>
      <c r="C566" s="7"/>
      <c r="D566" s="7"/>
      <c r="E566" s="7"/>
      <c r="F566" s="9"/>
      <c r="G566" s="341"/>
      <c r="H566" s="7"/>
      <c r="I566" s="7"/>
      <c r="J566" s="7"/>
      <c r="K566" s="7"/>
      <c r="L566" s="26" t="str">
        <f t="shared" si="1"/>
        <v/>
      </c>
      <c r="M566" s="28" t="str">
        <f>IFERROR(__xludf.DUMMYFUNCTION("IF(Account!$F566&lt;&gt;"""", VALUE(REGEXREPLACE($I566, ""\,"", ""."")), """")"),"")</f>
        <v/>
      </c>
      <c r="N566" s="31" t="str">
        <f>IF(Account!$F566&lt;&gt;"", DATEVALUE(MID($A566,4,3) &amp; LEFT($A566,3) &amp; RIGHT($A566,4)) + TIMEVALUE($B566), "")</f>
        <v/>
      </c>
      <c r="O566" s="33" t="str">
        <f>IF(Account!$F566&lt;&gt;"", DATEVALUE(MID($A566,4,3) &amp; LEFT($A566,3) &amp; RIGHT($A566,4)), "")</f>
        <v/>
      </c>
      <c r="P566" s="34" t="str">
        <f>IFERROR(VLOOKUP($Q566,Selection!$F:$G,2,false))</f>
        <v/>
      </c>
      <c r="Q566" s="36" t="str">
        <f>IF(AND($X566="change",$H566="EUR"),IF(AND($Z566="Crédit",$N566=$N567),$Q567,IF(AND($Z566="Débit",$N566=$N565),$Q565)),IF(OR(AND(OR($E566&lt;&gt;"",$L566=""),$M566&lt;&gt;0),$A566=""),IFERROR(VLOOKUP($E566,Selection!$E:$F,2,false)),IFERROR(VLOOKUP(SUBSTITUTE($I566,"-","",1),$K567:$Q1119,7,false),VLOOKUP($K566,$K567:$Q1119,7,false))))</f>
        <v/>
      </c>
      <c r="R566" s="34" t="str">
        <f t="shared" si="2"/>
        <v/>
      </c>
      <c r="S566" s="37" t="str">
        <f t="shared" si="3"/>
        <v/>
      </c>
      <c r="T566" s="38" t="str">
        <f t="shared" si="4"/>
        <v/>
      </c>
      <c r="U566" s="28" t="str">
        <f t="shared" si="5"/>
        <v/>
      </c>
      <c r="V566" s="39" t="str">
        <f>IFERROR(__xludf.DUMMYFUNCTION(" IF(Account!$F566&lt;&gt;"""", SPLIT(Account!$F566, "" ""), """")"),"")</f>
        <v/>
      </c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</row>
    <row r="567">
      <c r="A567" s="7"/>
      <c r="B567" s="7"/>
      <c r="C567" s="7"/>
      <c r="D567" s="7"/>
      <c r="E567" s="7"/>
      <c r="F567" s="9"/>
      <c r="G567" s="341"/>
      <c r="H567" s="7"/>
      <c r="I567" s="7"/>
      <c r="J567" s="7"/>
      <c r="K567" s="7"/>
      <c r="L567" s="26" t="str">
        <f t="shared" si="1"/>
        <v/>
      </c>
      <c r="M567" s="28" t="str">
        <f>IFERROR(__xludf.DUMMYFUNCTION("IF(Account!$F567&lt;&gt;"""", VALUE(REGEXREPLACE($I567, ""\,"", ""."")), """")"),"")</f>
        <v/>
      </c>
      <c r="N567" s="31" t="str">
        <f>IF(Account!$F567&lt;&gt;"", DATEVALUE(MID($A567,4,3) &amp; LEFT($A567,3) &amp; RIGHT($A567,4)) + TIMEVALUE($B567), "")</f>
        <v/>
      </c>
      <c r="O567" s="33" t="str">
        <f>IF(Account!$F567&lt;&gt;"", DATEVALUE(MID($A567,4,3) &amp; LEFT($A567,3) &amp; RIGHT($A567,4)), "")</f>
        <v/>
      </c>
      <c r="P567" s="34" t="str">
        <f>IFERROR(VLOOKUP($Q567,Selection!$F:$G,2,false))</f>
        <v/>
      </c>
      <c r="Q567" s="36" t="str">
        <f>IF(AND($X567="change",$H567="EUR"),IF(AND($Z567="Crédit",$N567=$N568),$Q568,IF(AND($Z567="Débit",$N567=$N566),$Q566)),IF(OR(AND(OR($E567&lt;&gt;"",$L567=""),$M567&lt;&gt;0),$A567=""),IFERROR(VLOOKUP($E567,Selection!$E:$F,2,false)),IFERROR(VLOOKUP(SUBSTITUTE($I567,"-","",1),$K568:$Q1119,7,false),VLOOKUP($K567,$K568:$Q1119,7,false))))</f>
        <v/>
      </c>
      <c r="R567" s="34" t="str">
        <f t="shared" si="2"/>
        <v/>
      </c>
      <c r="S567" s="37" t="str">
        <f t="shared" si="3"/>
        <v/>
      </c>
      <c r="T567" s="38" t="str">
        <f t="shared" si="4"/>
        <v/>
      </c>
      <c r="U567" s="28" t="str">
        <f t="shared" si="5"/>
        <v/>
      </c>
      <c r="V567" s="39" t="str">
        <f>IFERROR(__xludf.DUMMYFUNCTION(" IF(Account!$F567&lt;&gt;"""", SPLIT(Account!$F567, "" ""), """")"),"")</f>
        <v/>
      </c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</row>
    <row r="568">
      <c r="A568" s="7"/>
      <c r="B568" s="7"/>
      <c r="C568" s="7"/>
      <c r="D568" s="7"/>
      <c r="E568" s="7"/>
      <c r="F568" s="9"/>
      <c r="G568" s="7"/>
      <c r="H568" s="7"/>
      <c r="I568" s="7"/>
      <c r="J568" s="7"/>
      <c r="K568" s="7"/>
      <c r="L568" s="26" t="str">
        <f t="shared" si="1"/>
        <v/>
      </c>
      <c r="M568" s="28" t="str">
        <f>IFERROR(__xludf.DUMMYFUNCTION("IF(Account!$F568&lt;&gt;"""", VALUE(REGEXREPLACE($I568, ""\,"", ""."")), """")"),"")</f>
        <v/>
      </c>
      <c r="N568" s="31" t="str">
        <f>IF(Account!$F568&lt;&gt;"", DATEVALUE(MID($A568,4,3) &amp; LEFT($A568,3) &amp; RIGHT($A568,4)) + TIMEVALUE($B568), "")</f>
        <v/>
      </c>
      <c r="O568" s="33" t="str">
        <f>IF(Account!$F568&lt;&gt;"", DATEVALUE(MID($A568,4,3) &amp; LEFT($A568,3) &amp; RIGHT($A568,4)), "")</f>
        <v/>
      </c>
      <c r="P568" s="34" t="str">
        <f>IFERROR(VLOOKUP($Q568,Selection!$F:$G,2,false))</f>
        <v/>
      </c>
      <c r="Q568" s="36" t="str">
        <f>IF(AND($X568="change",$H568="EUR"),IF(AND($Z568="Crédit",$N568=$N569),$Q569,IF(AND($Z568="Débit",$N568=$N567),$Q567)),IF(OR(AND(OR($E568&lt;&gt;"",$L568=""),$M568&lt;&gt;0),$A568=""),IFERROR(VLOOKUP($E568,Selection!$E:$F,2,false)),IFERROR(VLOOKUP(SUBSTITUTE($I568,"-","",1),$K569:$Q1119,7,false),VLOOKUP($K568,$K569:$Q1119,7,false))))</f>
        <v/>
      </c>
      <c r="R568" s="34" t="str">
        <f t="shared" si="2"/>
        <v/>
      </c>
      <c r="S568" s="37" t="str">
        <f t="shared" si="3"/>
        <v/>
      </c>
      <c r="T568" s="38" t="str">
        <f t="shared" si="4"/>
        <v/>
      </c>
      <c r="U568" s="28" t="str">
        <f t="shared" si="5"/>
        <v/>
      </c>
      <c r="V568" s="39" t="str">
        <f>IFERROR(__xludf.DUMMYFUNCTION(" IF(Account!$F568&lt;&gt;"""", SPLIT(Account!$F568, "" ""), """")"),"")</f>
        <v/>
      </c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</row>
    <row r="569">
      <c r="A569" s="7"/>
      <c r="B569" s="7"/>
      <c r="C569" s="7"/>
      <c r="D569" s="7"/>
      <c r="E569" s="7"/>
      <c r="F569" s="9"/>
      <c r="G569" s="341"/>
      <c r="H569" s="7"/>
      <c r="I569" s="7"/>
      <c r="J569" s="7"/>
      <c r="K569" s="7"/>
      <c r="L569" s="26" t="str">
        <f t="shared" si="1"/>
        <v/>
      </c>
      <c r="M569" s="28" t="str">
        <f>IFERROR(__xludf.DUMMYFUNCTION("IF(Account!$F569&lt;&gt;"""", VALUE(REGEXREPLACE($I569, ""\,"", ""."")), """")"),"")</f>
        <v/>
      </c>
      <c r="N569" s="31" t="str">
        <f>IF(Account!$F569&lt;&gt;"", DATEVALUE(MID($A569,4,3) &amp; LEFT($A569,3) &amp; RIGHT($A569,4)) + TIMEVALUE($B569), "")</f>
        <v/>
      </c>
      <c r="O569" s="33" t="str">
        <f>IF(Account!$F569&lt;&gt;"", DATEVALUE(MID($A569,4,3) &amp; LEFT($A569,3) &amp; RIGHT($A569,4)), "")</f>
        <v/>
      </c>
      <c r="P569" s="34" t="str">
        <f>IFERROR(VLOOKUP($Q569,Selection!$F:$G,2,false))</f>
        <v/>
      </c>
      <c r="Q569" s="36" t="str">
        <f>IF(AND($X569="change",$H569="EUR"),IF(AND($Z569="Crédit",$N569=$N570),$Q570,IF(AND($Z569="Débit",$N569=$N568),$Q568)),IF(OR(AND(OR($E569&lt;&gt;"",$L569=""),$M569&lt;&gt;0),$A569=""),IFERROR(VLOOKUP($E569,Selection!$E:$F,2,false)),IFERROR(VLOOKUP(SUBSTITUTE($I569,"-","",1),$K570:$Q1119,7,false),VLOOKUP($K569,$K570:$Q1119,7,false))))</f>
        <v/>
      </c>
      <c r="R569" s="34" t="str">
        <f t="shared" si="2"/>
        <v/>
      </c>
      <c r="S569" s="37" t="str">
        <f t="shared" si="3"/>
        <v/>
      </c>
      <c r="T569" s="38" t="str">
        <f t="shared" si="4"/>
        <v/>
      </c>
      <c r="U569" s="28" t="str">
        <f t="shared" si="5"/>
        <v/>
      </c>
      <c r="V569" s="39" t="str">
        <f>IFERROR(__xludf.DUMMYFUNCTION(" IF(Account!$F569&lt;&gt;"""", SPLIT(Account!$F569, "" ""), """")"),"")</f>
        <v/>
      </c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</row>
    <row r="570">
      <c r="A570" s="7"/>
      <c r="B570" s="7"/>
      <c r="C570" s="7"/>
      <c r="D570" s="7"/>
      <c r="E570" s="7"/>
      <c r="F570" s="9"/>
      <c r="G570" s="341"/>
      <c r="H570" s="7"/>
      <c r="I570" s="7"/>
      <c r="J570" s="7"/>
      <c r="K570" s="7"/>
      <c r="L570" s="26" t="str">
        <f t="shared" si="1"/>
        <v/>
      </c>
      <c r="M570" s="28" t="str">
        <f>IFERROR(__xludf.DUMMYFUNCTION("IF(Account!$F570&lt;&gt;"""", VALUE(REGEXREPLACE($I570, ""\,"", ""."")), """")"),"")</f>
        <v/>
      </c>
      <c r="N570" s="31" t="str">
        <f>IF(Account!$F570&lt;&gt;"", DATEVALUE(MID($A570,4,3) &amp; LEFT($A570,3) &amp; RIGHT($A570,4)) + TIMEVALUE($B570), "")</f>
        <v/>
      </c>
      <c r="O570" s="33" t="str">
        <f>IF(Account!$F570&lt;&gt;"", DATEVALUE(MID($A570,4,3) &amp; LEFT($A570,3) &amp; RIGHT($A570,4)), "")</f>
        <v/>
      </c>
      <c r="P570" s="34" t="str">
        <f>IFERROR(VLOOKUP($Q570,Selection!$F:$G,2,false))</f>
        <v/>
      </c>
      <c r="Q570" s="36" t="str">
        <f>IF(AND($X570="change",$H570="EUR"),IF(AND($Z570="Crédit",$N570=$N571),$Q571,IF(AND($Z570="Débit",$N570=$N569),$Q569)),IF(OR(AND(OR($E570&lt;&gt;"",$L570=""),$M570&lt;&gt;0),$A570=""),IFERROR(VLOOKUP($E570,Selection!$E:$F,2,false)),IFERROR(VLOOKUP(SUBSTITUTE($I570,"-","",1),$K571:$Q1119,7,false),VLOOKUP($K570,$K571:$Q1119,7,false))))</f>
        <v/>
      </c>
      <c r="R570" s="34" t="str">
        <f t="shared" si="2"/>
        <v/>
      </c>
      <c r="S570" s="37" t="str">
        <f t="shared" si="3"/>
        <v/>
      </c>
      <c r="T570" s="38" t="str">
        <f t="shared" si="4"/>
        <v/>
      </c>
      <c r="U570" s="28" t="str">
        <f t="shared" si="5"/>
        <v/>
      </c>
      <c r="V570" s="39" t="str">
        <f>IFERROR(__xludf.DUMMYFUNCTION(" IF(Account!$F570&lt;&gt;"""", SPLIT(Account!$F570, "" ""), """")"),"")</f>
        <v/>
      </c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</row>
    <row r="571">
      <c r="A571" s="7"/>
      <c r="B571" s="7"/>
      <c r="C571" s="7"/>
      <c r="D571" s="7"/>
      <c r="E571" s="7"/>
      <c r="F571" s="9"/>
      <c r="G571" s="7"/>
      <c r="H571" s="7"/>
      <c r="I571" s="7"/>
      <c r="J571" s="7"/>
      <c r="K571" s="7"/>
      <c r="L571" s="26" t="str">
        <f t="shared" si="1"/>
        <v/>
      </c>
      <c r="M571" s="28" t="str">
        <f>IFERROR(__xludf.DUMMYFUNCTION("IF(Account!$F571&lt;&gt;"""", VALUE(REGEXREPLACE($I571, ""\,"", ""."")), """")"),"")</f>
        <v/>
      </c>
      <c r="N571" s="31" t="str">
        <f>IF(Account!$F571&lt;&gt;"", DATEVALUE(MID($A571,4,3) &amp; LEFT($A571,3) &amp; RIGHT($A571,4)) + TIMEVALUE($B571), "")</f>
        <v/>
      </c>
      <c r="O571" s="33" t="str">
        <f>IF(Account!$F571&lt;&gt;"", DATEVALUE(MID($A571,4,3) &amp; LEFT($A571,3) &amp; RIGHT($A571,4)), "")</f>
        <v/>
      </c>
      <c r="P571" s="34" t="str">
        <f>IFERROR(VLOOKUP($Q571,Selection!$F:$G,2,false))</f>
        <v/>
      </c>
      <c r="Q571" s="36" t="str">
        <f>IF(AND($X571="change",$H571="EUR"),IF(AND($Z571="Crédit",$N571=$N572),$Q572,IF(AND($Z571="Débit",$N571=$N570),$Q570)),IF(OR(AND(OR($E571&lt;&gt;"",$L571=""),$M571&lt;&gt;0),$A571=""),IFERROR(VLOOKUP($E571,Selection!$E:$F,2,false)),IFERROR(VLOOKUP(SUBSTITUTE($I571,"-","",1),$K572:$Q1119,7,false),VLOOKUP($K571,$K572:$Q1119,7,false))))</f>
        <v/>
      </c>
      <c r="R571" s="34" t="str">
        <f t="shared" si="2"/>
        <v/>
      </c>
      <c r="S571" s="37" t="str">
        <f t="shared" si="3"/>
        <v/>
      </c>
      <c r="T571" s="38" t="str">
        <f t="shared" si="4"/>
        <v/>
      </c>
      <c r="U571" s="28" t="str">
        <f t="shared" si="5"/>
        <v/>
      </c>
      <c r="V571" s="39" t="str">
        <f>IFERROR(__xludf.DUMMYFUNCTION(" IF(Account!$F571&lt;&gt;"""", SPLIT(Account!$F571, "" ""), """")"),"")</f>
        <v/>
      </c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</row>
    <row r="572">
      <c r="A572" s="7"/>
      <c r="B572" s="7"/>
      <c r="C572" s="7"/>
      <c r="D572" s="7"/>
      <c r="E572" s="7"/>
      <c r="F572" s="9"/>
      <c r="G572" s="341"/>
      <c r="H572" s="7"/>
      <c r="I572" s="7"/>
      <c r="J572" s="7"/>
      <c r="K572" s="7"/>
      <c r="L572" s="26" t="str">
        <f t="shared" si="1"/>
        <v/>
      </c>
      <c r="M572" s="28" t="str">
        <f>IFERROR(__xludf.DUMMYFUNCTION("IF(Account!$F572&lt;&gt;"""", VALUE(REGEXREPLACE($I572, ""\,"", ""."")), """")"),"")</f>
        <v/>
      </c>
      <c r="N572" s="31" t="str">
        <f>IF(Account!$F572&lt;&gt;"", DATEVALUE(MID($A572,4,3) &amp; LEFT($A572,3) &amp; RIGHT($A572,4)) + TIMEVALUE($B572), "")</f>
        <v/>
      </c>
      <c r="O572" s="33" t="str">
        <f>IF(Account!$F572&lt;&gt;"", DATEVALUE(MID($A572,4,3) &amp; LEFT($A572,3) &amp; RIGHT($A572,4)), "")</f>
        <v/>
      </c>
      <c r="P572" s="34" t="str">
        <f>IFERROR(VLOOKUP($Q572,Selection!$F:$G,2,false))</f>
        <v/>
      </c>
      <c r="Q572" s="36" t="str">
        <f>IF(AND($X572="change",$H572="EUR"),IF(AND($Z572="Crédit",$N572=$N573),$Q573,IF(AND($Z572="Débit",$N572=$N571),$Q571)),IF(OR(AND(OR($E572&lt;&gt;"",$L572=""),$M572&lt;&gt;0),$A572=""),IFERROR(VLOOKUP($E572,Selection!$E:$F,2,false)),IFERROR(VLOOKUP(SUBSTITUTE($I572,"-","",1),$K573:$Q1119,7,false),VLOOKUP($K572,$K573:$Q1119,7,false))))</f>
        <v/>
      </c>
      <c r="R572" s="34" t="str">
        <f t="shared" si="2"/>
        <v/>
      </c>
      <c r="S572" s="37" t="str">
        <f t="shared" si="3"/>
        <v/>
      </c>
      <c r="T572" s="38" t="str">
        <f t="shared" si="4"/>
        <v/>
      </c>
      <c r="U572" s="28" t="str">
        <f t="shared" si="5"/>
        <v/>
      </c>
      <c r="V572" s="39" t="str">
        <f>IFERROR(__xludf.DUMMYFUNCTION(" IF(Account!$F572&lt;&gt;"""", SPLIT(Account!$F572, "" ""), """")"),"")</f>
        <v/>
      </c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</row>
    <row r="573">
      <c r="A573" s="7"/>
      <c r="B573" s="7"/>
      <c r="C573" s="7"/>
      <c r="D573" s="7"/>
      <c r="E573" s="7"/>
      <c r="F573" s="9"/>
      <c r="G573" s="341"/>
      <c r="H573" s="7"/>
      <c r="I573" s="7"/>
      <c r="J573" s="7"/>
      <c r="K573" s="7"/>
      <c r="L573" s="26" t="str">
        <f t="shared" si="1"/>
        <v/>
      </c>
      <c r="M573" s="28" t="str">
        <f>IFERROR(__xludf.DUMMYFUNCTION("IF(Account!$F573&lt;&gt;"""", VALUE(REGEXREPLACE($I573, ""\,"", ""."")), """")"),"")</f>
        <v/>
      </c>
      <c r="N573" s="31" t="str">
        <f>IF(Account!$F573&lt;&gt;"", DATEVALUE(MID($A573,4,3) &amp; LEFT($A573,3) &amp; RIGHT($A573,4)) + TIMEVALUE($B573), "")</f>
        <v/>
      </c>
      <c r="O573" s="33" t="str">
        <f>IF(Account!$F573&lt;&gt;"", DATEVALUE(MID($A573,4,3) &amp; LEFT($A573,3) &amp; RIGHT($A573,4)), "")</f>
        <v/>
      </c>
      <c r="P573" s="34" t="str">
        <f>IFERROR(VLOOKUP($Q573,Selection!$F:$G,2,false))</f>
        <v/>
      </c>
      <c r="Q573" s="36" t="str">
        <f>IF(AND($X573="change",$H573="EUR"),IF(AND($Z573="Crédit",$N573=$N574),$Q574,IF(AND($Z573="Débit",$N573=$N572),$Q572)),IF(OR(AND(OR($E573&lt;&gt;"",$L573=""),$M573&lt;&gt;0),$A573=""),IFERROR(VLOOKUP($E573,Selection!$E:$F,2,false)),IFERROR(VLOOKUP(SUBSTITUTE($I573,"-","",1),$K574:$Q1119,7,false),VLOOKUP($K573,$K574:$Q1119,7,false))))</f>
        <v/>
      </c>
      <c r="R573" s="34" t="str">
        <f t="shared" si="2"/>
        <v/>
      </c>
      <c r="S573" s="37" t="str">
        <f t="shared" si="3"/>
        <v/>
      </c>
      <c r="T573" s="38" t="str">
        <f t="shared" si="4"/>
        <v/>
      </c>
      <c r="U573" s="28" t="str">
        <f t="shared" si="5"/>
        <v/>
      </c>
      <c r="V573" s="39" t="str">
        <f>IFERROR(__xludf.DUMMYFUNCTION(" IF(Account!$F573&lt;&gt;"""", SPLIT(Account!$F573, "" ""), """")"),"")</f>
        <v/>
      </c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</row>
    <row r="574">
      <c r="A574" s="7"/>
      <c r="B574" s="7"/>
      <c r="C574" s="7"/>
      <c r="D574" s="341"/>
      <c r="E574" s="341"/>
      <c r="F574" s="9"/>
      <c r="G574" s="341"/>
      <c r="H574" s="7"/>
      <c r="I574" s="7"/>
      <c r="J574" s="7"/>
      <c r="K574" s="7"/>
      <c r="L574" s="26" t="str">
        <f t="shared" si="1"/>
        <v/>
      </c>
      <c r="M574" s="28" t="str">
        <f>IFERROR(__xludf.DUMMYFUNCTION("IF(Account!$F574&lt;&gt;"""", VALUE(REGEXREPLACE($I574, ""\,"", ""."")), """")"),"")</f>
        <v/>
      </c>
      <c r="N574" s="31" t="str">
        <f>IF(Account!$F574&lt;&gt;"", DATEVALUE(MID($A574,4,3) &amp; LEFT($A574,3) &amp; RIGHT($A574,4)) + TIMEVALUE($B574), "")</f>
        <v/>
      </c>
      <c r="O574" s="33" t="str">
        <f>IF(Account!$F574&lt;&gt;"", DATEVALUE(MID($A574,4,3) &amp; LEFT($A574,3) &amp; RIGHT($A574,4)), "")</f>
        <v/>
      </c>
      <c r="P574" s="34" t="str">
        <f>IFERROR(VLOOKUP($Q574,Selection!$F:$G,2,false))</f>
        <v/>
      </c>
      <c r="Q574" s="36" t="str">
        <f>IF(AND($X574="change",$H574="EUR"),IF(AND($Z574="Crédit",$N574=$N575),$Q575,IF(AND($Z574="Débit",$N574=$N573),$Q573)),IF(OR(AND(OR($E574&lt;&gt;"",$L574=""),$M574&lt;&gt;0),$A574=""),IFERROR(VLOOKUP($E574,Selection!$E:$F,2,false)),IFERROR(VLOOKUP(SUBSTITUTE($I574,"-","",1),$K575:$Q1119,7,false),VLOOKUP($K574,$K575:$Q1119,7,false))))</f>
        <v/>
      </c>
      <c r="R574" s="34" t="str">
        <f t="shared" si="2"/>
        <v/>
      </c>
      <c r="S574" s="37" t="str">
        <f t="shared" si="3"/>
        <v/>
      </c>
      <c r="T574" s="38" t="str">
        <f t="shared" si="4"/>
        <v/>
      </c>
      <c r="U574" s="28" t="str">
        <f t="shared" si="5"/>
        <v/>
      </c>
      <c r="V574" s="39" t="str">
        <f>IFERROR(__xludf.DUMMYFUNCTION(" IF(Account!$F574&lt;&gt;"""", SPLIT(Account!$F574, "" ""), """")"),"")</f>
        <v/>
      </c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</row>
    <row r="575">
      <c r="A575" s="7"/>
      <c r="B575" s="7"/>
      <c r="C575" s="7"/>
      <c r="D575" s="341"/>
      <c r="E575" s="341"/>
      <c r="F575" s="9"/>
      <c r="G575" s="341"/>
      <c r="H575" s="7"/>
      <c r="I575" s="7"/>
      <c r="J575" s="7"/>
      <c r="K575" s="7"/>
      <c r="L575" s="26" t="str">
        <f t="shared" si="1"/>
        <v/>
      </c>
      <c r="M575" s="28" t="str">
        <f>IFERROR(__xludf.DUMMYFUNCTION("IF(Account!$F575&lt;&gt;"""", VALUE(REGEXREPLACE($I575, ""\,"", ""."")), """")"),"")</f>
        <v/>
      </c>
      <c r="N575" s="31" t="str">
        <f>IF(Account!$F575&lt;&gt;"", DATEVALUE(MID($A575,4,3) &amp; LEFT($A575,3) &amp; RIGHT($A575,4)) + TIMEVALUE($B575), "")</f>
        <v/>
      </c>
      <c r="O575" s="33" t="str">
        <f>IF(Account!$F575&lt;&gt;"", DATEVALUE(MID($A575,4,3) &amp; LEFT($A575,3) &amp; RIGHT($A575,4)), "")</f>
        <v/>
      </c>
      <c r="P575" s="34" t="str">
        <f>IFERROR(VLOOKUP($Q575,Selection!$F:$G,2,false))</f>
        <v/>
      </c>
      <c r="Q575" s="36" t="str">
        <f>IF(AND($X575="change",$H575="EUR"),IF(AND($Z575="Crédit",$N575=$N576),$Q576,IF(AND($Z575="Débit",$N575=$N574),$Q574)),IF(OR(AND(OR($E575&lt;&gt;"",$L575=""),$M575&lt;&gt;0),$A575=""),IFERROR(VLOOKUP($E575,Selection!$E:$F,2,false)),IFERROR(VLOOKUP(SUBSTITUTE($I575,"-","",1),$K576:$Q1119,7,false),VLOOKUP($K575,$K576:$Q1119,7,false))))</f>
        <v/>
      </c>
      <c r="R575" s="34" t="str">
        <f t="shared" si="2"/>
        <v/>
      </c>
      <c r="S575" s="37" t="str">
        <f t="shared" si="3"/>
        <v/>
      </c>
      <c r="T575" s="38" t="str">
        <f t="shared" si="4"/>
        <v/>
      </c>
      <c r="U575" s="28" t="str">
        <f t="shared" si="5"/>
        <v/>
      </c>
      <c r="V575" s="39" t="str">
        <f>IFERROR(__xludf.DUMMYFUNCTION(" IF(Account!$F575&lt;&gt;"""", SPLIT(Account!$F575, "" ""), """")"),"")</f>
        <v/>
      </c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</row>
    <row r="576">
      <c r="A576" s="341"/>
      <c r="B576" s="341"/>
      <c r="C576" s="341"/>
      <c r="D576" s="341"/>
      <c r="E576" s="341"/>
      <c r="F576" s="373"/>
      <c r="G576" s="341"/>
      <c r="H576" s="341"/>
      <c r="I576" s="341"/>
      <c r="J576" s="341"/>
      <c r="K576" s="341"/>
      <c r="L576" s="26" t="str">
        <f t="shared" si="1"/>
        <v/>
      </c>
      <c r="M576" s="28" t="str">
        <f>IFERROR(__xludf.DUMMYFUNCTION("IF(Account!$F576&lt;&gt;"""", VALUE(REGEXREPLACE($I576, ""\,"", ""."")), """")"),"")</f>
        <v/>
      </c>
      <c r="N576" s="31" t="str">
        <f>IF(Account!$F576&lt;&gt;"", DATEVALUE(MID($A576,4,3) &amp; LEFT($A576,3) &amp; RIGHT($A576,4)) + TIMEVALUE($B576), "")</f>
        <v/>
      </c>
      <c r="O576" s="33" t="str">
        <f>IF(Account!$F576&lt;&gt;"", DATEVALUE(MID($A576,4,3) &amp; LEFT($A576,3) &amp; RIGHT($A576,4)), "")</f>
        <v/>
      </c>
      <c r="P576" s="34" t="str">
        <f>IFERROR(VLOOKUP($Q576,Selection!$F:$G,2,false))</f>
        <v/>
      </c>
      <c r="Q576" s="36" t="str">
        <f>IF(AND($X576="change",$H576="EUR"),IF(AND($Z576="Crédit",$N576=$N577),$Q577,IF(AND($Z576="Débit",$N576=$N575),$Q575)),IF(OR(AND(OR($E576&lt;&gt;"",$L576=""),$M576&lt;&gt;0),$A576=""),IFERROR(VLOOKUP($E576,Selection!$E:$F,2,false)),IFERROR(VLOOKUP(SUBSTITUTE($I576,"-","",1),$K577:$Q1119,7,false),VLOOKUP($K576,$K577:$Q1119,7,false))))</f>
        <v/>
      </c>
      <c r="R576" s="34" t="str">
        <f t="shared" si="2"/>
        <v/>
      </c>
      <c r="S576" s="37" t="str">
        <f t="shared" si="3"/>
        <v/>
      </c>
      <c r="T576" s="38" t="str">
        <f t="shared" si="4"/>
        <v/>
      </c>
      <c r="U576" s="28" t="str">
        <f t="shared" si="5"/>
        <v/>
      </c>
      <c r="V576" s="39" t="str">
        <f>IFERROR(__xludf.DUMMYFUNCTION(" IF(Account!$F576&lt;&gt;"""", SPLIT(Account!$F576, "" ""), """")"),"")</f>
        <v/>
      </c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</row>
    <row r="577">
      <c r="A577" s="341"/>
      <c r="B577" s="341"/>
      <c r="C577" s="341"/>
      <c r="D577" s="341"/>
      <c r="E577" s="341"/>
      <c r="F577" s="373"/>
      <c r="G577" s="341"/>
      <c r="H577" s="341"/>
      <c r="I577" s="341"/>
      <c r="J577" s="341"/>
      <c r="K577" s="341"/>
      <c r="L577" s="26" t="str">
        <f t="shared" si="1"/>
        <v/>
      </c>
      <c r="M577" s="28" t="str">
        <f>IFERROR(__xludf.DUMMYFUNCTION("IF(Account!$F577&lt;&gt;"""", VALUE(REGEXREPLACE($I577, ""\,"", ""."")), """")"),"")</f>
        <v/>
      </c>
      <c r="N577" s="31" t="str">
        <f>IF(Account!$F577&lt;&gt;"", DATEVALUE(MID($A577,4,3) &amp; LEFT($A577,3) &amp; RIGHT($A577,4)) + TIMEVALUE($B577), "")</f>
        <v/>
      </c>
      <c r="O577" s="33" t="str">
        <f>IF(Account!$F577&lt;&gt;"", DATEVALUE(MID($A577,4,3) &amp; LEFT($A577,3) &amp; RIGHT($A577,4)), "")</f>
        <v/>
      </c>
      <c r="P577" s="34" t="str">
        <f>IFERROR(VLOOKUP($Q577,Selection!$F:$G,2,false))</f>
        <v/>
      </c>
      <c r="Q577" s="36" t="str">
        <f>IF(AND($X577="change",$H577="EUR"),IF(AND($Z577="Crédit",$N577=$N578),$Q578,IF(AND($Z577="Débit",$N577=$N576),$Q576)),IF(OR(AND(OR($E577&lt;&gt;"",$L577=""),$M577&lt;&gt;0),$A577=""),IFERROR(VLOOKUP($E577,Selection!$E:$F,2,false)),IFERROR(VLOOKUP(SUBSTITUTE($I577,"-","",1),$K578:$Q1119,7,false),VLOOKUP($K577,$K578:$Q1119,7,false))))</f>
        <v/>
      </c>
      <c r="R577" s="34" t="str">
        <f t="shared" si="2"/>
        <v/>
      </c>
      <c r="S577" s="37" t="str">
        <f t="shared" si="3"/>
        <v/>
      </c>
      <c r="T577" s="38" t="str">
        <f t="shared" si="4"/>
        <v/>
      </c>
      <c r="U577" s="28" t="str">
        <f t="shared" si="5"/>
        <v/>
      </c>
      <c r="V577" s="39" t="str">
        <f>IFERROR(__xludf.DUMMYFUNCTION(" IF(Account!$F577&lt;&gt;"""", SPLIT(Account!$F577, "" ""), """")"),"")</f>
        <v/>
      </c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</row>
    <row r="578">
      <c r="A578" s="341"/>
      <c r="B578" s="341"/>
      <c r="C578" s="341"/>
      <c r="D578" s="341"/>
      <c r="E578" s="341"/>
      <c r="F578" s="373"/>
      <c r="G578" s="341"/>
      <c r="H578" s="341"/>
      <c r="I578" s="341"/>
      <c r="J578" s="341"/>
      <c r="K578" s="341"/>
      <c r="L578" s="26" t="str">
        <f t="shared" si="1"/>
        <v/>
      </c>
      <c r="M578" s="28" t="str">
        <f>IFERROR(__xludf.DUMMYFUNCTION("IF(Account!$F578&lt;&gt;"""", VALUE(REGEXREPLACE($I578, ""\,"", ""."")), """")"),"")</f>
        <v/>
      </c>
      <c r="N578" s="31" t="str">
        <f>IF(Account!$F578&lt;&gt;"", DATEVALUE(MID($A578,4,3) &amp; LEFT($A578,3) &amp; RIGHT($A578,4)) + TIMEVALUE($B578), "")</f>
        <v/>
      </c>
      <c r="O578" s="33" t="str">
        <f>IF(Account!$F578&lt;&gt;"", DATEVALUE(MID($A578,4,3) &amp; LEFT($A578,3) &amp; RIGHT($A578,4)), "")</f>
        <v/>
      </c>
      <c r="P578" s="34" t="str">
        <f>IFERROR(VLOOKUP($Q578,Selection!$F:$G,2,false))</f>
        <v/>
      </c>
      <c r="Q578" s="36" t="str">
        <f>IF(AND($X578="change",$H578="EUR"),IF(AND($Z578="Crédit",$N578=$N579),$Q579,IF(AND($Z578="Débit",$N578=$N577),$Q577)),IF(OR(AND(OR($E578&lt;&gt;"",$L578=""),$M578&lt;&gt;0),$A578=""),IFERROR(VLOOKUP($E578,Selection!$E:$F,2,false)),IFERROR(VLOOKUP(SUBSTITUTE($I578,"-","",1),$K579:$Q1119,7,false),VLOOKUP($K578,$K579:$Q1119,7,false))))</f>
        <v/>
      </c>
      <c r="R578" s="34" t="str">
        <f t="shared" si="2"/>
        <v/>
      </c>
      <c r="S578" s="37" t="str">
        <f t="shared" si="3"/>
        <v/>
      </c>
      <c r="T578" s="38" t="str">
        <f t="shared" si="4"/>
        <v/>
      </c>
      <c r="U578" s="28" t="str">
        <f t="shared" si="5"/>
        <v/>
      </c>
      <c r="V578" s="39" t="str">
        <f>IFERROR(__xludf.DUMMYFUNCTION(" IF(Account!$F578&lt;&gt;"""", SPLIT(Account!$F578, "" ""), """")"),"")</f>
        <v/>
      </c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</row>
    <row r="579">
      <c r="A579" s="341"/>
      <c r="B579" s="341"/>
      <c r="C579" s="341"/>
      <c r="D579" s="341"/>
      <c r="E579" s="341"/>
      <c r="F579" s="373"/>
      <c r="G579" s="341"/>
      <c r="H579" s="341"/>
      <c r="I579" s="341"/>
      <c r="J579" s="341"/>
      <c r="K579" s="341"/>
      <c r="L579" s="26" t="str">
        <f t="shared" si="1"/>
        <v/>
      </c>
      <c r="M579" s="28" t="str">
        <f>IFERROR(__xludf.DUMMYFUNCTION("IF(Account!$F579&lt;&gt;"""", VALUE(REGEXREPLACE($I579, ""\,"", ""."")), """")"),"")</f>
        <v/>
      </c>
      <c r="N579" s="31" t="str">
        <f>IF(Account!$F579&lt;&gt;"", DATEVALUE(MID($A579,4,3) &amp; LEFT($A579,3) &amp; RIGHT($A579,4)) + TIMEVALUE($B579), "")</f>
        <v/>
      </c>
      <c r="O579" s="33" t="str">
        <f>IF(Account!$F579&lt;&gt;"", DATEVALUE(MID($A579,4,3) &amp; LEFT($A579,3) &amp; RIGHT($A579,4)), "")</f>
        <v/>
      </c>
      <c r="P579" s="34" t="str">
        <f>IFERROR(VLOOKUP($Q579,Selection!$F:$G,2,false))</f>
        <v/>
      </c>
      <c r="Q579" s="36" t="str">
        <f>IF(AND($X579="change",$H579="EUR"),IF(AND($Z579="Crédit",$N579=$N580),$Q580,IF(AND($Z579="Débit",$N579=$N578),$Q578)),IF(OR(AND(OR($E579&lt;&gt;"",$L579=""),$M579&lt;&gt;0),$A579=""),IFERROR(VLOOKUP($E579,Selection!$E:$F,2,false)),IFERROR(VLOOKUP(SUBSTITUTE($I579,"-","",1),$K580:$Q1119,7,false),VLOOKUP($K579,$K580:$Q1119,7,false))))</f>
        <v/>
      </c>
      <c r="R579" s="34" t="str">
        <f t="shared" si="2"/>
        <v/>
      </c>
      <c r="S579" s="37" t="str">
        <f t="shared" si="3"/>
        <v/>
      </c>
      <c r="T579" s="38" t="str">
        <f t="shared" si="4"/>
        <v/>
      </c>
      <c r="U579" s="28" t="str">
        <f t="shared" si="5"/>
        <v/>
      </c>
      <c r="V579" s="39" t="str">
        <f>IFERROR(__xludf.DUMMYFUNCTION(" IF(Account!$F579&lt;&gt;"""", SPLIT(Account!$F579, "" ""), """")"),"")</f>
        <v/>
      </c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</row>
    <row r="580">
      <c r="A580" s="341"/>
      <c r="B580" s="341"/>
      <c r="C580" s="341"/>
      <c r="D580" s="341"/>
      <c r="E580" s="341"/>
      <c r="F580" s="373"/>
      <c r="G580" s="341"/>
      <c r="H580" s="341"/>
      <c r="I580" s="341"/>
      <c r="J580" s="341"/>
      <c r="K580" s="341"/>
      <c r="L580" s="26" t="str">
        <f t="shared" si="1"/>
        <v/>
      </c>
      <c r="M580" s="28" t="str">
        <f>IFERROR(__xludf.DUMMYFUNCTION("IF(Account!$F580&lt;&gt;"""", VALUE(REGEXREPLACE($I580, ""\,"", ""."")), """")"),"")</f>
        <v/>
      </c>
      <c r="N580" s="31" t="str">
        <f>IF(Account!$F580&lt;&gt;"", DATEVALUE(MID($A580,4,3) &amp; LEFT($A580,3) &amp; RIGHT($A580,4)) + TIMEVALUE($B580), "")</f>
        <v/>
      </c>
      <c r="O580" s="33" t="str">
        <f>IF(Account!$F580&lt;&gt;"", DATEVALUE(MID($A580,4,3) &amp; LEFT($A580,3) &amp; RIGHT($A580,4)), "")</f>
        <v/>
      </c>
      <c r="P580" s="34" t="str">
        <f>IFERROR(VLOOKUP($Q580,Selection!$F:$G,2,false))</f>
        <v/>
      </c>
      <c r="Q580" s="36" t="str">
        <f>IF(AND($X580="change",$H580="EUR"),IF(AND($Z580="Crédit",$N580=$N581),$Q581,IF(AND($Z580="Débit",$N580=$N579),$Q579)),IF(OR(AND(OR($E580&lt;&gt;"",$L580=""),$M580&lt;&gt;0),$A580=""),IFERROR(VLOOKUP($E580,Selection!$E:$F,2,false)),IFERROR(VLOOKUP(SUBSTITUTE($I580,"-","",1),$K581:$Q1119,7,false),VLOOKUP($K580,$K581:$Q1119,7,false))))</f>
        <v/>
      </c>
      <c r="R580" s="34" t="str">
        <f t="shared" si="2"/>
        <v/>
      </c>
      <c r="S580" s="37" t="str">
        <f t="shared" si="3"/>
        <v/>
      </c>
      <c r="T580" s="38" t="str">
        <f t="shared" si="4"/>
        <v/>
      </c>
      <c r="U580" s="28" t="str">
        <f t="shared" si="5"/>
        <v/>
      </c>
      <c r="V580" s="39" t="str">
        <f>IFERROR(__xludf.DUMMYFUNCTION(" IF(Account!$F580&lt;&gt;"""", SPLIT(Account!$F580, "" ""), """")"),"")</f>
        <v/>
      </c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</row>
    <row r="581">
      <c r="A581" s="341"/>
      <c r="B581" s="341"/>
      <c r="C581" s="341"/>
      <c r="D581" s="341"/>
      <c r="E581" s="341"/>
      <c r="F581" s="373"/>
      <c r="G581" s="341"/>
      <c r="H581" s="341"/>
      <c r="I581" s="341"/>
      <c r="J581" s="341"/>
      <c r="K581" s="341"/>
      <c r="L581" s="26" t="str">
        <f t="shared" si="1"/>
        <v/>
      </c>
      <c r="M581" s="28" t="str">
        <f>IFERROR(__xludf.DUMMYFUNCTION("IF(Account!$F581&lt;&gt;"""", VALUE(REGEXREPLACE($I581, ""\,"", ""."")), """")"),"")</f>
        <v/>
      </c>
      <c r="N581" s="31" t="str">
        <f>IF(Account!$F581&lt;&gt;"", DATEVALUE(MID($A581,4,3) &amp; LEFT($A581,3) &amp; RIGHT($A581,4)) + TIMEVALUE($B581), "")</f>
        <v/>
      </c>
      <c r="O581" s="33" t="str">
        <f>IF(Account!$F581&lt;&gt;"", DATEVALUE(MID($A581,4,3) &amp; LEFT($A581,3) &amp; RIGHT($A581,4)), "")</f>
        <v/>
      </c>
      <c r="P581" s="34" t="str">
        <f>IFERROR(VLOOKUP($Q581,Selection!$F:$G,2,false))</f>
        <v/>
      </c>
      <c r="Q581" s="36" t="str">
        <f>IF(AND($X581="change",$H581="EUR"),IF(AND($Z581="Crédit",$N581=$N582),$Q582,IF(AND($Z581="Débit",$N581=$N580),$Q580)),IF(OR(AND(OR($E581&lt;&gt;"",$L581=""),$M581&lt;&gt;0),$A581=""),IFERROR(VLOOKUP($E581,Selection!$E:$F,2,false)),IFERROR(VLOOKUP(SUBSTITUTE($I581,"-","",1),$K582:$Q1119,7,false),VLOOKUP($K581,$K582:$Q1119,7,false))))</f>
        <v/>
      </c>
      <c r="R581" s="34" t="str">
        <f t="shared" si="2"/>
        <v/>
      </c>
      <c r="S581" s="37" t="str">
        <f t="shared" si="3"/>
        <v/>
      </c>
      <c r="T581" s="38" t="str">
        <f t="shared" si="4"/>
        <v/>
      </c>
      <c r="U581" s="28" t="str">
        <f t="shared" si="5"/>
        <v/>
      </c>
      <c r="V581" s="39" t="str">
        <f>IFERROR(__xludf.DUMMYFUNCTION(" IF(Account!$F581&lt;&gt;"""", SPLIT(Account!$F581, "" ""), """")"),"")</f>
        <v/>
      </c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</row>
    <row r="582">
      <c r="A582" s="341"/>
      <c r="B582" s="341"/>
      <c r="C582" s="341"/>
      <c r="D582" s="341"/>
      <c r="E582" s="341"/>
      <c r="F582" s="373"/>
      <c r="G582" s="341"/>
      <c r="H582" s="341"/>
      <c r="I582" s="341"/>
      <c r="J582" s="341"/>
      <c r="K582" s="341"/>
      <c r="L582" s="26" t="str">
        <f t="shared" si="1"/>
        <v/>
      </c>
      <c r="M582" s="28" t="str">
        <f>IFERROR(__xludf.DUMMYFUNCTION("IF(Account!$F582&lt;&gt;"""", VALUE(REGEXREPLACE($I582, ""\,"", ""."")), """")"),"")</f>
        <v/>
      </c>
      <c r="N582" s="31" t="str">
        <f>IF(Account!$F582&lt;&gt;"", DATEVALUE(MID($A582,4,3) &amp; LEFT($A582,3) &amp; RIGHT($A582,4)) + TIMEVALUE($B582), "")</f>
        <v/>
      </c>
      <c r="O582" s="33" t="str">
        <f>IF(Account!$F582&lt;&gt;"", DATEVALUE(MID($A582,4,3) &amp; LEFT($A582,3) &amp; RIGHT($A582,4)), "")</f>
        <v/>
      </c>
      <c r="P582" s="34" t="str">
        <f>IFERROR(VLOOKUP($Q582,Selection!$F:$G,2,false))</f>
        <v/>
      </c>
      <c r="Q582" s="36" t="str">
        <f>IF(AND($X582="change",$H582="EUR"),IF(AND($Z582="Crédit",$N582=$N583),$Q583,IF(AND($Z582="Débit",$N582=$N581),$Q581)),IF(OR(AND(OR($E582&lt;&gt;"",$L582=""),$M582&lt;&gt;0),$A582=""),IFERROR(VLOOKUP($E582,Selection!$E:$F,2,false)),IFERROR(VLOOKUP(SUBSTITUTE($I582,"-","",1),$K583:$Q1119,7,false),VLOOKUP($K582,$K583:$Q1119,7,false))))</f>
        <v/>
      </c>
      <c r="R582" s="34" t="str">
        <f t="shared" si="2"/>
        <v/>
      </c>
      <c r="S582" s="37" t="str">
        <f t="shared" si="3"/>
        <v/>
      </c>
      <c r="T582" s="38" t="str">
        <f t="shared" si="4"/>
        <v/>
      </c>
      <c r="U582" s="28" t="str">
        <f t="shared" si="5"/>
        <v/>
      </c>
      <c r="V582" s="39" t="str">
        <f>IFERROR(__xludf.DUMMYFUNCTION(" IF(Account!$F582&lt;&gt;"""", SPLIT(Account!$F582, "" ""), """")"),"")</f>
        <v/>
      </c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</row>
    <row r="583">
      <c r="A583" s="341"/>
      <c r="B583" s="341"/>
      <c r="C583" s="341"/>
      <c r="D583" s="341"/>
      <c r="E583" s="341"/>
      <c r="F583" s="373"/>
      <c r="G583" s="341"/>
      <c r="H583" s="341"/>
      <c r="I583" s="341"/>
      <c r="J583" s="341"/>
      <c r="K583" s="341"/>
      <c r="L583" s="26" t="str">
        <f t="shared" si="1"/>
        <v/>
      </c>
      <c r="M583" s="28" t="str">
        <f>IFERROR(__xludf.DUMMYFUNCTION("IF(Account!$F583&lt;&gt;"""", VALUE(REGEXREPLACE($I583, ""\,"", ""."")), """")"),"")</f>
        <v/>
      </c>
      <c r="N583" s="31" t="str">
        <f>IF(Account!$F583&lt;&gt;"", DATEVALUE(MID($A583,4,3) &amp; LEFT($A583,3) &amp; RIGHT($A583,4)) + TIMEVALUE($B583), "")</f>
        <v/>
      </c>
      <c r="O583" s="33" t="str">
        <f>IF(Account!$F583&lt;&gt;"", DATEVALUE(MID($A583,4,3) &amp; LEFT($A583,3) &amp; RIGHT($A583,4)), "")</f>
        <v/>
      </c>
      <c r="P583" s="34" t="str">
        <f>IFERROR(VLOOKUP($Q583,Selection!$F:$G,2,false))</f>
        <v/>
      </c>
      <c r="Q583" s="36" t="str">
        <f>IF(AND($X583="change",$H583="EUR"),IF(AND($Z583="Crédit",$N583=$N584),$Q584,IF(AND($Z583="Débit",$N583=$N582),$Q582)),IF(OR(AND(OR($E583&lt;&gt;"",$L583=""),$M583&lt;&gt;0),$A583=""),IFERROR(VLOOKUP($E583,Selection!$E:$F,2,false)),IFERROR(VLOOKUP(SUBSTITUTE($I583,"-","",1),$K584:$Q1119,7,false),VLOOKUP($K583,$K584:$Q1119,7,false))))</f>
        <v/>
      </c>
      <c r="R583" s="34" t="str">
        <f t="shared" si="2"/>
        <v/>
      </c>
      <c r="S583" s="37" t="str">
        <f t="shared" si="3"/>
        <v/>
      </c>
      <c r="T583" s="38" t="str">
        <f t="shared" si="4"/>
        <v/>
      </c>
      <c r="U583" s="28" t="str">
        <f t="shared" si="5"/>
        <v/>
      </c>
      <c r="V583" s="39" t="str">
        <f>IFERROR(__xludf.DUMMYFUNCTION(" IF(Account!$F583&lt;&gt;"""", SPLIT(Account!$F583, "" ""), """")"),"")</f>
        <v/>
      </c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</row>
    <row r="584">
      <c r="A584" s="341"/>
      <c r="B584" s="341"/>
      <c r="C584" s="341"/>
      <c r="D584" s="341"/>
      <c r="E584" s="341"/>
      <c r="F584" s="373"/>
      <c r="G584" s="341"/>
      <c r="H584" s="341"/>
      <c r="I584" s="341"/>
      <c r="J584" s="341"/>
      <c r="K584" s="341"/>
      <c r="L584" s="26" t="str">
        <f t="shared" si="1"/>
        <v/>
      </c>
      <c r="M584" s="28" t="str">
        <f>IFERROR(__xludf.DUMMYFUNCTION("IF(Account!$F584&lt;&gt;"""", VALUE(REGEXREPLACE($I584, ""\,"", ""."")), """")"),"")</f>
        <v/>
      </c>
      <c r="N584" s="31" t="str">
        <f>IF(Account!$F584&lt;&gt;"", DATEVALUE(MID($A584,4,3) &amp; LEFT($A584,3) &amp; RIGHT($A584,4)) + TIMEVALUE($B584), "")</f>
        <v/>
      </c>
      <c r="O584" s="33" t="str">
        <f>IF(Account!$F584&lt;&gt;"", DATEVALUE(MID($A584,4,3) &amp; LEFT($A584,3) &amp; RIGHT($A584,4)), "")</f>
        <v/>
      </c>
      <c r="P584" s="34" t="str">
        <f>IFERROR(VLOOKUP($Q584,Selection!$F:$G,2,false))</f>
        <v/>
      </c>
      <c r="Q584" s="36" t="str">
        <f>IF(AND($X584="change",$H584="EUR"),IF(AND($Z584="Crédit",$N584=$N585),$Q585,IF(AND($Z584="Débit",$N584=$N583),$Q583)),IF(OR(AND(OR($E584&lt;&gt;"",$L584=""),$M584&lt;&gt;0),$A584=""),IFERROR(VLOOKUP($E584,Selection!$E:$F,2,false)),IFERROR(VLOOKUP(SUBSTITUTE($I584,"-","",1),$K585:$Q1119,7,false),VLOOKUP($K584,$K585:$Q1119,7,false))))</f>
        <v/>
      </c>
      <c r="R584" s="34" t="str">
        <f t="shared" si="2"/>
        <v/>
      </c>
      <c r="S584" s="37" t="str">
        <f t="shared" si="3"/>
        <v/>
      </c>
      <c r="T584" s="38" t="str">
        <f t="shared" si="4"/>
        <v/>
      </c>
      <c r="U584" s="28" t="str">
        <f t="shared" si="5"/>
        <v/>
      </c>
      <c r="V584" s="39" t="str">
        <f>IFERROR(__xludf.DUMMYFUNCTION(" IF(Account!$F584&lt;&gt;"""", SPLIT(Account!$F584, "" ""), """")"),"")</f>
        <v/>
      </c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</row>
    <row r="585">
      <c r="A585" s="341"/>
      <c r="B585" s="341"/>
      <c r="C585" s="341"/>
      <c r="D585" s="341"/>
      <c r="E585" s="341"/>
      <c r="F585" s="373"/>
      <c r="G585" s="341"/>
      <c r="H585" s="341"/>
      <c r="I585" s="341"/>
      <c r="J585" s="341"/>
      <c r="K585" s="341"/>
      <c r="L585" s="26" t="str">
        <f t="shared" si="1"/>
        <v/>
      </c>
      <c r="M585" s="28" t="str">
        <f>IFERROR(__xludf.DUMMYFUNCTION("IF(Account!$F585&lt;&gt;"""", VALUE(REGEXREPLACE($I585, ""\,"", ""."")), """")"),"")</f>
        <v/>
      </c>
      <c r="N585" s="31" t="str">
        <f>IF(Account!$F585&lt;&gt;"", DATEVALUE(MID($A585,4,3) &amp; LEFT($A585,3) &amp; RIGHT($A585,4)) + TIMEVALUE($B585), "")</f>
        <v/>
      </c>
      <c r="O585" s="33" t="str">
        <f>IF(Account!$F585&lt;&gt;"", DATEVALUE(MID($A585,4,3) &amp; LEFT($A585,3) &amp; RIGHT($A585,4)), "")</f>
        <v/>
      </c>
      <c r="P585" s="34" t="str">
        <f>IFERROR(VLOOKUP($Q585,Selection!$F:$G,2,false))</f>
        <v/>
      </c>
      <c r="Q585" s="36" t="str">
        <f>IF(AND($X585="change",$H585="EUR"),IF(AND($Z585="Crédit",$N585=$N586),$Q586,IF(AND($Z585="Débit",$N585=$N584),$Q584)),IF(OR(AND(OR($E585&lt;&gt;"",$L585=""),$M585&lt;&gt;0),$A585=""),IFERROR(VLOOKUP($E585,Selection!$E:$F,2,false)),IFERROR(VLOOKUP(SUBSTITUTE($I585,"-","",1),$K586:$Q1119,7,false),VLOOKUP($K585,$K586:$Q1119,7,false))))</f>
        <v/>
      </c>
      <c r="R585" s="34" t="str">
        <f t="shared" si="2"/>
        <v/>
      </c>
      <c r="S585" s="37" t="str">
        <f t="shared" si="3"/>
        <v/>
      </c>
      <c r="T585" s="38" t="str">
        <f t="shared" si="4"/>
        <v/>
      </c>
      <c r="U585" s="28" t="str">
        <f t="shared" si="5"/>
        <v/>
      </c>
      <c r="V585" s="39" t="str">
        <f>IFERROR(__xludf.DUMMYFUNCTION(" IF(Account!$F585&lt;&gt;"""", SPLIT(Account!$F585, "" ""), """")"),"")</f>
        <v/>
      </c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</row>
    <row r="586">
      <c r="A586" s="341"/>
      <c r="B586" s="341"/>
      <c r="C586" s="341"/>
      <c r="D586" s="341"/>
      <c r="E586" s="341"/>
      <c r="F586" s="373"/>
      <c r="G586" s="341"/>
      <c r="H586" s="341"/>
      <c r="I586" s="341"/>
      <c r="J586" s="341"/>
      <c r="K586" s="341"/>
      <c r="L586" s="26" t="str">
        <f t="shared" si="1"/>
        <v/>
      </c>
      <c r="M586" s="28" t="str">
        <f>IFERROR(__xludf.DUMMYFUNCTION("IF(Account!$F586&lt;&gt;"""", VALUE(REGEXREPLACE($I586, ""\,"", ""."")), """")"),"")</f>
        <v/>
      </c>
      <c r="N586" s="31" t="str">
        <f>IF(Account!$F586&lt;&gt;"", DATEVALUE(MID($A586,4,3) &amp; LEFT($A586,3) &amp; RIGHT($A586,4)) + TIMEVALUE($B586), "")</f>
        <v/>
      </c>
      <c r="O586" s="33" t="str">
        <f>IF(Account!$F586&lt;&gt;"", DATEVALUE(MID($A586,4,3) &amp; LEFT($A586,3) &amp; RIGHT($A586,4)), "")</f>
        <v/>
      </c>
      <c r="P586" s="34" t="str">
        <f>IFERROR(VLOOKUP($Q586,Selection!$F:$G,2,false))</f>
        <v/>
      </c>
      <c r="Q586" s="36" t="str">
        <f>IF(AND($X586="change",$H586="EUR"),IF(AND($Z586="Crédit",$N586=$N587),$Q587,IF(AND($Z586="Débit",$N586=$N585),$Q585)),IF(OR(AND(OR($E586&lt;&gt;"",$L586=""),$M586&lt;&gt;0),$A586=""),IFERROR(VLOOKUP($E586,Selection!$E:$F,2,false)),IFERROR(VLOOKUP(SUBSTITUTE($I586,"-","",1),$K587:$Q1119,7,false),VLOOKUP($K586,$K587:$Q1119,7,false))))</f>
        <v/>
      </c>
      <c r="R586" s="34" t="str">
        <f t="shared" si="2"/>
        <v/>
      </c>
      <c r="S586" s="37" t="str">
        <f t="shared" si="3"/>
        <v/>
      </c>
      <c r="T586" s="38" t="str">
        <f t="shared" si="4"/>
        <v/>
      </c>
      <c r="U586" s="28" t="str">
        <f t="shared" si="5"/>
        <v/>
      </c>
      <c r="V586" s="39" t="str">
        <f>IFERROR(__xludf.DUMMYFUNCTION(" IF(Account!$F586&lt;&gt;"""", SPLIT(Account!$F586, "" ""), """")"),"")</f>
        <v/>
      </c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</row>
    <row r="587">
      <c r="A587" s="341"/>
      <c r="B587" s="341"/>
      <c r="C587" s="341"/>
      <c r="D587" s="341"/>
      <c r="E587" s="341"/>
      <c r="F587" s="373"/>
      <c r="G587" s="341"/>
      <c r="H587" s="341"/>
      <c r="I587" s="341"/>
      <c r="J587" s="341"/>
      <c r="K587" s="341"/>
      <c r="L587" s="26" t="str">
        <f t="shared" si="1"/>
        <v/>
      </c>
      <c r="M587" s="28" t="str">
        <f>IFERROR(__xludf.DUMMYFUNCTION("IF(Account!$F587&lt;&gt;"""", VALUE(REGEXREPLACE($I587, ""\,"", ""."")), """")"),"")</f>
        <v/>
      </c>
      <c r="N587" s="31" t="str">
        <f>IF(Account!$F587&lt;&gt;"", DATEVALUE(MID($A587,4,3) &amp; LEFT($A587,3) &amp; RIGHT($A587,4)) + TIMEVALUE($B587), "")</f>
        <v/>
      </c>
      <c r="O587" s="33" t="str">
        <f>IF(Account!$F587&lt;&gt;"", DATEVALUE(MID($A587,4,3) &amp; LEFT($A587,3) &amp; RIGHT($A587,4)), "")</f>
        <v/>
      </c>
      <c r="P587" s="34" t="str">
        <f>IFERROR(VLOOKUP($Q587,Selection!$F:$G,2,false))</f>
        <v/>
      </c>
      <c r="Q587" s="36" t="str">
        <f>IF(AND($X587="change",$H587="EUR"),IF(AND($Z587="Crédit",$N587=$N588),$Q588,IF(AND($Z587="Débit",$N587=$N586),$Q586)),IF(OR(AND(OR($E587&lt;&gt;"",$L587=""),$M587&lt;&gt;0),$A587=""),IFERROR(VLOOKUP($E587,Selection!$E:$F,2,false)),IFERROR(VLOOKUP(SUBSTITUTE($I587,"-","",1),$K588:$Q1119,7,false),VLOOKUP($K587,$K588:$Q1119,7,false))))</f>
        <v/>
      </c>
      <c r="R587" s="34" t="str">
        <f t="shared" si="2"/>
        <v/>
      </c>
      <c r="S587" s="37" t="str">
        <f t="shared" si="3"/>
        <v/>
      </c>
      <c r="T587" s="38" t="str">
        <f t="shared" si="4"/>
        <v/>
      </c>
      <c r="U587" s="28" t="str">
        <f t="shared" si="5"/>
        <v/>
      </c>
      <c r="V587" s="39" t="str">
        <f>IFERROR(__xludf.DUMMYFUNCTION(" IF(Account!$F587&lt;&gt;"""", SPLIT(Account!$F587, "" ""), """")"),"")</f>
        <v/>
      </c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</row>
    <row r="588">
      <c r="A588" s="341"/>
      <c r="B588" s="341"/>
      <c r="C588" s="341"/>
      <c r="D588" s="341"/>
      <c r="E588" s="341"/>
      <c r="F588" s="373"/>
      <c r="G588" s="341"/>
      <c r="H588" s="341"/>
      <c r="I588" s="341"/>
      <c r="J588" s="341"/>
      <c r="K588" s="341"/>
      <c r="L588" s="26" t="str">
        <f t="shared" si="1"/>
        <v/>
      </c>
      <c r="M588" s="28" t="str">
        <f>IFERROR(__xludf.DUMMYFUNCTION("IF(Account!$F588&lt;&gt;"""", VALUE(REGEXREPLACE($I588, ""\,"", ""."")), """")"),"")</f>
        <v/>
      </c>
      <c r="N588" s="31" t="str">
        <f>IF(Account!$F588&lt;&gt;"", DATEVALUE(MID($A588,4,3) &amp; LEFT($A588,3) &amp; RIGHT($A588,4)) + TIMEVALUE($B588), "")</f>
        <v/>
      </c>
      <c r="O588" s="33" t="str">
        <f>IF(Account!$F588&lt;&gt;"", DATEVALUE(MID($A588,4,3) &amp; LEFT($A588,3) &amp; RIGHT($A588,4)), "")</f>
        <v/>
      </c>
      <c r="P588" s="34" t="str">
        <f>IFERROR(VLOOKUP($Q588,Selection!$F:$G,2,false))</f>
        <v/>
      </c>
      <c r="Q588" s="36" t="str">
        <f>IF(AND($X588="change",$H588="EUR"),IF(AND($Z588="Crédit",$N588=$N589),$Q589,IF(AND($Z588="Débit",$N588=$N587),$Q587)),IF(OR(AND(OR($E588&lt;&gt;"",$L588=""),$M588&lt;&gt;0),$A588=""),IFERROR(VLOOKUP($E588,Selection!$E:$F,2,false)),IFERROR(VLOOKUP(SUBSTITUTE($I588,"-","",1),$K589:$Q1119,7,false),VLOOKUP($K588,$K589:$Q1119,7,false))))</f>
        <v/>
      </c>
      <c r="R588" s="34" t="str">
        <f t="shared" si="2"/>
        <v/>
      </c>
      <c r="S588" s="37" t="str">
        <f t="shared" si="3"/>
        <v/>
      </c>
      <c r="T588" s="38" t="str">
        <f t="shared" si="4"/>
        <v/>
      </c>
      <c r="U588" s="28" t="str">
        <f t="shared" si="5"/>
        <v/>
      </c>
      <c r="V588" s="39" t="str">
        <f>IFERROR(__xludf.DUMMYFUNCTION(" IF(Account!$F588&lt;&gt;"""", SPLIT(Account!$F588, "" ""), """")"),"")</f>
        <v/>
      </c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</row>
    <row r="589">
      <c r="A589" s="341"/>
      <c r="B589" s="341"/>
      <c r="C589" s="341"/>
      <c r="D589" s="341"/>
      <c r="E589" s="341"/>
      <c r="F589" s="373"/>
      <c r="G589" s="341"/>
      <c r="H589" s="341"/>
      <c r="I589" s="341"/>
      <c r="J589" s="341"/>
      <c r="K589" s="341"/>
      <c r="L589" s="26" t="str">
        <f t="shared" si="1"/>
        <v/>
      </c>
      <c r="M589" s="28" t="str">
        <f>IFERROR(__xludf.DUMMYFUNCTION("IF(Account!$F589&lt;&gt;"""", VALUE(REGEXREPLACE($I589, ""\,"", ""."")), """")"),"")</f>
        <v/>
      </c>
      <c r="N589" s="31" t="str">
        <f>IF(Account!$F589&lt;&gt;"", DATEVALUE(MID($A589,4,3) &amp; LEFT($A589,3) &amp; RIGHT($A589,4)) + TIMEVALUE($B589), "")</f>
        <v/>
      </c>
      <c r="O589" s="33" t="str">
        <f>IF(Account!$F589&lt;&gt;"", DATEVALUE(MID($A589,4,3) &amp; LEFT($A589,3) &amp; RIGHT($A589,4)), "")</f>
        <v/>
      </c>
      <c r="P589" s="34" t="str">
        <f>IFERROR(VLOOKUP($Q589,Selection!$F:$G,2,false))</f>
        <v/>
      </c>
      <c r="Q589" s="36" t="str">
        <f>IF(AND($X589="change",$H589="EUR"),IF(AND($Z589="Crédit",$N589=$N590),$Q590,IF(AND($Z589="Débit",$N589=$N588),$Q588)),IF(OR(AND(OR($E589&lt;&gt;"",$L589=""),$M589&lt;&gt;0),$A589=""),IFERROR(VLOOKUP($E589,Selection!$E:$F,2,false)),IFERROR(VLOOKUP(SUBSTITUTE($I589,"-","",1),$K590:$Q1119,7,false),VLOOKUP($K589,$K590:$Q1119,7,false))))</f>
        <v/>
      </c>
      <c r="R589" s="34" t="str">
        <f t="shared" si="2"/>
        <v/>
      </c>
      <c r="S589" s="37" t="str">
        <f t="shared" si="3"/>
        <v/>
      </c>
      <c r="T589" s="38" t="str">
        <f t="shared" si="4"/>
        <v/>
      </c>
      <c r="U589" s="28" t="str">
        <f t="shared" si="5"/>
        <v/>
      </c>
      <c r="V589" s="39" t="str">
        <f>IFERROR(__xludf.DUMMYFUNCTION(" IF(Account!$F589&lt;&gt;"""", SPLIT(Account!$F589, "" ""), """")"),"")</f>
        <v/>
      </c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</row>
    <row r="590">
      <c r="A590" s="341"/>
      <c r="B590" s="341"/>
      <c r="C590" s="341"/>
      <c r="D590" s="341"/>
      <c r="E590" s="341"/>
      <c r="F590" s="373"/>
      <c r="G590" s="341"/>
      <c r="H590" s="341"/>
      <c r="I590" s="341"/>
      <c r="J590" s="341"/>
      <c r="K590" s="341"/>
      <c r="L590" s="26" t="str">
        <f t="shared" si="1"/>
        <v/>
      </c>
      <c r="M590" s="28" t="str">
        <f>IFERROR(__xludf.DUMMYFUNCTION("IF(Account!$F590&lt;&gt;"""", VALUE(REGEXREPLACE($I590, ""\,"", ""."")), """")"),"")</f>
        <v/>
      </c>
      <c r="N590" s="31" t="str">
        <f>IF(Account!$F590&lt;&gt;"", DATEVALUE(MID($A590,4,3) &amp; LEFT($A590,3) &amp; RIGHT($A590,4)) + TIMEVALUE($B590), "")</f>
        <v/>
      </c>
      <c r="O590" s="33" t="str">
        <f>IF(Account!$F590&lt;&gt;"", DATEVALUE(MID($A590,4,3) &amp; LEFT($A590,3) &amp; RIGHT($A590,4)), "")</f>
        <v/>
      </c>
      <c r="P590" s="34" t="str">
        <f>IFERROR(VLOOKUP($Q590,Selection!$F:$G,2,false))</f>
        <v/>
      </c>
      <c r="Q590" s="36" t="str">
        <f>IF(AND($X590="change",$H590="EUR"),IF(AND($Z590="Crédit",$N590=$N591),$Q591,IF(AND($Z590="Débit",$N590=$N589),$Q589)),IF(OR(AND(OR($E590&lt;&gt;"",$L590=""),$M590&lt;&gt;0),$A590=""),IFERROR(VLOOKUP($E590,Selection!$E:$F,2,false)),IFERROR(VLOOKUP(SUBSTITUTE($I590,"-","",1),$K591:$Q1119,7,false),VLOOKUP($K590,$K591:$Q1119,7,false))))</f>
        <v/>
      </c>
      <c r="R590" s="34" t="str">
        <f t="shared" si="2"/>
        <v/>
      </c>
      <c r="S590" s="37" t="str">
        <f t="shared" si="3"/>
        <v/>
      </c>
      <c r="T590" s="38" t="str">
        <f t="shared" si="4"/>
        <v/>
      </c>
      <c r="U590" s="28" t="str">
        <f t="shared" si="5"/>
        <v/>
      </c>
      <c r="V590" s="39" t="str">
        <f>IFERROR(__xludf.DUMMYFUNCTION(" IF(Account!$F590&lt;&gt;"""", SPLIT(Account!$F590, "" ""), """")"),"")</f>
        <v/>
      </c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</row>
    <row r="591">
      <c r="A591" s="341"/>
      <c r="B591" s="341"/>
      <c r="C591" s="341"/>
      <c r="D591" s="341"/>
      <c r="E591" s="341"/>
      <c r="F591" s="373"/>
      <c r="G591" s="341"/>
      <c r="H591" s="341"/>
      <c r="I591" s="341"/>
      <c r="J591" s="341"/>
      <c r="K591" s="341"/>
      <c r="L591" s="26" t="str">
        <f t="shared" si="1"/>
        <v/>
      </c>
      <c r="M591" s="28" t="str">
        <f>IFERROR(__xludf.DUMMYFUNCTION("IF(Account!$F591&lt;&gt;"""", VALUE(REGEXREPLACE($I591, ""\,"", ""."")), """")"),"")</f>
        <v/>
      </c>
      <c r="N591" s="31" t="str">
        <f>IF(Account!$F591&lt;&gt;"", DATEVALUE(MID($A591,4,3) &amp; LEFT($A591,3) &amp; RIGHT($A591,4)) + TIMEVALUE($B591), "")</f>
        <v/>
      </c>
      <c r="O591" s="33" t="str">
        <f>IF(Account!$F591&lt;&gt;"", DATEVALUE(MID($A591,4,3) &amp; LEFT($A591,3) &amp; RIGHT($A591,4)), "")</f>
        <v/>
      </c>
      <c r="P591" s="34" t="str">
        <f>IFERROR(VLOOKUP($Q591,Selection!$F:$G,2,false))</f>
        <v/>
      </c>
      <c r="Q591" s="36" t="str">
        <f>IF(AND($X591="change",$H591="EUR"),IF(AND($Z591="Crédit",$N591=$N592),$Q592,IF(AND($Z591="Débit",$N591=$N590),$Q590)),IF(OR(AND(OR($E591&lt;&gt;"",$L591=""),$M591&lt;&gt;0),$A591=""),IFERROR(VLOOKUP($E591,Selection!$E:$F,2,false)),IFERROR(VLOOKUP(SUBSTITUTE($I591,"-","",1),$K592:$Q1119,7,false),VLOOKUP($K591,$K592:$Q1119,7,false))))</f>
        <v/>
      </c>
      <c r="R591" s="34" t="str">
        <f t="shared" si="2"/>
        <v/>
      </c>
      <c r="S591" s="37" t="str">
        <f t="shared" si="3"/>
        <v/>
      </c>
      <c r="T591" s="38" t="str">
        <f t="shared" si="4"/>
        <v/>
      </c>
      <c r="U591" s="28" t="str">
        <f t="shared" si="5"/>
        <v/>
      </c>
      <c r="V591" s="39" t="str">
        <f>IFERROR(__xludf.DUMMYFUNCTION(" IF(Account!$F591&lt;&gt;"""", SPLIT(Account!$F591, "" ""), """")"),"")</f>
        <v/>
      </c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</row>
    <row r="592">
      <c r="A592" s="341"/>
      <c r="B592" s="341"/>
      <c r="C592" s="341"/>
      <c r="D592" s="341"/>
      <c r="E592" s="341"/>
      <c r="F592" s="373"/>
      <c r="G592" s="341"/>
      <c r="H592" s="341"/>
      <c r="I592" s="341"/>
      <c r="J592" s="341"/>
      <c r="K592" s="341"/>
      <c r="L592" s="26" t="str">
        <f t="shared" si="1"/>
        <v/>
      </c>
      <c r="M592" s="28" t="str">
        <f>IFERROR(__xludf.DUMMYFUNCTION("IF(Account!$F592&lt;&gt;"""", VALUE(REGEXREPLACE($I592, ""\,"", ""."")), """")"),"")</f>
        <v/>
      </c>
      <c r="N592" s="31" t="str">
        <f>IF(Account!$F592&lt;&gt;"", DATEVALUE(MID($A592,4,3) &amp; LEFT($A592,3) &amp; RIGHT($A592,4)) + TIMEVALUE($B592), "")</f>
        <v/>
      </c>
      <c r="O592" s="33" t="str">
        <f>IF(Account!$F592&lt;&gt;"", DATEVALUE(MID($A592,4,3) &amp; LEFT($A592,3) &amp; RIGHT($A592,4)), "")</f>
        <v/>
      </c>
      <c r="P592" s="34" t="str">
        <f>IFERROR(VLOOKUP($Q592,Selection!$F:$G,2,false))</f>
        <v/>
      </c>
      <c r="Q592" s="36" t="str">
        <f>IF(AND($X592="change",$H592="EUR"),IF(AND($Z592="Crédit",$N592=$N593),$Q593,IF(AND($Z592="Débit",$N592=$N591),$Q591)),IF(OR(AND(OR($E592&lt;&gt;"",$L592=""),$M592&lt;&gt;0),$A592=""),IFERROR(VLOOKUP($E592,Selection!$E:$F,2,false)),IFERROR(VLOOKUP(SUBSTITUTE($I592,"-","",1),$K593:$Q1119,7,false),VLOOKUP($K592,$K593:$Q1119,7,false))))</f>
        <v/>
      </c>
      <c r="R592" s="34" t="str">
        <f t="shared" si="2"/>
        <v/>
      </c>
      <c r="S592" s="37" t="str">
        <f t="shared" si="3"/>
        <v/>
      </c>
      <c r="T592" s="38" t="str">
        <f t="shared" si="4"/>
        <v/>
      </c>
      <c r="U592" s="28" t="str">
        <f t="shared" si="5"/>
        <v/>
      </c>
      <c r="V592" s="39" t="str">
        <f>IFERROR(__xludf.DUMMYFUNCTION(" IF(Account!$F592&lt;&gt;"""", SPLIT(Account!$F592, "" ""), """")"),"")</f>
        <v/>
      </c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</row>
    <row r="593">
      <c r="A593" s="341"/>
      <c r="B593" s="341"/>
      <c r="C593" s="341"/>
      <c r="D593" s="341"/>
      <c r="E593" s="341"/>
      <c r="F593" s="373"/>
      <c r="G593" s="341"/>
      <c r="H593" s="341"/>
      <c r="I593" s="341"/>
      <c r="J593" s="341"/>
      <c r="K593" s="341"/>
      <c r="L593" s="26" t="str">
        <f t="shared" si="1"/>
        <v/>
      </c>
      <c r="M593" s="28" t="str">
        <f>IFERROR(__xludf.DUMMYFUNCTION("IF(Account!$F593&lt;&gt;"""", VALUE(REGEXREPLACE($I593, ""\,"", ""."")), """")"),"")</f>
        <v/>
      </c>
      <c r="N593" s="31" t="str">
        <f>IF(Account!$F593&lt;&gt;"", DATEVALUE(MID($A593,4,3) &amp; LEFT($A593,3) &amp; RIGHT($A593,4)) + TIMEVALUE($B593), "")</f>
        <v/>
      </c>
      <c r="O593" s="33" t="str">
        <f>IF(Account!$F593&lt;&gt;"", DATEVALUE(MID($A593,4,3) &amp; LEFT($A593,3) &amp; RIGHT($A593,4)), "")</f>
        <v/>
      </c>
      <c r="P593" s="34" t="str">
        <f>IFERROR(VLOOKUP($Q593,Selection!$F:$G,2,false))</f>
        <v/>
      </c>
      <c r="Q593" s="36" t="str">
        <f>IF(AND($X593="change",$H593="EUR"),IF(AND($Z593="Crédit",$N593=$N594),$Q594,IF(AND($Z593="Débit",$N593=$N592),$Q592)),IF(OR(AND(OR($E593&lt;&gt;"",$L593=""),$M593&lt;&gt;0),$A593=""),IFERROR(VLOOKUP($E593,Selection!$E:$F,2,false)),IFERROR(VLOOKUP(SUBSTITUTE($I593,"-","",1),$K594:$Q1119,7,false),VLOOKUP($K593,$K594:$Q1119,7,false))))</f>
        <v/>
      </c>
      <c r="R593" s="34" t="str">
        <f t="shared" si="2"/>
        <v/>
      </c>
      <c r="S593" s="37" t="str">
        <f t="shared" si="3"/>
        <v/>
      </c>
      <c r="T593" s="38" t="str">
        <f t="shared" si="4"/>
        <v/>
      </c>
      <c r="U593" s="28" t="str">
        <f t="shared" si="5"/>
        <v/>
      </c>
      <c r="V593" s="39" t="str">
        <f>IFERROR(__xludf.DUMMYFUNCTION(" IF(Account!$F593&lt;&gt;"""", SPLIT(Account!$F593, "" ""), """")"),"")</f>
        <v/>
      </c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</row>
    <row r="594">
      <c r="A594" s="341"/>
      <c r="B594" s="341"/>
      <c r="C594" s="341"/>
      <c r="D594" s="341"/>
      <c r="E594" s="341"/>
      <c r="F594" s="373"/>
      <c r="G594" s="341"/>
      <c r="H594" s="341"/>
      <c r="I594" s="341"/>
      <c r="J594" s="341"/>
      <c r="K594" s="341"/>
      <c r="L594" s="26" t="str">
        <f t="shared" si="1"/>
        <v/>
      </c>
      <c r="M594" s="28" t="str">
        <f>IFERROR(__xludf.DUMMYFUNCTION("IF(Account!$F594&lt;&gt;"""", VALUE(REGEXREPLACE($I594, ""\,"", ""."")), """")"),"")</f>
        <v/>
      </c>
      <c r="N594" s="31" t="str">
        <f>IF(Account!$F594&lt;&gt;"", DATEVALUE(MID($A594,4,3) &amp; LEFT($A594,3) &amp; RIGHT($A594,4)) + TIMEVALUE($B594), "")</f>
        <v/>
      </c>
      <c r="O594" s="33" t="str">
        <f>IF(Account!$F594&lt;&gt;"", DATEVALUE(MID($A594,4,3) &amp; LEFT($A594,3) &amp; RIGHT($A594,4)), "")</f>
        <v/>
      </c>
      <c r="P594" s="34" t="str">
        <f>IFERROR(VLOOKUP($Q594,Selection!$F:$G,2,false))</f>
        <v/>
      </c>
      <c r="Q594" s="36" t="str">
        <f>IF(AND($X594="change",$H594="EUR"),IF(AND($Z594="Crédit",$N594=$N595),$Q595,IF(AND($Z594="Débit",$N594=$N593),$Q593)),IF(OR(AND(OR($E594&lt;&gt;"",$L594=""),$M594&lt;&gt;0),$A594=""),IFERROR(VLOOKUP($E594,Selection!$E:$F,2,false)),IFERROR(VLOOKUP(SUBSTITUTE($I594,"-","",1),$K595:$Q1119,7,false),VLOOKUP($K594,$K595:$Q1119,7,false))))</f>
        <v/>
      </c>
      <c r="R594" s="34" t="str">
        <f t="shared" si="2"/>
        <v/>
      </c>
      <c r="S594" s="37" t="str">
        <f t="shared" si="3"/>
        <v/>
      </c>
      <c r="T594" s="38" t="str">
        <f t="shared" si="4"/>
        <v/>
      </c>
      <c r="U594" s="28" t="str">
        <f t="shared" si="5"/>
        <v/>
      </c>
      <c r="V594" s="39" t="str">
        <f>IFERROR(__xludf.DUMMYFUNCTION(" IF(Account!$F594&lt;&gt;"""", SPLIT(Account!$F594, "" ""), """")"),"")</f>
        <v/>
      </c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</row>
    <row r="595">
      <c r="A595" s="341"/>
      <c r="B595" s="341"/>
      <c r="C595" s="341"/>
      <c r="D595" s="341"/>
      <c r="E595" s="341"/>
      <c r="F595" s="373"/>
      <c r="G595" s="341"/>
      <c r="H595" s="341"/>
      <c r="I595" s="341"/>
      <c r="J595" s="341"/>
      <c r="K595" s="341"/>
      <c r="L595" s="26" t="str">
        <f t="shared" si="1"/>
        <v/>
      </c>
      <c r="M595" s="28" t="str">
        <f>IFERROR(__xludf.DUMMYFUNCTION("IF(Account!$F595&lt;&gt;"""", VALUE(REGEXREPLACE($I595, ""\,"", ""."")), """")"),"")</f>
        <v/>
      </c>
      <c r="N595" s="31" t="str">
        <f>IF(Account!$F595&lt;&gt;"", DATEVALUE(MID($A595,4,3) &amp; LEFT($A595,3) &amp; RIGHT($A595,4)) + TIMEVALUE($B595), "")</f>
        <v/>
      </c>
      <c r="O595" s="33" t="str">
        <f>IF(Account!$F595&lt;&gt;"", DATEVALUE(MID($A595,4,3) &amp; LEFT($A595,3) &amp; RIGHT($A595,4)), "")</f>
        <v/>
      </c>
      <c r="P595" s="34" t="str">
        <f>IFERROR(VLOOKUP($Q595,Selection!$F:$G,2,false))</f>
        <v/>
      </c>
      <c r="Q595" s="36" t="str">
        <f>IF(AND($X595="change",$H595="EUR"),IF(AND($Z595="Crédit",$N595=$N596),$Q596,IF(AND($Z595="Débit",$N595=$N594),$Q594)),IF(OR(AND(OR($E595&lt;&gt;"",$L595=""),$M595&lt;&gt;0),$A595=""),IFERROR(VLOOKUP($E595,Selection!$E:$F,2,false)),IFERROR(VLOOKUP(SUBSTITUTE($I595,"-","",1),$K596:$Q1119,7,false),VLOOKUP($K595,$K596:$Q1119,7,false))))</f>
        <v/>
      </c>
      <c r="R595" s="34" t="str">
        <f t="shared" si="2"/>
        <v/>
      </c>
      <c r="S595" s="37" t="str">
        <f t="shared" si="3"/>
        <v/>
      </c>
      <c r="T595" s="38" t="str">
        <f t="shared" si="4"/>
        <v/>
      </c>
      <c r="U595" s="28" t="str">
        <f t="shared" si="5"/>
        <v/>
      </c>
      <c r="V595" s="39" t="str">
        <f>IFERROR(__xludf.DUMMYFUNCTION(" IF(Account!$F595&lt;&gt;"""", SPLIT(Account!$F595, "" ""), """")"),"")</f>
        <v/>
      </c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</row>
    <row r="596">
      <c r="A596" s="341"/>
      <c r="B596" s="341"/>
      <c r="C596" s="341"/>
      <c r="D596" s="341"/>
      <c r="E596" s="341"/>
      <c r="F596" s="373"/>
      <c r="G596" s="341"/>
      <c r="H596" s="341"/>
      <c r="I596" s="341"/>
      <c r="J596" s="341"/>
      <c r="K596" s="341"/>
      <c r="L596" s="26" t="str">
        <f t="shared" si="1"/>
        <v/>
      </c>
      <c r="M596" s="28" t="str">
        <f>IFERROR(__xludf.DUMMYFUNCTION("IF(Account!$F596&lt;&gt;"""", VALUE(REGEXREPLACE($I596, ""\,"", ""."")), """")"),"")</f>
        <v/>
      </c>
      <c r="N596" s="31" t="str">
        <f>IF(Account!$F596&lt;&gt;"", DATEVALUE(MID($A596,4,3) &amp; LEFT($A596,3) &amp; RIGHT($A596,4)) + TIMEVALUE($B596), "")</f>
        <v/>
      </c>
      <c r="O596" s="33" t="str">
        <f>IF(Account!$F596&lt;&gt;"", DATEVALUE(MID($A596,4,3) &amp; LEFT($A596,3) &amp; RIGHT($A596,4)), "")</f>
        <v/>
      </c>
      <c r="P596" s="34" t="str">
        <f>IFERROR(VLOOKUP($Q596,Selection!$F:$G,2,false))</f>
        <v/>
      </c>
      <c r="Q596" s="36" t="str">
        <f>IF(AND($X596="change",$H596="EUR"),IF(AND($Z596="Crédit",$N596=$N597),$Q597,IF(AND($Z596="Débit",$N596=$N595),$Q595)),IF(OR(AND(OR($E596&lt;&gt;"",$L596=""),$M596&lt;&gt;0),$A596=""),IFERROR(VLOOKUP($E596,Selection!$E:$F,2,false)),IFERROR(VLOOKUP(SUBSTITUTE($I596,"-","",1),$K597:$Q1119,7,false),VLOOKUP($K596,$K597:$Q1119,7,false))))</f>
        <v/>
      </c>
      <c r="R596" s="34" t="str">
        <f t="shared" si="2"/>
        <v/>
      </c>
      <c r="S596" s="37" t="str">
        <f t="shared" si="3"/>
        <v/>
      </c>
      <c r="T596" s="38" t="str">
        <f t="shared" si="4"/>
        <v/>
      </c>
      <c r="U596" s="28" t="str">
        <f t="shared" si="5"/>
        <v/>
      </c>
      <c r="V596" s="39" t="str">
        <f>IFERROR(__xludf.DUMMYFUNCTION(" IF(Account!$F596&lt;&gt;"""", SPLIT(Account!$F596, "" ""), """")"),"")</f>
        <v/>
      </c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</row>
    <row r="597">
      <c r="A597" s="341"/>
      <c r="B597" s="341"/>
      <c r="C597" s="341"/>
      <c r="D597" s="341"/>
      <c r="E597" s="341"/>
      <c r="F597" s="373"/>
      <c r="G597" s="341"/>
      <c r="H597" s="341"/>
      <c r="I597" s="341"/>
      <c r="J597" s="341"/>
      <c r="K597" s="341"/>
      <c r="L597" s="26" t="str">
        <f t="shared" si="1"/>
        <v/>
      </c>
      <c r="M597" s="28" t="str">
        <f>IFERROR(__xludf.DUMMYFUNCTION("IF(Account!$F597&lt;&gt;"""", VALUE(REGEXREPLACE($I597, ""\,"", ""."")), """")"),"")</f>
        <v/>
      </c>
      <c r="N597" s="31" t="str">
        <f>IF(Account!$F597&lt;&gt;"", DATEVALUE(MID($A597,4,3) &amp; LEFT($A597,3) &amp; RIGHT($A597,4)) + TIMEVALUE($B597), "")</f>
        <v/>
      </c>
      <c r="O597" s="33" t="str">
        <f>IF(Account!$F597&lt;&gt;"", DATEVALUE(MID($A597,4,3) &amp; LEFT($A597,3) &amp; RIGHT($A597,4)), "")</f>
        <v/>
      </c>
      <c r="P597" s="34" t="str">
        <f>IFERROR(VLOOKUP($Q597,Selection!$F:$G,2,false))</f>
        <v/>
      </c>
      <c r="Q597" s="36" t="str">
        <f>IF(AND($X597="change",$H597="EUR"),IF(AND($Z597="Crédit",$N597=$N598),$Q598,IF(AND($Z597="Débit",$N597=$N596),$Q596)),IF(OR(AND(OR($E597&lt;&gt;"",$L597=""),$M597&lt;&gt;0),$A597=""),IFERROR(VLOOKUP($E597,Selection!$E:$F,2,false)),IFERROR(VLOOKUP(SUBSTITUTE($I597,"-","",1),$K598:$Q1119,7,false),VLOOKUP($K597,$K598:$Q1119,7,false))))</f>
        <v/>
      </c>
      <c r="R597" s="34" t="str">
        <f t="shared" si="2"/>
        <v/>
      </c>
      <c r="S597" s="37" t="str">
        <f t="shared" si="3"/>
        <v/>
      </c>
      <c r="T597" s="38" t="str">
        <f t="shared" si="4"/>
        <v/>
      </c>
      <c r="U597" s="28" t="str">
        <f t="shared" si="5"/>
        <v/>
      </c>
      <c r="V597" s="39" t="str">
        <f>IFERROR(__xludf.DUMMYFUNCTION(" IF(Account!$F597&lt;&gt;"""", SPLIT(Account!$F597, "" ""), """")"),"")</f>
        <v/>
      </c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</row>
    <row r="598">
      <c r="A598" s="341"/>
      <c r="B598" s="341"/>
      <c r="C598" s="341"/>
      <c r="D598" s="341"/>
      <c r="E598" s="341"/>
      <c r="F598" s="373"/>
      <c r="G598" s="341"/>
      <c r="H598" s="341"/>
      <c r="I598" s="341"/>
      <c r="J598" s="341"/>
      <c r="K598" s="341"/>
      <c r="L598" s="26" t="str">
        <f t="shared" si="1"/>
        <v/>
      </c>
      <c r="M598" s="28" t="str">
        <f>IFERROR(__xludf.DUMMYFUNCTION("IF(Account!$F598&lt;&gt;"""", VALUE(REGEXREPLACE($I598, ""\,"", ""."")), """")"),"")</f>
        <v/>
      </c>
      <c r="N598" s="31" t="str">
        <f>IF(Account!$F598&lt;&gt;"", DATEVALUE(MID($A598,4,3) &amp; LEFT($A598,3) &amp; RIGHT($A598,4)) + TIMEVALUE($B598), "")</f>
        <v/>
      </c>
      <c r="O598" s="33" t="str">
        <f>IF(Account!$F598&lt;&gt;"", DATEVALUE(MID($A598,4,3) &amp; LEFT($A598,3) &amp; RIGHT($A598,4)), "")</f>
        <v/>
      </c>
      <c r="P598" s="34" t="str">
        <f>IFERROR(VLOOKUP($Q598,Selection!$F:$G,2,false))</f>
        <v/>
      </c>
      <c r="Q598" s="36" t="str">
        <f>IF(AND($X598="change",$H598="EUR"),IF(AND($Z598="Crédit",$N598=$N599),$Q599,IF(AND($Z598="Débit",$N598=$N597),$Q597)),IF(OR(AND(OR($E598&lt;&gt;"",$L598=""),$M598&lt;&gt;0),$A598=""),IFERROR(VLOOKUP($E598,Selection!$E:$F,2,false)),IFERROR(VLOOKUP(SUBSTITUTE($I598,"-","",1),$K599:$Q1119,7,false),VLOOKUP($K598,$K599:$Q1119,7,false))))</f>
        <v/>
      </c>
      <c r="R598" s="34" t="str">
        <f t="shared" si="2"/>
        <v/>
      </c>
      <c r="S598" s="37" t="str">
        <f t="shared" si="3"/>
        <v/>
      </c>
      <c r="T598" s="38" t="str">
        <f t="shared" si="4"/>
        <v/>
      </c>
      <c r="U598" s="28" t="str">
        <f t="shared" si="5"/>
        <v/>
      </c>
      <c r="V598" s="39" t="str">
        <f>IFERROR(__xludf.DUMMYFUNCTION(" IF(Account!$F598&lt;&gt;"""", SPLIT(Account!$F598, "" ""), """")"),"")</f>
        <v/>
      </c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</row>
    <row r="599">
      <c r="A599" s="341"/>
      <c r="B599" s="341"/>
      <c r="C599" s="341"/>
      <c r="D599" s="341"/>
      <c r="E599" s="341"/>
      <c r="F599" s="373"/>
      <c r="G599" s="341"/>
      <c r="H599" s="341"/>
      <c r="I599" s="341"/>
      <c r="J599" s="341"/>
      <c r="K599" s="341"/>
      <c r="L599" s="26" t="str">
        <f t="shared" si="1"/>
        <v/>
      </c>
      <c r="M599" s="28" t="str">
        <f>IFERROR(__xludf.DUMMYFUNCTION("IF(Account!$F599&lt;&gt;"""", VALUE(REGEXREPLACE($I599, ""\,"", ""."")), """")"),"")</f>
        <v/>
      </c>
      <c r="N599" s="31" t="str">
        <f>IF(Account!$F599&lt;&gt;"", DATEVALUE(MID($A599,4,3) &amp; LEFT($A599,3) &amp; RIGHT($A599,4)) + TIMEVALUE($B599), "")</f>
        <v/>
      </c>
      <c r="O599" s="33" t="str">
        <f>IF(Account!$F599&lt;&gt;"", DATEVALUE(MID($A599,4,3) &amp; LEFT($A599,3) &amp; RIGHT($A599,4)), "")</f>
        <v/>
      </c>
      <c r="P599" s="34" t="str">
        <f>IFERROR(VLOOKUP($Q599,Selection!$F:$G,2,false))</f>
        <v/>
      </c>
      <c r="Q599" s="36" t="str">
        <f>IF(AND($X599="change",$H599="EUR"),IF(AND($Z599="Crédit",$N599=$N600),$Q600,IF(AND($Z599="Débit",$N599=$N598),$Q598)),IF(OR(AND(OR($E599&lt;&gt;"",$L599=""),$M599&lt;&gt;0),$A599=""),IFERROR(VLOOKUP($E599,Selection!$E:$F,2,false)),IFERROR(VLOOKUP(SUBSTITUTE($I599,"-","",1),$K600:$Q1119,7,false),VLOOKUP($K599,$K600:$Q1119,7,false))))</f>
        <v/>
      </c>
      <c r="R599" s="34" t="str">
        <f t="shared" si="2"/>
        <v/>
      </c>
      <c r="S599" s="37" t="str">
        <f t="shared" si="3"/>
        <v/>
      </c>
      <c r="T599" s="38" t="str">
        <f t="shared" si="4"/>
        <v/>
      </c>
      <c r="U599" s="28" t="str">
        <f t="shared" si="5"/>
        <v/>
      </c>
      <c r="V599" s="39" t="str">
        <f>IFERROR(__xludf.DUMMYFUNCTION(" IF(Account!$F599&lt;&gt;"""", SPLIT(Account!$F599, "" ""), """")"),"")</f>
        <v/>
      </c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</row>
    <row r="600">
      <c r="A600" s="341"/>
      <c r="B600" s="341"/>
      <c r="C600" s="341"/>
      <c r="D600" s="341"/>
      <c r="E600" s="341"/>
      <c r="F600" s="373"/>
      <c r="G600" s="341"/>
      <c r="H600" s="341"/>
      <c r="I600" s="341"/>
      <c r="J600" s="341"/>
      <c r="K600" s="341"/>
      <c r="L600" s="26" t="str">
        <f t="shared" si="1"/>
        <v/>
      </c>
      <c r="M600" s="28" t="str">
        <f>IFERROR(__xludf.DUMMYFUNCTION("IF(Account!$F600&lt;&gt;"""", VALUE(REGEXREPLACE($I600, ""\,"", ""."")), """")"),"")</f>
        <v/>
      </c>
      <c r="N600" s="31" t="str">
        <f>IF(Account!$F600&lt;&gt;"", DATEVALUE(MID($A600,4,3) &amp; LEFT($A600,3) &amp; RIGHT($A600,4)) + TIMEVALUE($B600), "")</f>
        <v/>
      </c>
      <c r="O600" s="33" t="str">
        <f>IF(Account!$F600&lt;&gt;"", DATEVALUE(MID($A600,4,3) &amp; LEFT($A600,3) &amp; RIGHT($A600,4)), "")</f>
        <v/>
      </c>
      <c r="P600" s="34" t="str">
        <f>IFERROR(VLOOKUP($Q600,Selection!$F:$G,2,false))</f>
        <v/>
      </c>
      <c r="Q600" s="36" t="str">
        <f>IF(AND($X600="change",$H600="EUR"),IF(AND($Z600="Crédit",$N600=$N601),$Q601,IF(AND($Z600="Débit",$N600=$N599),$Q599)),IF(OR(AND(OR($E600&lt;&gt;"",$L600=""),$M600&lt;&gt;0),$A600=""),IFERROR(VLOOKUP($E600,Selection!$E:$F,2,false)),IFERROR(VLOOKUP(SUBSTITUTE($I600,"-","",1),$K601:$Q1119,7,false),VLOOKUP($K600,$K601:$Q1119,7,false))))</f>
        <v/>
      </c>
      <c r="R600" s="34" t="str">
        <f t="shared" si="2"/>
        <v/>
      </c>
      <c r="S600" s="37" t="str">
        <f t="shared" si="3"/>
        <v/>
      </c>
      <c r="T600" s="38" t="str">
        <f t="shared" si="4"/>
        <v/>
      </c>
      <c r="U600" s="28" t="str">
        <f t="shared" si="5"/>
        <v/>
      </c>
      <c r="V600" s="39" t="str">
        <f>IFERROR(__xludf.DUMMYFUNCTION(" IF(Account!$F600&lt;&gt;"""", SPLIT(Account!$F600, "" ""), """")"),"")</f>
        <v/>
      </c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</row>
    <row r="601">
      <c r="A601" s="341"/>
      <c r="B601" s="341"/>
      <c r="C601" s="341"/>
      <c r="D601" s="341"/>
      <c r="E601" s="341"/>
      <c r="F601" s="373"/>
      <c r="G601" s="341"/>
      <c r="H601" s="341"/>
      <c r="I601" s="341"/>
      <c r="J601" s="341"/>
      <c r="K601" s="341"/>
      <c r="L601" s="26" t="str">
        <f t="shared" si="1"/>
        <v/>
      </c>
      <c r="M601" s="28" t="str">
        <f>IFERROR(__xludf.DUMMYFUNCTION("IF(Account!$F601&lt;&gt;"""", VALUE(REGEXREPLACE($I601, ""\,"", ""."")), """")"),"")</f>
        <v/>
      </c>
      <c r="N601" s="31" t="str">
        <f>IF(Account!$F601&lt;&gt;"", DATEVALUE(MID($A601,4,3) &amp; LEFT($A601,3) &amp; RIGHT($A601,4)) + TIMEVALUE($B601), "")</f>
        <v/>
      </c>
      <c r="O601" s="33" t="str">
        <f>IF(Account!$F601&lt;&gt;"", DATEVALUE(MID($A601,4,3) &amp; LEFT($A601,3) &amp; RIGHT($A601,4)), "")</f>
        <v/>
      </c>
      <c r="P601" s="34" t="str">
        <f>IFERROR(VLOOKUP($Q601,Selection!$F:$G,2,false))</f>
        <v/>
      </c>
      <c r="Q601" s="36" t="str">
        <f>IF(AND($X601="change",$H601="EUR"),IF(AND($Z601="Crédit",$N601=$N602),$Q602,IF(AND($Z601="Débit",$N601=$N600),$Q600)),IF(OR(AND(OR($E601&lt;&gt;"",$L601=""),$M601&lt;&gt;0),$A601=""),IFERROR(VLOOKUP($E601,Selection!$E:$F,2,false)),IFERROR(VLOOKUP(SUBSTITUTE($I601,"-","",1),$K602:$Q1119,7,false),VLOOKUP($K601,$K602:$Q1119,7,false))))</f>
        <v/>
      </c>
      <c r="R601" s="34" t="str">
        <f t="shared" si="2"/>
        <v/>
      </c>
      <c r="S601" s="37" t="str">
        <f t="shared" si="3"/>
        <v/>
      </c>
      <c r="T601" s="38" t="str">
        <f t="shared" si="4"/>
        <v/>
      </c>
      <c r="U601" s="28" t="str">
        <f t="shared" si="5"/>
        <v/>
      </c>
      <c r="V601" s="39" t="str">
        <f>IFERROR(__xludf.DUMMYFUNCTION(" IF(Account!$F601&lt;&gt;"""", SPLIT(Account!$F601, "" ""), """")"),"")</f>
        <v/>
      </c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</row>
    <row r="602">
      <c r="A602" s="341"/>
      <c r="B602" s="341"/>
      <c r="C602" s="341"/>
      <c r="D602" s="341"/>
      <c r="E602" s="341"/>
      <c r="F602" s="373"/>
      <c r="G602" s="341"/>
      <c r="H602" s="341"/>
      <c r="I602" s="341"/>
      <c r="J602" s="341"/>
      <c r="K602" s="341"/>
      <c r="L602" s="26" t="str">
        <f t="shared" si="1"/>
        <v/>
      </c>
      <c r="M602" s="28" t="str">
        <f>IFERROR(__xludf.DUMMYFUNCTION("IF(Account!$F602&lt;&gt;"""", VALUE(REGEXREPLACE($I602, ""\,"", ""."")), """")"),"")</f>
        <v/>
      </c>
      <c r="N602" s="31" t="str">
        <f>IF(Account!$F602&lt;&gt;"", DATEVALUE(MID($A602,4,3) &amp; LEFT($A602,3) &amp; RIGHT($A602,4)) + TIMEVALUE($B602), "")</f>
        <v/>
      </c>
      <c r="O602" s="33" t="str">
        <f>IF(Account!$F602&lt;&gt;"", DATEVALUE(MID($A602,4,3) &amp; LEFT($A602,3) &amp; RIGHT($A602,4)), "")</f>
        <v/>
      </c>
      <c r="P602" s="34" t="str">
        <f>IFERROR(VLOOKUP($Q602,Selection!$F:$G,2,false))</f>
        <v/>
      </c>
      <c r="Q602" s="36" t="str">
        <f>IF(AND($X602="change",$H602="EUR"),IF(AND($Z602="Crédit",$N602=$N603),$Q603,IF(AND($Z602="Débit",$N602=$N601),$Q601)),IF(OR(AND(OR($E602&lt;&gt;"",$L602=""),$M602&lt;&gt;0),$A602=""),IFERROR(VLOOKUP($E602,Selection!$E:$F,2,false)),IFERROR(VLOOKUP(SUBSTITUTE($I602,"-","",1),$K603:$Q1119,7,false),VLOOKUP($K602,$K603:$Q1119,7,false))))</f>
        <v/>
      </c>
      <c r="R602" s="34" t="str">
        <f t="shared" si="2"/>
        <v/>
      </c>
      <c r="S602" s="37" t="str">
        <f t="shared" si="3"/>
        <v/>
      </c>
      <c r="T602" s="38" t="str">
        <f t="shared" si="4"/>
        <v/>
      </c>
      <c r="U602" s="28" t="str">
        <f t="shared" si="5"/>
        <v/>
      </c>
      <c r="V602" s="39" t="str">
        <f>IFERROR(__xludf.DUMMYFUNCTION(" IF(Account!$F602&lt;&gt;"""", SPLIT(Account!$F602, "" ""), """")"),"")</f>
        <v/>
      </c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</row>
    <row r="603">
      <c r="A603" s="341"/>
      <c r="B603" s="341"/>
      <c r="C603" s="341"/>
      <c r="D603" s="341"/>
      <c r="E603" s="341"/>
      <c r="F603" s="373"/>
      <c r="G603" s="341"/>
      <c r="H603" s="341"/>
      <c r="I603" s="341"/>
      <c r="J603" s="341"/>
      <c r="K603" s="341"/>
      <c r="L603" s="26" t="str">
        <f t="shared" si="1"/>
        <v/>
      </c>
      <c r="M603" s="28" t="str">
        <f>IFERROR(__xludf.DUMMYFUNCTION("IF(Account!$F603&lt;&gt;"""", VALUE(REGEXREPLACE($I603, ""\,"", ""."")), """")"),"")</f>
        <v/>
      </c>
      <c r="N603" s="31" t="str">
        <f>IF(Account!$F603&lt;&gt;"", DATEVALUE(MID($A603,4,3) &amp; LEFT($A603,3) &amp; RIGHT($A603,4)) + TIMEVALUE($B603), "")</f>
        <v/>
      </c>
      <c r="O603" s="33" t="str">
        <f>IF(Account!$F603&lt;&gt;"", DATEVALUE(MID($A603,4,3) &amp; LEFT($A603,3) &amp; RIGHT($A603,4)), "")</f>
        <v/>
      </c>
      <c r="P603" s="34" t="str">
        <f>IFERROR(VLOOKUP($Q603,Selection!$F:$G,2,false))</f>
        <v/>
      </c>
      <c r="Q603" s="36" t="str">
        <f>IF(AND($X603="change",$H603="EUR"),IF(AND($Z603="Crédit",$N603=$N604),$Q604,IF(AND($Z603="Débit",$N603=$N602),$Q602)),IF(OR(AND(OR($E603&lt;&gt;"",$L603=""),$M603&lt;&gt;0),$A603=""),IFERROR(VLOOKUP($E603,Selection!$E:$F,2,false)),IFERROR(VLOOKUP(SUBSTITUTE($I603,"-","",1),$K604:$Q1119,7,false),VLOOKUP($K603,$K604:$Q1119,7,false))))</f>
        <v/>
      </c>
      <c r="R603" s="34" t="str">
        <f t="shared" si="2"/>
        <v/>
      </c>
      <c r="S603" s="37" t="str">
        <f t="shared" si="3"/>
        <v/>
      </c>
      <c r="T603" s="38" t="str">
        <f t="shared" si="4"/>
        <v/>
      </c>
      <c r="U603" s="28" t="str">
        <f t="shared" si="5"/>
        <v/>
      </c>
      <c r="V603" s="39" t="str">
        <f>IFERROR(__xludf.DUMMYFUNCTION(" IF(Account!$F603&lt;&gt;"""", SPLIT(Account!$F603, "" ""), """")"),"")</f>
        <v/>
      </c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</row>
    <row r="604">
      <c r="A604" s="341"/>
      <c r="B604" s="341"/>
      <c r="C604" s="341"/>
      <c r="D604" s="341"/>
      <c r="E604" s="341"/>
      <c r="F604" s="373"/>
      <c r="G604" s="341"/>
      <c r="H604" s="341"/>
      <c r="I604" s="341"/>
      <c r="J604" s="341"/>
      <c r="K604" s="341"/>
      <c r="L604" s="26" t="str">
        <f t="shared" si="1"/>
        <v/>
      </c>
      <c r="M604" s="28" t="str">
        <f>IFERROR(__xludf.DUMMYFUNCTION("IF(Account!$F604&lt;&gt;"""", VALUE(REGEXREPLACE($I604, ""\,"", ""."")), """")"),"")</f>
        <v/>
      </c>
      <c r="N604" s="31" t="str">
        <f>IF(Account!$F604&lt;&gt;"", DATEVALUE(MID($A604,4,3) &amp; LEFT($A604,3) &amp; RIGHT($A604,4)) + TIMEVALUE($B604), "")</f>
        <v/>
      </c>
      <c r="O604" s="33" t="str">
        <f>IF(Account!$F604&lt;&gt;"", DATEVALUE(MID($A604,4,3) &amp; LEFT($A604,3) &amp; RIGHT($A604,4)), "")</f>
        <v/>
      </c>
      <c r="P604" s="34" t="str">
        <f>IFERROR(VLOOKUP($Q604,Selection!$F:$G,2,false))</f>
        <v/>
      </c>
      <c r="Q604" s="36" t="str">
        <f>IF(AND($X604="change",$H604="EUR"),IF(AND($Z604="Crédit",$N604=$N605),$Q605,IF(AND($Z604="Débit",$N604=$N603),$Q603)),IF(OR(AND(OR($E604&lt;&gt;"",$L604=""),$M604&lt;&gt;0),$A604=""),IFERROR(VLOOKUP($E604,Selection!$E:$F,2,false)),IFERROR(VLOOKUP(SUBSTITUTE($I604,"-","",1),$K605:$Q1119,7,false),VLOOKUP($K604,$K605:$Q1119,7,false))))</f>
        <v/>
      </c>
      <c r="R604" s="34" t="str">
        <f t="shared" si="2"/>
        <v/>
      </c>
      <c r="S604" s="37" t="str">
        <f t="shared" si="3"/>
        <v/>
      </c>
      <c r="T604" s="38" t="str">
        <f t="shared" si="4"/>
        <v/>
      </c>
      <c r="U604" s="28" t="str">
        <f t="shared" si="5"/>
        <v/>
      </c>
      <c r="V604" s="39" t="str">
        <f>IFERROR(__xludf.DUMMYFUNCTION(" IF(Account!$F604&lt;&gt;"""", SPLIT(Account!$F604, "" ""), """")"),"")</f>
        <v/>
      </c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</row>
    <row r="605">
      <c r="A605" s="341"/>
      <c r="B605" s="341"/>
      <c r="C605" s="341"/>
      <c r="D605" s="341"/>
      <c r="E605" s="341"/>
      <c r="F605" s="373"/>
      <c r="G605" s="341"/>
      <c r="H605" s="341"/>
      <c r="I605" s="341"/>
      <c r="J605" s="341"/>
      <c r="K605" s="341"/>
      <c r="L605" s="26" t="str">
        <f t="shared" si="1"/>
        <v/>
      </c>
      <c r="M605" s="28" t="str">
        <f>IFERROR(__xludf.DUMMYFUNCTION("IF(Account!$F605&lt;&gt;"""", VALUE(REGEXREPLACE($I605, ""\,"", ""."")), """")"),"")</f>
        <v/>
      </c>
      <c r="N605" s="31" t="str">
        <f>IF(Account!$F605&lt;&gt;"", DATEVALUE(MID($A605,4,3) &amp; LEFT($A605,3) &amp; RIGHT($A605,4)) + TIMEVALUE($B605), "")</f>
        <v/>
      </c>
      <c r="O605" s="33" t="str">
        <f>IF(Account!$F605&lt;&gt;"", DATEVALUE(MID($A605,4,3) &amp; LEFT($A605,3) &amp; RIGHT($A605,4)), "")</f>
        <v/>
      </c>
      <c r="P605" s="34" t="str">
        <f>IFERROR(VLOOKUP($Q605,Selection!$F:$G,2,false))</f>
        <v/>
      </c>
      <c r="Q605" s="36" t="str">
        <f>IF(AND($X605="change",$H605="EUR"),IF(AND($Z605="Crédit",$N605=$N606),$Q606,IF(AND($Z605="Débit",$N605=$N604),$Q604)),IF(OR(AND(OR($E605&lt;&gt;"",$L605=""),$M605&lt;&gt;0),$A605=""),IFERROR(VLOOKUP($E605,Selection!$E:$F,2,false)),IFERROR(VLOOKUP(SUBSTITUTE($I605,"-","",1),$K606:$Q1119,7,false),VLOOKUP($K605,$K606:$Q1119,7,false))))</f>
        <v/>
      </c>
      <c r="R605" s="34" t="str">
        <f t="shared" si="2"/>
        <v/>
      </c>
      <c r="S605" s="37" t="str">
        <f t="shared" si="3"/>
        <v/>
      </c>
      <c r="T605" s="38" t="str">
        <f t="shared" si="4"/>
        <v/>
      </c>
      <c r="U605" s="28" t="str">
        <f t="shared" si="5"/>
        <v/>
      </c>
      <c r="V605" s="39" t="str">
        <f>IFERROR(__xludf.DUMMYFUNCTION(" IF(Account!$F605&lt;&gt;"""", SPLIT(Account!$F605, "" ""), """")"),"")</f>
        <v/>
      </c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</row>
    <row r="606">
      <c r="A606" s="341"/>
      <c r="B606" s="341"/>
      <c r="C606" s="341"/>
      <c r="D606" s="341"/>
      <c r="E606" s="341"/>
      <c r="F606" s="373"/>
      <c r="G606" s="341"/>
      <c r="H606" s="341"/>
      <c r="I606" s="341"/>
      <c r="J606" s="341"/>
      <c r="K606" s="341"/>
      <c r="L606" s="26" t="str">
        <f t="shared" si="1"/>
        <v/>
      </c>
      <c r="M606" s="28" t="str">
        <f>IFERROR(__xludf.DUMMYFUNCTION("IF(Account!$F606&lt;&gt;"""", VALUE(REGEXREPLACE($I606, ""\,"", ""."")), """")"),"")</f>
        <v/>
      </c>
      <c r="N606" s="31" t="str">
        <f>IF(Account!$F606&lt;&gt;"", DATEVALUE(MID($A606,4,3) &amp; LEFT($A606,3) &amp; RIGHT($A606,4)) + TIMEVALUE($B606), "")</f>
        <v/>
      </c>
      <c r="O606" s="33" t="str">
        <f>IF(Account!$F606&lt;&gt;"", DATEVALUE(MID($A606,4,3) &amp; LEFT($A606,3) &amp; RIGHT($A606,4)), "")</f>
        <v/>
      </c>
      <c r="P606" s="34" t="str">
        <f>IFERROR(VLOOKUP($Q606,Selection!$F:$G,2,false))</f>
        <v/>
      </c>
      <c r="Q606" s="36" t="str">
        <f>IF(AND($X606="change",$H606="EUR"),IF(AND($Z606="Crédit",$N606=$N607),$Q607,IF(AND($Z606="Débit",$N606=$N605),$Q605)),IF(OR(AND(OR($E606&lt;&gt;"",$L606=""),$M606&lt;&gt;0),$A606=""),IFERROR(VLOOKUP($E606,Selection!$E:$F,2,false)),IFERROR(VLOOKUP(SUBSTITUTE($I606,"-","",1),$K607:$Q1119,7,false),VLOOKUP($K606,$K607:$Q1119,7,false))))</f>
        <v/>
      </c>
      <c r="R606" s="34" t="str">
        <f t="shared" si="2"/>
        <v/>
      </c>
      <c r="S606" s="37" t="str">
        <f t="shared" si="3"/>
        <v/>
      </c>
      <c r="T606" s="38" t="str">
        <f t="shared" si="4"/>
        <v/>
      </c>
      <c r="U606" s="28" t="str">
        <f t="shared" si="5"/>
        <v/>
      </c>
      <c r="V606" s="39" t="str">
        <f>IFERROR(__xludf.DUMMYFUNCTION(" IF(Account!$F606&lt;&gt;"""", SPLIT(Account!$F606, "" ""), """")"),"")</f>
        <v/>
      </c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</row>
    <row r="607">
      <c r="A607" s="341"/>
      <c r="B607" s="341"/>
      <c r="C607" s="341"/>
      <c r="D607" s="341"/>
      <c r="E607" s="341"/>
      <c r="F607" s="373"/>
      <c r="G607" s="341"/>
      <c r="H607" s="341"/>
      <c r="I607" s="341"/>
      <c r="J607" s="341"/>
      <c r="K607" s="341"/>
      <c r="L607" s="26" t="str">
        <f t="shared" si="1"/>
        <v/>
      </c>
      <c r="M607" s="28" t="str">
        <f>IFERROR(__xludf.DUMMYFUNCTION("IF(Account!$F607&lt;&gt;"""", VALUE(REGEXREPLACE($I607, ""\,"", ""."")), """")"),"")</f>
        <v/>
      </c>
      <c r="N607" s="31" t="str">
        <f>IF(Account!$F607&lt;&gt;"", DATEVALUE(MID($A607,4,3) &amp; LEFT($A607,3) &amp; RIGHT($A607,4)) + TIMEVALUE($B607), "")</f>
        <v/>
      </c>
      <c r="O607" s="33" t="str">
        <f>IF(Account!$F607&lt;&gt;"", DATEVALUE(MID($A607,4,3) &amp; LEFT($A607,3) &amp; RIGHT($A607,4)), "")</f>
        <v/>
      </c>
      <c r="P607" s="34" t="str">
        <f>IFERROR(VLOOKUP($Q607,Selection!$F:$G,2,false))</f>
        <v/>
      </c>
      <c r="Q607" s="36" t="str">
        <f>IF(AND($X607="change",$H607="EUR"),IF(AND($Z607="Crédit",$N607=$N608),$Q608,IF(AND($Z607="Débit",$N607=$N606),$Q606)),IF(OR(AND(OR($E607&lt;&gt;"",$L607=""),$M607&lt;&gt;0),$A607=""),IFERROR(VLOOKUP($E607,Selection!$E:$F,2,false)),IFERROR(VLOOKUP(SUBSTITUTE($I607,"-","",1),$K608:$Q1119,7,false),VLOOKUP($K607,$K608:$Q1119,7,false))))</f>
        <v/>
      </c>
      <c r="R607" s="34" t="str">
        <f t="shared" si="2"/>
        <v/>
      </c>
      <c r="S607" s="37" t="str">
        <f t="shared" si="3"/>
        <v/>
      </c>
      <c r="T607" s="38" t="str">
        <f t="shared" si="4"/>
        <v/>
      </c>
      <c r="U607" s="28" t="str">
        <f t="shared" si="5"/>
        <v/>
      </c>
      <c r="V607" s="39" t="str">
        <f>IFERROR(__xludf.DUMMYFUNCTION(" IF(Account!$F607&lt;&gt;"""", SPLIT(Account!$F607, "" ""), """")"),"")</f>
        <v/>
      </c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</row>
    <row r="608">
      <c r="A608" s="341"/>
      <c r="B608" s="341"/>
      <c r="C608" s="341"/>
      <c r="D608" s="341"/>
      <c r="E608" s="341"/>
      <c r="F608" s="373"/>
      <c r="G608" s="341"/>
      <c r="H608" s="341"/>
      <c r="I608" s="341"/>
      <c r="J608" s="341"/>
      <c r="K608" s="341"/>
      <c r="L608" s="26" t="str">
        <f t="shared" si="1"/>
        <v/>
      </c>
      <c r="M608" s="28" t="str">
        <f>IFERROR(__xludf.DUMMYFUNCTION("IF(Account!$F608&lt;&gt;"""", VALUE(REGEXREPLACE($I608, ""\,"", ""."")), """")"),"")</f>
        <v/>
      </c>
      <c r="N608" s="31" t="str">
        <f>IF(Account!$F608&lt;&gt;"", DATEVALUE(MID($A608,4,3) &amp; LEFT($A608,3) &amp; RIGHT($A608,4)) + TIMEVALUE($B608), "")</f>
        <v/>
      </c>
      <c r="O608" s="33" t="str">
        <f>IF(Account!$F608&lt;&gt;"", DATEVALUE(MID($A608,4,3) &amp; LEFT($A608,3) &amp; RIGHT($A608,4)), "")</f>
        <v/>
      </c>
      <c r="P608" s="34" t="str">
        <f>IFERROR(VLOOKUP($Q608,Selection!$F:$G,2,false))</f>
        <v/>
      </c>
      <c r="Q608" s="36" t="str">
        <f>IF(AND($X608="change",$H608="EUR"),IF(AND($Z608="Crédit",$N608=$N609),$Q609,IF(AND($Z608="Débit",$N608=$N607),$Q607)),IF(OR(AND(OR($E608&lt;&gt;"",$L608=""),$M608&lt;&gt;0),$A608=""),IFERROR(VLOOKUP($E608,Selection!$E:$F,2,false)),IFERROR(VLOOKUP(SUBSTITUTE($I608,"-","",1),$K609:$Q1119,7,false),VLOOKUP($K608,$K609:$Q1119,7,false))))</f>
        <v/>
      </c>
      <c r="R608" s="34" t="str">
        <f t="shared" si="2"/>
        <v/>
      </c>
      <c r="S608" s="37" t="str">
        <f t="shared" si="3"/>
        <v/>
      </c>
      <c r="T608" s="38" t="str">
        <f t="shared" si="4"/>
        <v/>
      </c>
      <c r="U608" s="28" t="str">
        <f t="shared" si="5"/>
        <v/>
      </c>
      <c r="V608" s="39" t="str">
        <f>IFERROR(__xludf.DUMMYFUNCTION(" IF(Account!$F608&lt;&gt;"""", SPLIT(Account!$F608, "" ""), """")"),"")</f>
        <v/>
      </c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</row>
    <row r="609">
      <c r="A609" s="341"/>
      <c r="B609" s="341"/>
      <c r="C609" s="341"/>
      <c r="D609" s="341"/>
      <c r="E609" s="341"/>
      <c r="F609" s="373"/>
      <c r="G609" s="341"/>
      <c r="H609" s="341"/>
      <c r="I609" s="341"/>
      <c r="J609" s="341"/>
      <c r="K609" s="341"/>
      <c r="L609" s="26" t="str">
        <f t="shared" si="1"/>
        <v/>
      </c>
      <c r="M609" s="28" t="str">
        <f>IFERROR(__xludf.DUMMYFUNCTION("IF(Account!$F609&lt;&gt;"""", VALUE(REGEXREPLACE($I609, ""\,"", ""."")), """")"),"")</f>
        <v/>
      </c>
      <c r="N609" s="31" t="str">
        <f>IF(Account!$F609&lt;&gt;"", DATEVALUE(MID($A609,4,3) &amp; LEFT($A609,3) &amp; RIGHT($A609,4)) + TIMEVALUE($B609), "")</f>
        <v/>
      </c>
      <c r="O609" s="33" t="str">
        <f>IF(Account!$F609&lt;&gt;"", DATEVALUE(MID($A609,4,3) &amp; LEFT($A609,3) &amp; RIGHT($A609,4)), "")</f>
        <v/>
      </c>
      <c r="P609" s="34" t="str">
        <f>IFERROR(VLOOKUP($Q609,Selection!$F:$G,2,false))</f>
        <v/>
      </c>
      <c r="Q609" s="36" t="str">
        <f>IF(AND($X609="change",$H609="EUR"),IF(AND($Z609="Crédit",$N609=$N610),$Q610,IF(AND($Z609="Débit",$N609=$N608),$Q608)),IF(OR(AND(OR($E609&lt;&gt;"",$L609=""),$M609&lt;&gt;0),$A609=""),IFERROR(VLOOKUP($E609,Selection!$E:$F,2,false)),IFERROR(VLOOKUP(SUBSTITUTE($I609,"-","",1),$K610:$Q1119,7,false),VLOOKUP($K609,$K610:$Q1119,7,false))))</f>
        <v/>
      </c>
      <c r="R609" s="34" t="str">
        <f t="shared" si="2"/>
        <v/>
      </c>
      <c r="S609" s="37" t="str">
        <f t="shared" si="3"/>
        <v/>
      </c>
      <c r="T609" s="38" t="str">
        <f t="shared" si="4"/>
        <v/>
      </c>
      <c r="U609" s="28" t="str">
        <f t="shared" si="5"/>
        <v/>
      </c>
      <c r="V609" s="39" t="str">
        <f>IFERROR(__xludf.DUMMYFUNCTION(" IF(Account!$F609&lt;&gt;"""", SPLIT(Account!$F609, "" ""), """")"),"")</f>
        <v/>
      </c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</row>
    <row r="610">
      <c r="A610" s="341"/>
      <c r="B610" s="341"/>
      <c r="C610" s="341"/>
      <c r="D610" s="341"/>
      <c r="E610" s="341"/>
      <c r="F610" s="373"/>
      <c r="G610" s="341"/>
      <c r="H610" s="341"/>
      <c r="I610" s="341"/>
      <c r="J610" s="341"/>
      <c r="K610" s="341"/>
      <c r="L610" s="26" t="str">
        <f t="shared" si="1"/>
        <v/>
      </c>
      <c r="M610" s="28" t="str">
        <f>IFERROR(__xludf.DUMMYFUNCTION("IF(Account!$F610&lt;&gt;"""", VALUE(REGEXREPLACE($I610, ""\,"", ""."")), """")"),"")</f>
        <v/>
      </c>
      <c r="N610" s="31" t="str">
        <f>IF(Account!$F610&lt;&gt;"", DATEVALUE(MID($A610,4,3) &amp; LEFT($A610,3) &amp; RIGHT($A610,4)) + TIMEVALUE($B610), "")</f>
        <v/>
      </c>
      <c r="O610" s="33" t="str">
        <f>IF(Account!$F610&lt;&gt;"", DATEVALUE(MID($A610,4,3) &amp; LEFT($A610,3) &amp; RIGHT($A610,4)), "")</f>
        <v/>
      </c>
      <c r="P610" s="34" t="str">
        <f>IFERROR(VLOOKUP($Q610,Selection!$F:$G,2,false))</f>
        <v/>
      </c>
      <c r="Q610" s="36" t="str">
        <f>IF(AND($X610="change",$H610="EUR"),IF(AND($Z610="Crédit",$N610=$N611),$Q611,IF(AND($Z610="Débit",$N610=$N609),$Q609)),IF(OR(AND(OR($E610&lt;&gt;"",$L610=""),$M610&lt;&gt;0),$A610=""),IFERROR(VLOOKUP($E610,Selection!$E:$F,2,false)),IFERROR(VLOOKUP(SUBSTITUTE($I610,"-","",1),$K611:$Q1119,7,false),VLOOKUP($K610,$K611:$Q1119,7,false))))</f>
        <v/>
      </c>
      <c r="R610" s="34" t="str">
        <f t="shared" si="2"/>
        <v/>
      </c>
      <c r="S610" s="37" t="str">
        <f t="shared" si="3"/>
        <v/>
      </c>
      <c r="T610" s="38" t="str">
        <f t="shared" si="4"/>
        <v/>
      </c>
      <c r="U610" s="28" t="str">
        <f t="shared" si="5"/>
        <v/>
      </c>
      <c r="V610" s="39" t="str">
        <f>IFERROR(__xludf.DUMMYFUNCTION(" IF(Account!$F610&lt;&gt;"""", SPLIT(Account!$F610, "" ""), """")"),"")</f>
        <v/>
      </c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</row>
    <row r="611">
      <c r="A611" s="341"/>
      <c r="B611" s="341"/>
      <c r="C611" s="341"/>
      <c r="D611" s="341"/>
      <c r="E611" s="341"/>
      <c r="F611" s="373"/>
      <c r="G611" s="341"/>
      <c r="H611" s="341"/>
      <c r="I611" s="341"/>
      <c r="J611" s="341"/>
      <c r="K611" s="341"/>
      <c r="L611" s="26" t="str">
        <f t="shared" si="1"/>
        <v/>
      </c>
      <c r="M611" s="28" t="str">
        <f>IFERROR(__xludf.DUMMYFUNCTION("IF(Account!$F611&lt;&gt;"""", VALUE(REGEXREPLACE($I611, ""\,"", ""."")), """")"),"")</f>
        <v/>
      </c>
      <c r="N611" s="31" t="str">
        <f>IF(Account!$F611&lt;&gt;"", DATEVALUE(MID($A611,4,3) &amp; LEFT($A611,3) &amp; RIGHT($A611,4)) + TIMEVALUE($B611), "")</f>
        <v/>
      </c>
      <c r="O611" s="33" t="str">
        <f>IF(Account!$F611&lt;&gt;"", DATEVALUE(MID($A611,4,3) &amp; LEFT($A611,3) &amp; RIGHT($A611,4)), "")</f>
        <v/>
      </c>
      <c r="P611" s="34" t="str">
        <f>IFERROR(VLOOKUP($Q611,Selection!$F:$G,2,false))</f>
        <v/>
      </c>
      <c r="Q611" s="36" t="str">
        <f>IF(AND($X611="change",$H611="EUR"),IF(AND($Z611="Crédit",$N611=$N612),$Q612,IF(AND($Z611="Débit",$N611=$N610),$Q610)),IF(OR(AND(OR($E611&lt;&gt;"",$L611=""),$M611&lt;&gt;0),$A611=""),IFERROR(VLOOKUP($E611,Selection!$E:$F,2,false)),IFERROR(VLOOKUP(SUBSTITUTE($I611,"-","",1),$K612:$Q1119,7,false),VLOOKUP($K611,$K612:$Q1119,7,false))))</f>
        <v/>
      </c>
      <c r="R611" s="34" t="str">
        <f t="shared" si="2"/>
        <v/>
      </c>
      <c r="S611" s="37" t="str">
        <f t="shared" si="3"/>
        <v/>
      </c>
      <c r="T611" s="38" t="str">
        <f t="shared" si="4"/>
        <v/>
      </c>
      <c r="U611" s="28" t="str">
        <f t="shared" si="5"/>
        <v/>
      </c>
      <c r="V611" s="39" t="str">
        <f>IFERROR(__xludf.DUMMYFUNCTION(" IF(Account!$F611&lt;&gt;"""", SPLIT(Account!$F611, "" ""), """")"),"")</f>
        <v/>
      </c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</row>
    <row r="612">
      <c r="A612" s="341"/>
      <c r="B612" s="341"/>
      <c r="C612" s="341"/>
      <c r="D612" s="341"/>
      <c r="E612" s="341"/>
      <c r="F612" s="373"/>
      <c r="G612" s="341"/>
      <c r="H612" s="341"/>
      <c r="I612" s="341"/>
      <c r="J612" s="341"/>
      <c r="K612" s="341"/>
      <c r="L612" s="26" t="str">
        <f t="shared" si="1"/>
        <v/>
      </c>
      <c r="M612" s="28" t="str">
        <f>IFERROR(__xludf.DUMMYFUNCTION("IF(Account!$F612&lt;&gt;"""", VALUE(REGEXREPLACE($I612, ""\,"", ""."")), """")"),"")</f>
        <v/>
      </c>
      <c r="N612" s="31" t="str">
        <f>IF(Account!$F612&lt;&gt;"", DATEVALUE(MID($A612,4,3) &amp; LEFT($A612,3) &amp; RIGHT($A612,4)) + TIMEVALUE($B612), "")</f>
        <v/>
      </c>
      <c r="O612" s="33" t="str">
        <f>IF(Account!$F612&lt;&gt;"", DATEVALUE(MID($A612,4,3) &amp; LEFT($A612,3) &amp; RIGHT($A612,4)), "")</f>
        <v/>
      </c>
      <c r="P612" s="34" t="str">
        <f>IFERROR(VLOOKUP($Q612,Selection!$F:$G,2,false))</f>
        <v/>
      </c>
      <c r="Q612" s="36" t="str">
        <f>IF(AND($X612="change",$H612="EUR"),IF(AND($Z612="Crédit",$N612=$N613),$Q613,IF(AND($Z612="Débit",$N612=$N611),$Q611)),IF(OR(AND(OR($E612&lt;&gt;"",$L612=""),$M612&lt;&gt;0),$A612=""),IFERROR(VLOOKUP($E612,Selection!$E:$F,2,false)),IFERROR(VLOOKUP(SUBSTITUTE($I612,"-","",1),$K613:$Q1119,7,false),VLOOKUP($K612,$K613:$Q1119,7,false))))</f>
        <v/>
      </c>
      <c r="R612" s="34" t="str">
        <f t="shared" si="2"/>
        <v/>
      </c>
      <c r="S612" s="37" t="str">
        <f t="shared" si="3"/>
        <v/>
      </c>
      <c r="T612" s="38" t="str">
        <f t="shared" si="4"/>
        <v/>
      </c>
      <c r="U612" s="28" t="str">
        <f t="shared" si="5"/>
        <v/>
      </c>
      <c r="V612" s="39" t="str">
        <f>IFERROR(__xludf.DUMMYFUNCTION(" IF(Account!$F612&lt;&gt;"""", SPLIT(Account!$F612, "" ""), """")"),"")</f>
        <v/>
      </c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</row>
    <row r="613">
      <c r="A613" s="341"/>
      <c r="B613" s="341"/>
      <c r="C613" s="341"/>
      <c r="D613" s="341"/>
      <c r="E613" s="341"/>
      <c r="F613" s="373"/>
      <c r="G613" s="341"/>
      <c r="H613" s="341"/>
      <c r="I613" s="341"/>
      <c r="J613" s="341"/>
      <c r="K613" s="341"/>
      <c r="L613" s="26" t="str">
        <f t="shared" si="1"/>
        <v/>
      </c>
      <c r="M613" s="28" t="str">
        <f>IFERROR(__xludf.DUMMYFUNCTION("IF(Account!$F613&lt;&gt;"""", VALUE(REGEXREPLACE($I613, ""\,"", ""."")), """")"),"")</f>
        <v/>
      </c>
      <c r="N613" s="31" t="str">
        <f>IF(Account!$F613&lt;&gt;"", DATEVALUE(MID($A613,4,3) &amp; LEFT($A613,3) &amp; RIGHT($A613,4)) + TIMEVALUE($B613), "")</f>
        <v/>
      </c>
      <c r="O613" s="33" t="str">
        <f>IF(Account!$F613&lt;&gt;"", DATEVALUE(MID($A613,4,3) &amp; LEFT($A613,3) &amp; RIGHT($A613,4)), "")</f>
        <v/>
      </c>
      <c r="P613" s="34" t="str">
        <f>IFERROR(VLOOKUP($Q613,Selection!$F:$G,2,false))</f>
        <v/>
      </c>
      <c r="Q613" s="36" t="str">
        <f>IF(AND($X613="change",$H613="EUR"),IF(AND($Z613="Crédit",$N613=$N614),$Q614,IF(AND($Z613="Débit",$N613=$N612),$Q612)),IF(OR(AND(OR($E613&lt;&gt;"",$L613=""),$M613&lt;&gt;0),$A613=""),IFERROR(VLOOKUP($E613,Selection!$E:$F,2,false)),IFERROR(VLOOKUP(SUBSTITUTE($I613,"-","",1),$K614:$Q1119,7,false),VLOOKUP($K613,$K614:$Q1119,7,false))))</f>
        <v/>
      </c>
      <c r="R613" s="34" t="str">
        <f t="shared" si="2"/>
        <v/>
      </c>
      <c r="S613" s="37" t="str">
        <f t="shared" si="3"/>
        <v/>
      </c>
      <c r="T613" s="38" t="str">
        <f t="shared" si="4"/>
        <v/>
      </c>
      <c r="U613" s="28" t="str">
        <f t="shared" si="5"/>
        <v/>
      </c>
      <c r="V613" s="39" t="str">
        <f>IFERROR(__xludf.DUMMYFUNCTION(" IF(Account!$F613&lt;&gt;"""", SPLIT(Account!$F613, "" ""), """")"),"")</f>
        <v/>
      </c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</row>
    <row r="614">
      <c r="A614" s="341"/>
      <c r="B614" s="341"/>
      <c r="C614" s="341"/>
      <c r="D614" s="341"/>
      <c r="E614" s="341"/>
      <c r="F614" s="373"/>
      <c r="G614" s="341"/>
      <c r="H614" s="341"/>
      <c r="I614" s="341"/>
      <c r="J614" s="341"/>
      <c r="K614" s="341"/>
      <c r="L614" s="26" t="str">
        <f t="shared" si="1"/>
        <v/>
      </c>
      <c r="M614" s="28" t="str">
        <f>IFERROR(__xludf.DUMMYFUNCTION("IF(Account!$F614&lt;&gt;"""", VALUE(REGEXREPLACE($I614, ""\,"", ""."")), """")"),"")</f>
        <v/>
      </c>
      <c r="N614" s="31" t="str">
        <f>IF(Account!$F614&lt;&gt;"", DATEVALUE(MID($A614,4,3) &amp; LEFT($A614,3) &amp; RIGHT($A614,4)) + TIMEVALUE($B614), "")</f>
        <v/>
      </c>
      <c r="O614" s="33" t="str">
        <f>IF(Account!$F614&lt;&gt;"", DATEVALUE(MID($A614,4,3) &amp; LEFT($A614,3) &amp; RIGHT($A614,4)), "")</f>
        <v/>
      </c>
      <c r="P614" s="34" t="str">
        <f>IFERROR(VLOOKUP($Q614,Selection!$F:$G,2,false))</f>
        <v/>
      </c>
      <c r="Q614" s="36" t="str">
        <f>IF(AND($X614="change",$H614="EUR"),IF(AND($Z614="Crédit",$N614=$N615),$Q615,IF(AND($Z614="Débit",$N614=$N613),$Q613)),IF(OR(AND(OR($E614&lt;&gt;"",$L614=""),$M614&lt;&gt;0),$A614=""),IFERROR(VLOOKUP($E614,Selection!$E:$F,2,false)),IFERROR(VLOOKUP(SUBSTITUTE($I614,"-","",1),$K615:$Q1119,7,false),VLOOKUP($K614,$K615:$Q1119,7,false))))</f>
        <v/>
      </c>
      <c r="R614" s="34" t="str">
        <f t="shared" si="2"/>
        <v/>
      </c>
      <c r="S614" s="37" t="str">
        <f t="shared" si="3"/>
        <v/>
      </c>
      <c r="T614" s="38" t="str">
        <f t="shared" si="4"/>
        <v/>
      </c>
      <c r="U614" s="28" t="str">
        <f t="shared" si="5"/>
        <v/>
      </c>
      <c r="V614" s="39" t="str">
        <f>IFERROR(__xludf.DUMMYFUNCTION(" IF(Account!$F614&lt;&gt;"""", SPLIT(Account!$F614, "" ""), """")"),"")</f>
        <v/>
      </c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</row>
    <row r="615">
      <c r="A615" s="341"/>
      <c r="B615" s="341"/>
      <c r="C615" s="341"/>
      <c r="D615" s="341"/>
      <c r="E615" s="341"/>
      <c r="F615" s="373"/>
      <c r="G615" s="341"/>
      <c r="H615" s="341"/>
      <c r="I615" s="341"/>
      <c r="J615" s="341"/>
      <c r="K615" s="341"/>
      <c r="L615" s="26" t="str">
        <f t="shared" si="1"/>
        <v/>
      </c>
      <c r="M615" s="28" t="str">
        <f>IFERROR(__xludf.DUMMYFUNCTION("IF(Account!$F615&lt;&gt;"""", VALUE(REGEXREPLACE($I615, ""\,"", ""."")), """")"),"")</f>
        <v/>
      </c>
      <c r="N615" s="31" t="str">
        <f>IF(Account!$F615&lt;&gt;"", DATEVALUE(MID($A615,4,3) &amp; LEFT($A615,3) &amp; RIGHT($A615,4)) + TIMEVALUE($B615), "")</f>
        <v/>
      </c>
      <c r="O615" s="33" t="str">
        <f>IF(Account!$F615&lt;&gt;"", DATEVALUE(MID($A615,4,3) &amp; LEFT($A615,3) &amp; RIGHT($A615,4)), "")</f>
        <v/>
      </c>
      <c r="P615" s="34" t="str">
        <f>IFERROR(VLOOKUP($Q615,Selection!$F:$G,2,false))</f>
        <v/>
      </c>
      <c r="Q615" s="36" t="str">
        <f>IF(AND($X615="change",$H615="EUR"),IF(AND($Z615="Crédit",$N615=$N616),$Q616,IF(AND($Z615="Débit",$N615=$N614),$Q614)),IF(OR(AND(OR($E615&lt;&gt;"",$L615=""),$M615&lt;&gt;0),$A615=""),IFERROR(VLOOKUP($E615,Selection!$E:$F,2,false)),IFERROR(VLOOKUP(SUBSTITUTE($I615,"-","",1),$K616:$Q1119,7,false),VLOOKUP($K615,$K616:$Q1119,7,false))))</f>
        <v/>
      </c>
      <c r="R615" s="34" t="str">
        <f t="shared" si="2"/>
        <v/>
      </c>
      <c r="S615" s="37" t="str">
        <f t="shared" si="3"/>
        <v/>
      </c>
      <c r="T615" s="38" t="str">
        <f t="shared" si="4"/>
        <v/>
      </c>
      <c r="U615" s="28" t="str">
        <f t="shared" si="5"/>
        <v/>
      </c>
      <c r="V615" s="39" t="str">
        <f>IFERROR(__xludf.DUMMYFUNCTION(" IF(Account!$F615&lt;&gt;"""", SPLIT(Account!$F615, "" ""), """")"),"")</f>
        <v/>
      </c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</row>
    <row r="616">
      <c r="A616" s="341"/>
      <c r="B616" s="341"/>
      <c r="C616" s="341"/>
      <c r="D616" s="341"/>
      <c r="E616" s="341"/>
      <c r="F616" s="373"/>
      <c r="G616" s="341"/>
      <c r="H616" s="341"/>
      <c r="I616" s="341"/>
      <c r="J616" s="341"/>
      <c r="K616" s="341"/>
      <c r="L616" s="26" t="str">
        <f t="shared" si="1"/>
        <v/>
      </c>
      <c r="M616" s="28" t="str">
        <f>IFERROR(__xludf.DUMMYFUNCTION("IF(Account!$F616&lt;&gt;"""", VALUE(REGEXREPLACE($I616, ""\,"", ""."")), """")"),"")</f>
        <v/>
      </c>
      <c r="N616" s="31" t="str">
        <f>IF(Account!$F616&lt;&gt;"", DATEVALUE(MID($A616,4,3) &amp; LEFT($A616,3) &amp; RIGHT($A616,4)) + TIMEVALUE($B616), "")</f>
        <v/>
      </c>
      <c r="O616" s="33" t="str">
        <f>IF(Account!$F616&lt;&gt;"", DATEVALUE(MID($A616,4,3) &amp; LEFT($A616,3) &amp; RIGHT($A616,4)), "")</f>
        <v/>
      </c>
      <c r="P616" s="34" t="str">
        <f>IFERROR(VLOOKUP($Q616,Selection!$F:$G,2,false))</f>
        <v/>
      </c>
      <c r="Q616" s="36" t="str">
        <f>IF(AND($X616="change",$H616="EUR"),IF(AND($Z616="Crédit",$N616=$N617),$Q617,IF(AND($Z616="Débit",$N616=$N615),$Q615)),IF(OR(AND(OR($E616&lt;&gt;"",$L616=""),$M616&lt;&gt;0),$A616=""),IFERROR(VLOOKUP($E616,Selection!$E:$F,2,false)),IFERROR(VLOOKUP(SUBSTITUTE($I616,"-","",1),$K617:$Q1119,7,false),VLOOKUP($K616,$K617:$Q1119,7,false))))</f>
        <v/>
      </c>
      <c r="R616" s="34" t="str">
        <f t="shared" si="2"/>
        <v/>
      </c>
      <c r="S616" s="37" t="str">
        <f t="shared" si="3"/>
        <v/>
      </c>
      <c r="T616" s="38" t="str">
        <f t="shared" si="4"/>
        <v/>
      </c>
      <c r="U616" s="28" t="str">
        <f t="shared" si="5"/>
        <v/>
      </c>
      <c r="V616" s="39" t="str">
        <f>IFERROR(__xludf.DUMMYFUNCTION(" IF(Account!$F616&lt;&gt;"""", SPLIT(Account!$F616, "" ""), """")"),"")</f>
        <v/>
      </c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</row>
    <row r="617">
      <c r="A617" s="341"/>
      <c r="B617" s="341"/>
      <c r="C617" s="341"/>
      <c r="D617" s="341"/>
      <c r="E617" s="341"/>
      <c r="F617" s="373"/>
      <c r="G617" s="341"/>
      <c r="H617" s="341"/>
      <c r="I617" s="341"/>
      <c r="J617" s="341"/>
      <c r="K617" s="341"/>
      <c r="L617" s="26" t="str">
        <f t="shared" si="1"/>
        <v/>
      </c>
      <c r="M617" s="28" t="str">
        <f>IFERROR(__xludf.DUMMYFUNCTION("IF(Account!$F617&lt;&gt;"""", VALUE(REGEXREPLACE($I617, ""\,"", ""."")), """")"),"")</f>
        <v/>
      </c>
      <c r="N617" s="31" t="str">
        <f>IF(Account!$F617&lt;&gt;"", DATEVALUE(MID($A617,4,3) &amp; LEFT($A617,3) &amp; RIGHT($A617,4)) + TIMEVALUE($B617), "")</f>
        <v/>
      </c>
      <c r="O617" s="33" t="str">
        <f>IF(Account!$F617&lt;&gt;"", DATEVALUE(MID($A617,4,3) &amp; LEFT($A617,3) &amp; RIGHT($A617,4)), "")</f>
        <v/>
      </c>
      <c r="P617" s="34" t="str">
        <f>IFERROR(VLOOKUP($Q617,Selection!$F:$G,2,false))</f>
        <v/>
      </c>
      <c r="Q617" s="36" t="str">
        <f>IF(AND($X617="change",$H617="EUR"),IF(AND($Z617="Crédit",$N617=$N618),$Q618,IF(AND($Z617="Débit",$N617=$N616),$Q616)),IF(OR(AND(OR($E617&lt;&gt;"",$L617=""),$M617&lt;&gt;0),$A617=""),IFERROR(VLOOKUP($E617,Selection!$E:$F,2,false)),IFERROR(VLOOKUP(SUBSTITUTE($I617,"-","",1),$K618:$Q1119,7,false),VLOOKUP($K617,$K618:$Q1119,7,false))))</f>
        <v/>
      </c>
      <c r="R617" s="34" t="str">
        <f t="shared" si="2"/>
        <v/>
      </c>
      <c r="S617" s="37" t="str">
        <f t="shared" si="3"/>
        <v/>
      </c>
      <c r="T617" s="38" t="str">
        <f t="shared" si="4"/>
        <v/>
      </c>
      <c r="U617" s="28" t="str">
        <f t="shared" si="5"/>
        <v/>
      </c>
      <c r="V617" s="39" t="str">
        <f>IFERROR(__xludf.DUMMYFUNCTION(" IF(Account!$F617&lt;&gt;"""", SPLIT(Account!$F617, "" ""), """")"),"")</f>
        <v/>
      </c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</row>
    <row r="618">
      <c r="A618" s="341"/>
      <c r="B618" s="341"/>
      <c r="C618" s="341"/>
      <c r="D618" s="341"/>
      <c r="E618" s="341"/>
      <c r="F618" s="373"/>
      <c r="G618" s="341"/>
      <c r="H618" s="341"/>
      <c r="I618" s="341"/>
      <c r="J618" s="341"/>
      <c r="K618" s="341"/>
      <c r="L618" s="26" t="str">
        <f t="shared" si="1"/>
        <v/>
      </c>
      <c r="M618" s="28" t="str">
        <f>IFERROR(__xludf.DUMMYFUNCTION("IF(Account!$F618&lt;&gt;"""", VALUE(REGEXREPLACE($I618, ""\,"", ""."")), """")"),"")</f>
        <v/>
      </c>
      <c r="N618" s="31" t="str">
        <f>IF(Account!$F618&lt;&gt;"", DATEVALUE(MID($A618,4,3) &amp; LEFT($A618,3) &amp; RIGHT($A618,4)) + TIMEVALUE($B618), "")</f>
        <v/>
      </c>
      <c r="O618" s="33" t="str">
        <f>IF(Account!$F618&lt;&gt;"", DATEVALUE(MID($A618,4,3) &amp; LEFT($A618,3) &amp; RIGHT($A618,4)), "")</f>
        <v/>
      </c>
      <c r="P618" s="34" t="str">
        <f>IFERROR(VLOOKUP($Q618,Selection!$F:$G,2,false))</f>
        <v/>
      </c>
      <c r="Q618" s="36" t="str">
        <f>IF(AND($X618="change",$H618="EUR"),IF(AND($Z618="Crédit",$N618=$N619),$Q619,IF(AND($Z618="Débit",$N618=$N617),$Q617)),IF(OR(AND(OR($E618&lt;&gt;"",$L618=""),$M618&lt;&gt;0),$A618=""),IFERROR(VLOOKUP($E618,Selection!$E:$F,2,false)),IFERROR(VLOOKUP(SUBSTITUTE($I618,"-","",1),$K619:$Q1119,7,false),VLOOKUP($K618,$K619:$Q1119,7,false))))</f>
        <v/>
      </c>
      <c r="R618" s="34" t="str">
        <f t="shared" si="2"/>
        <v/>
      </c>
      <c r="S618" s="37" t="str">
        <f t="shared" si="3"/>
        <v/>
      </c>
      <c r="T618" s="38" t="str">
        <f t="shared" si="4"/>
        <v/>
      </c>
      <c r="U618" s="28" t="str">
        <f t="shared" si="5"/>
        <v/>
      </c>
      <c r="V618" s="39" t="str">
        <f>IFERROR(__xludf.DUMMYFUNCTION(" IF(Account!$F618&lt;&gt;"""", SPLIT(Account!$F618, "" ""), """")"),"")</f>
        <v/>
      </c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</row>
    <row r="619">
      <c r="A619" s="341"/>
      <c r="B619" s="341"/>
      <c r="C619" s="341"/>
      <c r="D619" s="341"/>
      <c r="E619" s="341"/>
      <c r="F619" s="373"/>
      <c r="G619" s="341"/>
      <c r="H619" s="341"/>
      <c r="I619" s="341"/>
      <c r="J619" s="341"/>
      <c r="K619" s="341"/>
      <c r="L619" s="26" t="str">
        <f t="shared" si="1"/>
        <v/>
      </c>
      <c r="M619" s="28" t="str">
        <f>IFERROR(__xludf.DUMMYFUNCTION("IF(Account!$F619&lt;&gt;"""", VALUE(REGEXREPLACE($I619, ""\,"", ""."")), """")"),"")</f>
        <v/>
      </c>
      <c r="N619" s="31" t="str">
        <f>IF(Account!$F619&lt;&gt;"", DATEVALUE(MID($A619,4,3) &amp; LEFT($A619,3) &amp; RIGHT($A619,4)) + TIMEVALUE($B619), "")</f>
        <v/>
      </c>
      <c r="O619" s="33" t="str">
        <f>IF(Account!$F619&lt;&gt;"", DATEVALUE(MID($A619,4,3) &amp; LEFT($A619,3) &amp; RIGHT($A619,4)), "")</f>
        <v/>
      </c>
      <c r="P619" s="34" t="str">
        <f>IFERROR(VLOOKUP($Q619,Selection!$F:$G,2,false))</f>
        <v/>
      </c>
      <c r="Q619" s="36" t="str">
        <f>IF(AND($X619="change",$H619="EUR"),IF(AND($Z619="Crédit",$N619=$N620),$Q620,IF(AND($Z619="Débit",$N619=$N618),$Q618)),IF(OR(AND(OR($E619&lt;&gt;"",$L619=""),$M619&lt;&gt;0),$A619=""),IFERROR(VLOOKUP($E619,Selection!$E:$F,2,false)),IFERROR(VLOOKUP(SUBSTITUTE($I619,"-","",1),$K620:$Q1119,7,false),VLOOKUP($K619,$K620:$Q1119,7,false))))</f>
        <v/>
      </c>
      <c r="R619" s="34" t="str">
        <f t="shared" si="2"/>
        <v/>
      </c>
      <c r="S619" s="37" t="str">
        <f t="shared" si="3"/>
        <v/>
      </c>
      <c r="T619" s="38" t="str">
        <f t="shared" si="4"/>
        <v/>
      </c>
      <c r="U619" s="28" t="str">
        <f t="shared" si="5"/>
        <v/>
      </c>
      <c r="V619" s="39" t="str">
        <f>IFERROR(__xludf.DUMMYFUNCTION(" IF(Account!$F619&lt;&gt;"""", SPLIT(Account!$F619, "" ""), """")"),"")</f>
        <v/>
      </c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</row>
    <row r="620">
      <c r="A620" s="341"/>
      <c r="B620" s="341"/>
      <c r="C620" s="341"/>
      <c r="D620" s="341"/>
      <c r="E620" s="341"/>
      <c r="F620" s="373"/>
      <c r="G620" s="341"/>
      <c r="H620" s="341"/>
      <c r="I620" s="341"/>
      <c r="J620" s="341"/>
      <c r="K620" s="341"/>
      <c r="L620" s="26" t="str">
        <f t="shared" si="1"/>
        <v/>
      </c>
      <c r="M620" s="28" t="str">
        <f>IFERROR(__xludf.DUMMYFUNCTION("IF(Account!$F620&lt;&gt;"""", VALUE(REGEXREPLACE($I620, ""\,"", ""."")), """")"),"")</f>
        <v/>
      </c>
      <c r="N620" s="31" t="str">
        <f>IF(Account!$F620&lt;&gt;"", DATEVALUE(MID($A620,4,3) &amp; LEFT($A620,3) &amp; RIGHT($A620,4)) + TIMEVALUE($B620), "")</f>
        <v/>
      </c>
      <c r="O620" s="33" t="str">
        <f>IF(Account!$F620&lt;&gt;"", DATEVALUE(MID($A620,4,3) &amp; LEFT($A620,3) &amp; RIGHT($A620,4)), "")</f>
        <v/>
      </c>
      <c r="P620" s="34" t="str">
        <f>IFERROR(VLOOKUP($Q620,Selection!$F:$G,2,false))</f>
        <v/>
      </c>
      <c r="Q620" s="36" t="str">
        <f>IF(AND($X620="change",$H620="EUR"),IF(AND($Z620="Crédit",$N620=$N621),$Q621,IF(AND($Z620="Débit",$N620=$N619),$Q619)),IF(OR(AND(OR($E620&lt;&gt;"",$L620=""),$M620&lt;&gt;0),$A620=""),IFERROR(VLOOKUP($E620,Selection!$E:$F,2,false)),IFERROR(VLOOKUP(SUBSTITUTE($I620,"-","",1),$K621:$Q1119,7,false),VLOOKUP($K620,$K621:$Q1119,7,false))))</f>
        <v/>
      </c>
      <c r="R620" s="34" t="str">
        <f t="shared" si="2"/>
        <v/>
      </c>
      <c r="S620" s="37" t="str">
        <f t="shared" si="3"/>
        <v/>
      </c>
      <c r="T620" s="38" t="str">
        <f t="shared" si="4"/>
        <v/>
      </c>
      <c r="U620" s="28" t="str">
        <f t="shared" si="5"/>
        <v/>
      </c>
      <c r="V620" s="39" t="str">
        <f>IFERROR(__xludf.DUMMYFUNCTION(" IF(Account!$F620&lt;&gt;"""", SPLIT(Account!$F620, "" ""), """")"),"")</f>
        <v/>
      </c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</row>
    <row r="621">
      <c r="A621" s="341"/>
      <c r="B621" s="341"/>
      <c r="C621" s="341"/>
      <c r="D621" s="341"/>
      <c r="E621" s="341"/>
      <c r="F621" s="373"/>
      <c r="G621" s="341"/>
      <c r="H621" s="341"/>
      <c r="I621" s="341"/>
      <c r="J621" s="341"/>
      <c r="K621" s="341"/>
      <c r="L621" s="26" t="str">
        <f t="shared" si="1"/>
        <v/>
      </c>
      <c r="M621" s="28" t="str">
        <f>IFERROR(__xludf.DUMMYFUNCTION("IF(Account!$F621&lt;&gt;"""", VALUE(REGEXREPLACE($I621, ""\,"", ""."")), """")"),"")</f>
        <v/>
      </c>
      <c r="N621" s="31" t="str">
        <f>IF(Account!$F621&lt;&gt;"", DATEVALUE(MID($A621,4,3) &amp; LEFT($A621,3) &amp; RIGHT($A621,4)) + TIMEVALUE($B621), "")</f>
        <v/>
      </c>
      <c r="O621" s="33" t="str">
        <f>IF(Account!$F621&lt;&gt;"", DATEVALUE(MID($A621,4,3) &amp; LEFT($A621,3) &amp; RIGHT($A621,4)), "")</f>
        <v/>
      </c>
      <c r="P621" s="34" t="str">
        <f>IFERROR(VLOOKUP($Q621,Selection!$F:$G,2,false))</f>
        <v/>
      </c>
      <c r="Q621" s="36" t="str">
        <f>IF(AND($X621="change",$H621="EUR"),IF(AND($Z621="Crédit",$N621=$N622),$Q622,IF(AND($Z621="Débit",$N621=$N620),$Q620)),IF(OR(AND(OR($E621&lt;&gt;"",$L621=""),$M621&lt;&gt;0),$A621=""),IFERROR(VLOOKUP($E621,Selection!$E:$F,2,false)),IFERROR(VLOOKUP(SUBSTITUTE($I621,"-","",1),$K622:$Q1119,7,false),VLOOKUP($K621,$K622:$Q1119,7,false))))</f>
        <v/>
      </c>
      <c r="R621" s="34" t="str">
        <f t="shared" si="2"/>
        <v/>
      </c>
      <c r="S621" s="37" t="str">
        <f t="shared" si="3"/>
        <v/>
      </c>
      <c r="T621" s="38" t="str">
        <f t="shared" si="4"/>
        <v/>
      </c>
      <c r="U621" s="28" t="str">
        <f t="shared" si="5"/>
        <v/>
      </c>
      <c r="V621" s="39" t="str">
        <f>IFERROR(__xludf.DUMMYFUNCTION(" IF(Account!$F621&lt;&gt;"""", SPLIT(Account!$F621, "" ""), """")"),"")</f>
        <v/>
      </c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</row>
    <row r="622">
      <c r="A622" s="341"/>
      <c r="B622" s="341"/>
      <c r="C622" s="341"/>
      <c r="D622" s="341"/>
      <c r="E622" s="341"/>
      <c r="F622" s="373"/>
      <c r="G622" s="341"/>
      <c r="H622" s="341"/>
      <c r="I622" s="341"/>
      <c r="J622" s="341"/>
      <c r="K622" s="341"/>
      <c r="L622" s="26" t="str">
        <f t="shared" si="1"/>
        <v/>
      </c>
      <c r="M622" s="28" t="str">
        <f>IFERROR(__xludf.DUMMYFUNCTION("IF(Account!$F622&lt;&gt;"""", VALUE(REGEXREPLACE($I622, ""\,"", ""."")), """")"),"")</f>
        <v/>
      </c>
      <c r="N622" s="31" t="str">
        <f>IF(Account!$F622&lt;&gt;"", DATEVALUE(MID($A622,4,3) &amp; LEFT($A622,3) &amp; RIGHT($A622,4)) + TIMEVALUE($B622), "")</f>
        <v/>
      </c>
      <c r="O622" s="33" t="str">
        <f>IF(Account!$F622&lt;&gt;"", DATEVALUE(MID($A622,4,3) &amp; LEFT($A622,3) &amp; RIGHT($A622,4)), "")</f>
        <v/>
      </c>
      <c r="P622" s="34" t="str">
        <f>IFERROR(VLOOKUP($Q622,Selection!$F:$G,2,false))</f>
        <v/>
      </c>
      <c r="Q622" s="36" t="str">
        <f>IF(AND($X622="change",$H622="EUR"),IF(AND($Z622="Crédit",$N622=$N623),$Q623,IF(AND($Z622="Débit",$N622=$N621),$Q621)),IF(OR(AND(OR($E622&lt;&gt;"",$L622=""),$M622&lt;&gt;0),$A622=""),IFERROR(VLOOKUP($E622,Selection!$E:$F,2,false)),IFERROR(VLOOKUP(SUBSTITUTE($I622,"-","",1),$K623:$Q1119,7,false),VLOOKUP($K622,$K623:$Q1119,7,false))))</f>
        <v/>
      </c>
      <c r="R622" s="34" t="str">
        <f t="shared" si="2"/>
        <v/>
      </c>
      <c r="S622" s="37" t="str">
        <f t="shared" si="3"/>
        <v/>
      </c>
      <c r="T622" s="38" t="str">
        <f t="shared" si="4"/>
        <v/>
      </c>
      <c r="U622" s="28" t="str">
        <f t="shared" si="5"/>
        <v/>
      </c>
      <c r="V622" s="39" t="str">
        <f>IFERROR(__xludf.DUMMYFUNCTION(" IF(Account!$F622&lt;&gt;"""", SPLIT(Account!$F622, "" ""), """")"),"")</f>
        <v/>
      </c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</row>
    <row r="623">
      <c r="A623" s="341"/>
      <c r="B623" s="341"/>
      <c r="C623" s="341"/>
      <c r="D623" s="341"/>
      <c r="E623" s="341"/>
      <c r="F623" s="373"/>
      <c r="G623" s="341"/>
      <c r="H623" s="341"/>
      <c r="I623" s="341"/>
      <c r="J623" s="341"/>
      <c r="K623" s="341"/>
      <c r="L623" s="26" t="str">
        <f t="shared" si="1"/>
        <v/>
      </c>
      <c r="M623" s="28" t="str">
        <f>IFERROR(__xludf.DUMMYFUNCTION("IF(Account!$F623&lt;&gt;"""", VALUE(REGEXREPLACE($I623, ""\,"", ""."")), """")"),"")</f>
        <v/>
      </c>
      <c r="N623" s="31" t="str">
        <f>IF(Account!$F623&lt;&gt;"", DATEVALUE(MID($A623,4,3) &amp; LEFT($A623,3) &amp; RIGHT($A623,4)) + TIMEVALUE($B623), "")</f>
        <v/>
      </c>
      <c r="O623" s="33" t="str">
        <f>IF(Account!$F623&lt;&gt;"", DATEVALUE(MID($A623,4,3) &amp; LEFT($A623,3) &amp; RIGHT($A623,4)), "")</f>
        <v/>
      </c>
      <c r="P623" s="34" t="str">
        <f>IFERROR(VLOOKUP($Q623,Selection!$F:$G,2,false))</f>
        <v/>
      </c>
      <c r="Q623" s="36" t="str">
        <f>IF(AND($X623="change",$H623="EUR"),IF(AND($Z623="Crédit",$N623=$N624),$Q624,IF(AND($Z623="Débit",$N623=$N622),$Q622)),IF(OR(AND(OR($E623&lt;&gt;"",$L623=""),$M623&lt;&gt;0),$A623=""),IFERROR(VLOOKUP($E623,Selection!$E:$F,2,false)),IFERROR(VLOOKUP(SUBSTITUTE($I623,"-","",1),$K624:$Q1119,7,false),VLOOKUP($K623,$K624:$Q1119,7,false))))</f>
        <v/>
      </c>
      <c r="R623" s="34" t="str">
        <f t="shared" si="2"/>
        <v/>
      </c>
      <c r="S623" s="37" t="str">
        <f t="shared" si="3"/>
        <v/>
      </c>
      <c r="T623" s="38" t="str">
        <f t="shared" si="4"/>
        <v/>
      </c>
      <c r="U623" s="28" t="str">
        <f t="shared" si="5"/>
        <v/>
      </c>
      <c r="V623" s="39" t="str">
        <f>IFERROR(__xludf.DUMMYFUNCTION(" IF(Account!$F623&lt;&gt;"""", SPLIT(Account!$F623, "" ""), """")"),"")</f>
        <v/>
      </c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</row>
    <row r="624">
      <c r="A624" s="341"/>
      <c r="B624" s="341"/>
      <c r="C624" s="341"/>
      <c r="D624" s="341"/>
      <c r="E624" s="341"/>
      <c r="F624" s="373"/>
      <c r="G624" s="341"/>
      <c r="H624" s="341"/>
      <c r="I624" s="341"/>
      <c r="J624" s="341"/>
      <c r="K624" s="341"/>
      <c r="L624" s="26" t="str">
        <f t="shared" si="1"/>
        <v/>
      </c>
      <c r="M624" s="28" t="str">
        <f>IFERROR(__xludf.DUMMYFUNCTION("IF(Account!$F624&lt;&gt;"""", VALUE(REGEXREPLACE($I624, ""\,"", ""."")), """")"),"")</f>
        <v/>
      </c>
      <c r="N624" s="31" t="str">
        <f>IF(Account!$F624&lt;&gt;"", DATEVALUE(MID($A624,4,3) &amp; LEFT($A624,3) &amp; RIGHT($A624,4)) + TIMEVALUE($B624), "")</f>
        <v/>
      </c>
      <c r="O624" s="33" t="str">
        <f>IF(Account!$F624&lt;&gt;"", DATEVALUE(MID($A624,4,3) &amp; LEFT($A624,3) &amp; RIGHT($A624,4)), "")</f>
        <v/>
      </c>
      <c r="P624" s="34" t="str">
        <f>IFERROR(VLOOKUP($Q624,Selection!$F:$G,2,false))</f>
        <v/>
      </c>
      <c r="Q624" s="36" t="str">
        <f>IF(AND($X624="change",$H624="EUR"),IF(AND($Z624="Crédit",$N624=$N625),$Q625,IF(AND($Z624="Débit",$N624=$N623),$Q623)),IF(OR(AND(OR($E624&lt;&gt;"",$L624=""),$M624&lt;&gt;0),$A624=""),IFERROR(VLOOKUP($E624,Selection!$E:$F,2,false)),IFERROR(VLOOKUP(SUBSTITUTE($I624,"-","",1),$K625:$Q1119,7,false),VLOOKUP($K624,$K625:$Q1119,7,false))))</f>
        <v/>
      </c>
      <c r="R624" s="34" t="str">
        <f t="shared" si="2"/>
        <v/>
      </c>
      <c r="S624" s="37" t="str">
        <f t="shared" si="3"/>
        <v/>
      </c>
      <c r="T624" s="38" t="str">
        <f t="shared" si="4"/>
        <v/>
      </c>
      <c r="U624" s="28" t="str">
        <f t="shared" si="5"/>
        <v/>
      </c>
      <c r="V624" s="39" t="str">
        <f>IFERROR(__xludf.DUMMYFUNCTION(" IF(Account!$F624&lt;&gt;"""", SPLIT(Account!$F624, "" ""), """")"),"")</f>
        <v/>
      </c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</row>
    <row r="625">
      <c r="A625" s="341"/>
      <c r="B625" s="341"/>
      <c r="C625" s="341"/>
      <c r="D625" s="341"/>
      <c r="E625" s="341"/>
      <c r="F625" s="373"/>
      <c r="G625" s="341"/>
      <c r="H625" s="341"/>
      <c r="I625" s="341"/>
      <c r="J625" s="341"/>
      <c r="K625" s="341"/>
      <c r="L625" s="26" t="str">
        <f t="shared" si="1"/>
        <v/>
      </c>
      <c r="M625" s="28" t="str">
        <f>IFERROR(__xludf.DUMMYFUNCTION("IF(Account!$F625&lt;&gt;"""", VALUE(REGEXREPLACE($I625, ""\,"", ""."")), """")"),"")</f>
        <v/>
      </c>
      <c r="N625" s="31" t="str">
        <f>IF(Account!$F625&lt;&gt;"", DATEVALUE(MID($A625,4,3) &amp; LEFT($A625,3) &amp; RIGHT($A625,4)) + TIMEVALUE($B625), "")</f>
        <v/>
      </c>
      <c r="O625" s="33" t="str">
        <f>IF(Account!$F625&lt;&gt;"", DATEVALUE(MID($A625,4,3) &amp; LEFT($A625,3) &amp; RIGHT($A625,4)), "")</f>
        <v/>
      </c>
      <c r="P625" s="34" t="str">
        <f>IFERROR(VLOOKUP($Q625,Selection!$F:$G,2,false))</f>
        <v/>
      </c>
      <c r="Q625" s="36" t="str">
        <f>IF(AND($X625="change",$H625="EUR"),IF(AND($Z625="Crédit",$N625=$N626),$Q626,IF(AND($Z625="Débit",$N625=$N624),$Q624)),IF(OR(AND(OR($E625&lt;&gt;"",$L625=""),$M625&lt;&gt;0),$A625=""),IFERROR(VLOOKUP($E625,Selection!$E:$F,2,false)),IFERROR(VLOOKUP(SUBSTITUTE($I625,"-","",1),$K626:$Q1119,7,false),VLOOKUP($K625,$K626:$Q1119,7,false))))</f>
        <v/>
      </c>
      <c r="R625" s="34" t="str">
        <f t="shared" si="2"/>
        <v/>
      </c>
      <c r="S625" s="37" t="str">
        <f t="shared" si="3"/>
        <v/>
      </c>
      <c r="T625" s="38" t="str">
        <f t="shared" si="4"/>
        <v/>
      </c>
      <c r="U625" s="28" t="str">
        <f t="shared" si="5"/>
        <v/>
      </c>
      <c r="V625" s="39" t="str">
        <f>IFERROR(__xludf.DUMMYFUNCTION(" IF(Account!$F625&lt;&gt;"""", SPLIT(Account!$F625, "" ""), """")"),"")</f>
        <v/>
      </c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</row>
    <row r="626">
      <c r="A626" s="341"/>
      <c r="B626" s="341"/>
      <c r="C626" s="341"/>
      <c r="D626" s="341"/>
      <c r="E626" s="341"/>
      <c r="F626" s="373"/>
      <c r="G626" s="341"/>
      <c r="H626" s="341"/>
      <c r="I626" s="341"/>
      <c r="J626" s="341"/>
      <c r="K626" s="341"/>
      <c r="L626" s="26" t="str">
        <f t="shared" si="1"/>
        <v/>
      </c>
      <c r="M626" s="28" t="str">
        <f>IFERROR(__xludf.DUMMYFUNCTION("IF(Account!$F626&lt;&gt;"""", VALUE(REGEXREPLACE($I626, ""\,"", ""."")), """")"),"")</f>
        <v/>
      </c>
      <c r="N626" s="31" t="str">
        <f>IF(Account!$F626&lt;&gt;"", DATEVALUE(MID($A626,4,3) &amp; LEFT($A626,3) &amp; RIGHT($A626,4)) + TIMEVALUE($B626), "")</f>
        <v/>
      </c>
      <c r="O626" s="33" t="str">
        <f>IF(Account!$F626&lt;&gt;"", DATEVALUE(MID($A626,4,3) &amp; LEFT($A626,3) &amp; RIGHT($A626,4)), "")</f>
        <v/>
      </c>
      <c r="P626" s="34" t="str">
        <f>IFERROR(VLOOKUP($Q626,Selection!$F:$G,2,false))</f>
        <v/>
      </c>
      <c r="Q626" s="36" t="str">
        <f>IF(AND($X626="change",$H626="EUR"),IF(AND($Z626="Crédit",$N626=$N627),$Q627,IF(AND($Z626="Débit",$N626=$N625),$Q625)),IF(OR(AND(OR($E626&lt;&gt;"",$L626=""),$M626&lt;&gt;0),$A626=""),IFERROR(VLOOKUP($E626,Selection!$E:$F,2,false)),IFERROR(VLOOKUP(SUBSTITUTE($I626,"-","",1),$K627:$Q1119,7,false),VLOOKUP($K626,$K627:$Q1119,7,false))))</f>
        <v/>
      </c>
      <c r="R626" s="34" t="str">
        <f t="shared" si="2"/>
        <v/>
      </c>
      <c r="S626" s="37" t="str">
        <f t="shared" si="3"/>
        <v/>
      </c>
      <c r="T626" s="38" t="str">
        <f t="shared" si="4"/>
        <v/>
      </c>
      <c r="U626" s="28" t="str">
        <f t="shared" si="5"/>
        <v/>
      </c>
      <c r="V626" s="39" t="str">
        <f>IFERROR(__xludf.DUMMYFUNCTION(" IF(Account!$F626&lt;&gt;"""", SPLIT(Account!$F626, "" ""), """")"),"")</f>
        <v/>
      </c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</row>
    <row r="627">
      <c r="A627" s="341"/>
      <c r="B627" s="341"/>
      <c r="C627" s="341"/>
      <c r="D627" s="341"/>
      <c r="E627" s="341"/>
      <c r="F627" s="373"/>
      <c r="G627" s="341"/>
      <c r="H627" s="341"/>
      <c r="I627" s="341"/>
      <c r="J627" s="341"/>
      <c r="K627" s="341"/>
      <c r="L627" s="26" t="str">
        <f t="shared" si="1"/>
        <v/>
      </c>
      <c r="M627" s="28" t="str">
        <f>IFERROR(__xludf.DUMMYFUNCTION("IF(Account!$F627&lt;&gt;"""", VALUE(REGEXREPLACE($I627, ""\,"", ""."")), """")"),"")</f>
        <v/>
      </c>
      <c r="N627" s="31" t="str">
        <f>IF(Account!$F627&lt;&gt;"", DATEVALUE(MID($A627,4,3) &amp; LEFT($A627,3) &amp; RIGHT($A627,4)) + TIMEVALUE($B627), "")</f>
        <v/>
      </c>
      <c r="O627" s="33" t="str">
        <f>IF(Account!$F627&lt;&gt;"", DATEVALUE(MID($A627,4,3) &amp; LEFT($A627,3) &amp; RIGHT($A627,4)), "")</f>
        <v/>
      </c>
      <c r="P627" s="34" t="str">
        <f>IFERROR(VLOOKUP($Q627,Selection!$F:$G,2,false))</f>
        <v/>
      </c>
      <c r="Q627" s="36" t="str">
        <f>IF(AND($X627="change",$H627="EUR"),IF(AND($Z627="Crédit",$N627=$N628),$Q628,IF(AND($Z627="Débit",$N627=$N626),$Q626)),IF(OR(AND(OR($E627&lt;&gt;"",$L627=""),$M627&lt;&gt;0),$A627=""),IFERROR(VLOOKUP($E627,Selection!$E:$F,2,false)),IFERROR(VLOOKUP(SUBSTITUTE($I627,"-","",1),$K628:$Q1119,7,false),VLOOKUP($K627,$K628:$Q1119,7,false))))</f>
        <v/>
      </c>
      <c r="R627" s="34" t="str">
        <f t="shared" si="2"/>
        <v/>
      </c>
      <c r="S627" s="37" t="str">
        <f t="shared" si="3"/>
        <v/>
      </c>
      <c r="T627" s="38" t="str">
        <f t="shared" si="4"/>
        <v/>
      </c>
      <c r="U627" s="28" t="str">
        <f t="shared" si="5"/>
        <v/>
      </c>
      <c r="V627" s="39" t="str">
        <f>IFERROR(__xludf.DUMMYFUNCTION(" IF(Account!$F627&lt;&gt;"""", SPLIT(Account!$F627, "" ""), """")"),"")</f>
        <v/>
      </c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</row>
    <row r="628">
      <c r="A628" s="341"/>
      <c r="B628" s="341"/>
      <c r="C628" s="341"/>
      <c r="D628" s="341"/>
      <c r="E628" s="341"/>
      <c r="F628" s="373"/>
      <c r="G628" s="341"/>
      <c r="H628" s="341"/>
      <c r="I628" s="341"/>
      <c r="J628" s="341"/>
      <c r="K628" s="341"/>
      <c r="L628" s="26" t="str">
        <f t="shared" si="1"/>
        <v/>
      </c>
      <c r="M628" s="28" t="str">
        <f>IFERROR(__xludf.DUMMYFUNCTION("IF(Account!$F628&lt;&gt;"""", VALUE(REGEXREPLACE($I628, ""\,"", ""."")), """")"),"")</f>
        <v/>
      </c>
      <c r="N628" s="31" t="str">
        <f>IF(Account!$F628&lt;&gt;"", DATEVALUE(MID($A628,4,3) &amp; LEFT($A628,3) &amp; RIGHT($A628,4)) + TIMEVALUE($B628), "")</f>
        <v/>
      </c>
      <c r="O628" s="33" t="str">
        <f>IF(Account!$F628&lt;&gt;"", DATEVALUE(MID($A628,4,3) &amp; LEFT($A628,3) &amp; RIGHT($A628,4)), "")</f>
        <v/>
      </c>
      <c r="P628" s="34" t="str">
        <f>IFERROR(VLOOKUP($Q628,Selection!$F:$G,2,false))</f>
        <v/>
      </c>
      <c r="Q628" s="36" t="str">
        <f>IF(AND($X628="change",$H628="EUR"),IF(AND($Z628="Crédit",$N628=$N629),$Q629,IF(AND($Z628="Débit",$N628=$N627),$Q627)),IF(OR(AND(OR($E628&lt;&gt;"",$L628=""),$M628&lt;&gt;0),$A628=""),IFERROR(VLOOKUP($E628,Selection!$E:$F,2,false)),IFERROR(VLOOKUP(SUBSTITUTE($I628,"-","",1),$K629:$Q1119,7,false),VLOOKUP($K628,$K629:$Q1119,7,false))))</f>
        <v/>
      </c>
      <c r="R628" s="34" t="str">
        <f t="shared" si="2"/>
        <v/>
      </c>
      <c r="S628" s="37" t="str">
        <f t="shared" si="3"/>
        <v/>
      </c>
      <c r="T628" s="38" t="str">
        <f t="shared" si="4"/>
        <v/>
      </c>
      <c r="U628" s="28" t="str">
        <f t="shared" si="5"/>
        <v/>
      </c>
      <c r="V628" s="39" t="str">
        <f>IFERROR(__xludf.DUMMYFUNCTION(" IF(Account!$F628&lt;&gt;"""", SPLIT(Account!$F628, "" ""), """")"),"")</f>
        <v/>
      </c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</row>
    <row r="629">
      <c r="A629" s="341"/>
      <c r="B629" s="341"/>
      <c r="C629" s="341"/>
      <c r="D629" s="341"/>
      <c r="E629" s="341"/>
      <c r="F629" s="373"/>
      <c r="G629" s="341"/>
      <c r="H629" s="341"/>
      <c r="I629" s="341"/>
      <c r="J629" s="341"/>
      <c r="K629" s="341"/>
      <c r="L629" s="26" t="str">
        <f t="shared" si="1"/>
        <v/>
      </c>
      <c r="M629" s="28" t="str">
        <f>IFERROR(__xludf.DUMMYFUNCTION("IF(Account!$F629&lt;&gt;"""", VALUE(REGEXREPLACE($I629, ""\,"", ""."")), """")"),"")</f>
        <v/>
      </c>
      <c r="N629" s="31" t="str">
        <f>IF(Account!$F629&lt;&gt;"", DATEVALUE(MID($A629,4,3) &amp; LEFT($A629,3) &amp; RIGHT($A629,4)) + TIMEVALUE($B629), "")</f>
        <v/>
      </c>
      <c r="O629" s="33" t="str">
        <f>IF(Account!$F629&lt;&gt;"", DATEVALUE(MID($A629,4,3) &amp; LEFT($A629,3) &amp; RIGHT($A629,4)), "")</f>
        <v/>
      </c>
      <c r="P629" s="34" t="str">
        <f>IFERROR(VLOOKUP($Q629,Selection!$F:$G,2,false))</f>
        <v/>
      </c>
      <c r="Q629" s="36" t="str">
        <f>IF(AND($X629="change",$H629="EUR"),IF(AND($Z629="Crédit",$N629=$N630),$Q630,IF(AND($Z629="Débit",$N629=$N628),$Q628)),IF(OR(AND(OR($E629&lt;&gt;"",$L629=""),$M629&lt;&gt;0),$A629=""),IFERROR(VLOOKUP($E629,Selection!$E:$F,2,false)),IFERROR(VLOOKUP(SUBSTITUTE($I629,"-","",1),$K630:$Q1119,7,false),VLOOKUP($K629,$K630:$Q1119,7,false))))</f>
        <v/>
      </c>
      <c r="R629" s="34" t="str">
        <f t="shared" si="2"/>
        <v/>
      </c>
      <c r="S629" s="37" t="str">
        <f t="shared" si="3"/>
        <v/>
      </c>
      <c r="T629" s="38" t="str">
        <f t="shared" si="4"/>
        <v/>
      </c>
      <c r="U629" s="28" t="str">
        <f t="shared" si="5"/>
        <v/>
      </c>
      <c r="V629" s="39" t="str">
        <f>IFERROR(__xludf.DUMMYFUNCTION(" IF(Account!$F629&lt;&gt;"""", SPLIT(Account!$F629, "" ""), """")"),"")</f>
        <v/>
      </c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</row>
    <row r="630">
      <c r="A630" s="341"/>
      <c r="B630" s="341"/>
      <c r="C630" s="341"/>
      <c r="D630" s="341"/>
      <c r="E630" s="341"/>
      <c r="F630" s="373"/>
      <c r="G630" s="341"/>
      <c r="H630" s="341"/>
      <c r="I630" s="341"/>
      <c r="J630" s="341"/>
      <c r="K630" s="341"/>
      <c r="L630" s="26" t="str">
        <f t="shared" si="1"/>
        <v/>
      </c>
      <c r="M630" s="28" t="str">
        <f>IFERROR(__xludf.DUMMYFUNCTION("IF(Account!$F630&lt;&gt;"""", VALUE(REGEXREPLACE($I630, ""\,"", ""."")), """")"),"")</f>
        <v/>
      </c>
      <c r="N630" s="31" t="str">
        <f>IF(Account!$F630&lt;&gt;"", DATEVALUE(MID($A630,4,3) &amp; LEFT($A630,3) &amp; RIGHT($A630,4)) + TIMEVALUE($B630), "")</f>
        <v/>
      </c>
      <c r="O630" s="33" t="str">
        <f>IF(Account!$F630&lt;&gt;"", DATEVALUE(MID($A630,4,3) &amp; LEFT($A630,3) &amp; RIGHT($A630,4)), "")</f>
        <v/>
      </c>
      <c r="P630" s="34" t="str">
        <f>IFERROR(VLOOKUP($Q630,Selection!$F:$G,2,false))</f>
        <v/>
      </c>
      <c r="Q630" s="36" t="str">
        <f>IF(AND($X630="change",$H630="EUR"),IF(AND($Z630="Crédit",$N630=$N631),$Q631,IF(AND($Z630="Débit",$N630=$N629),$Q629)),IF(OR(AND(OR($E630&lt;&gt;"",$L630=""),$M630&lt;&gt;0),$A630=""),IFERROR(VLOOKUP($E630,Selection!$E:$F,2,false)),IFERROR(VLOOKUP(SUBSTITUTE($I630,"-","",1),$K631:$Q1119,7,false),VLOOKUP($K630,$K631:$Q1119,7,false))))</f>
        <v/>
      </c>
      <c r="R630" s="34" t="str">
        <f t="shared" si="2"/>
        <v/>
      </c>
      <c r="S630" s="37" t="str">
        <f t="shared" si="3"/>
        <v/>
      </c>
      <c r="T630" s="38" t="str">
        <f t="shared" si="4"/>
        <v/>
      </c>
      <c r="U630" s="28" t="str">
        <f t="shared" si="5"/>
        <v/>
      </c>
      <c r="V630" s="39" t="str">
        <f>IFERROR(__xludf.DUMMYFUNCTION(" IF(Account!$F630&lt;&gt;"""", SPLIT(Account!$F630, "" ""), """")"),"")</f>
        <v/>
      </c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</row>
    <row r="631">
      <c r="A631" s="341"/>
      <c r="B631" s="341"/>
      <c r="C631" s="341"/>
      <c r="D631" s="341"/>
      <c r="E631" s="341"/>
      <c r="F631" s="373"/>
      <c r="G631" s="341"/>
      <c r="H631" s="341"/>
      <c r="I631" s="341"/>
      <c r="J631" s="341"/>
      <c r="K631" s="341"/>
      <c r="L631" s="26" t="str">
        <f t="shared" si="1"/>
        <v/>
      </c>
      <c r="M631" s="28" t="str">
        <f>IFERROR(__xludf.DUMMYFUNCTION("IF(Account!$F631&lt;&gt;"""", VALUE(REGEXREPLACE($I631, ""\,"", ""."")), """")"),"")</f>
        <v/>
      </c>
      <c r="N631" s="31" t="str">
        <f>IF(Account!$F631&lt;&gt;"", DATEVALUE(MID($A631,4,3) &amp; LEFT($A631,3) &amp; RIGHT($A631,4)) + TIMEVALUE($B631), "")</f>
        <v/>
      </c>
      <c r="O631" s="33" t="str">
        <f>IF(Account!$F631&lt;&gt;"", DATEVALUE(MID($A631,4,3) &amp; LEFT($A631,3) &amp; RIGHT($A631,4)), "")</f>
        <v/>
      </c>
      <c r="P631" s="34" t="str">
        <f>IFERROR(VLOOKUP($Q631,Selection!$F:$G,2,false))</f>
        <v/>
      </c>
      <c r="Q631" s="36" t="str">
        <f>IF(AND($X631="change",$H631="EUR"),IF(AND($Z631="Crédit",$N631=$N632),$Q632,IF(AND($Z631="Débit",$N631=$N630),$Q630)),IF(OR(AND(OR($E631&lt;&gt;"",$L631=""),$M631&lt;&gt;0),$A631=""),IFERROR(VLOOKUP($E631,Selection!$E:$F,2,false)),IFERROR(VLOOKUP(SUBSTITUTE($I631,"-","",1),$K632:$Q1119,7,false),VLOOKUP($K631,$K632:$Q1119,7,false))))</f>
        <v/>
      </c>
      <c r="R631" s="34" t="str">
        <f t="shared" si="2"/>
        <v/>
      </c>
      <c r="S631" s="37" t="str">
        <f t="shared" si="3"/>
        <v/>
      </c>
      <c r="T631" s="38" t="str">
        <f t="shared" si="4"/>
        <v/>
      </c>
      <c r="U631" s="28" t="str">
        <f t="shared" si="5"/>
        <v/>
      </c>
      <c r="V631" s="39" t="str">
        <f>IFERROR(__xludf.DUMMYFUNCTION(" IF(Account!$F631&lt;&gt;"""", SPLIT(Account!$F631, "" ""), """")"),"")</f>
        <v/>
      </c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</row>
    <row r="632">
      <c r="A632" s="341"/>
      <c r="B632" s="341"/>
      <c r="C632" s="341"/>
      <c r="D632" s="341"/>
      <c r="E632" s="341"/>
      <c r="F632" s="373"/>
      <c r="G632" s="341"/>
      <c r="H632" s="341"/>
      <c r="I632" s="341"/>
      <c r="J632" s="341"/>
      <c r="K632" s="341"/>
      <c r="L632" s="26" t="str">
        <f t="shared" si="1"/>
        <v/>
      </c>
      <c r="M632" s="28" t="str">
        <f>IFERROR(__xludf.DUMMYFUNCTION("IF(Account!$F632&lt;&gt;"""", VALUE(REGEXREPLACE($I632, ""\,"", ""."")), """")"),"")</f>
        <v/>
      </c>
      <c r="N632" s="31" t="str">
        <f>IF(Account!$F632&lt;&gt;"", DATEVALUE(MID($A632,4,3) &amp; LEFT($A632,3) &amp; RIGHT($A632,4)) + TIMEVALUE($B632), "")</f>
        <v/>
      </c>
      <c r="O632" s="33" t="str">
        <f>IF(Account!$F632&lt;&gt;"", DATEVALUE(MID($A632,4,3) &amp; LEFT($A632,3) &amp; RIGHT($A632,4)), "")</f>
        <v/>
      </c>
      <c r="P632" s="34" t="str">
        <f>IFERROR(VLOOKUP($Q632,Selection!$F:$G,2,false))</f>
        <v/>
      </c>
      <c r="Q632" s="36" t="str">
        <f>IF(AND($X632="change",$H632="EUR"),IF(AND($Z632="Crédit",$N632=$N633),$Q633,IF(AND($Z632="Débit",$N632=$N631),$Q631)),IF(OR(AND(OR($E632&lt;&gt;"",$L632=""),$M632&lt;&gt;0),$A632=""),IFERROR(VLOOKUP($E632,Selection!$E:$F,2,false)),IFERROR(VLOOKUP(SUBSTITUTE($I632,"-","",1),$K633:$Q1119,7,false),VLOOKUP($K632,$K633:$Q1119,7,false))))</f>
        <v/>
      </c>
      <c r="R632" s="34" t="str">
        <f t="shared" si="2"/>
        <v/>
      </c>
      <c r="S632" s="37" t="str">
        <f t="shared" si="3"/>
        <v/>
      </c>
      <c r="T632" s="38" t="str">
        <f t="shared" si="4"/>
        <v/>
      </c>
      <c r="U632" s="28" t="str">
        <f t="shared" si="5"/>
        <v/>
      </c>
      <c r="V632" s="39" t="str">
        <f>IFERROR(__xludf.DUMMYFUNCTION(" IF(Account!$F632&lt;&gt;"""", SPLIT(Account!$F632, "" ""), """")"),"")</f>
        <v/>
      </c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</row>
    <row r="633">
      <c r="A633" s="341"/>
      <c r="B633" s="341"/>
      <c r="C633" s="341"/>
      <c r="D633" s="341"/>
      <c r="E633" s="341"/>
      <c r="F633" s="373"/>
      <c r="G633" s="341"/>
      <c r="H633" s="341"/>
      <c r="I633" s="341"/>
      <c r="J633" s="341"/>
      <c r="K633" s="341"/>
      <c r="L633" s="26" t="str">
        <f t="shared" si="1"/>
        <v/>
      </c>
      <c r="M633" s="28" t="str">
        <f>IFERROR(__xludf.DUMMYFUNCTION("IF(Account!$F633&lt;&gt;"""", VALUE(REGEXREPLACE($I633, ""\,"", ""."")), """")"),"")</f>
        <v/>
      </c>
      <c r="N633" s="31" t="str">
        <f>IF(Account!$F633&lt;&gt;"", DATEVALUE(MID($A633,4,3) &amp; LEFT($A633,3) &amp; RIGHT($A633,4)) + TIMEVALUE($B633), "")</f>
        <v/>
      </c>
      <c r="O633" s="33" t="str">
        <f>IF(Account!$F633&lt;&gt;"", DATEVALUE(MID($A633,4,3) &amp; LEFT($A633,3) &amp; RIGHT($A633,4)), "")</f>
        <v/>
      </c>
      <c r="P633" s="34" t="str">
        <f>IFERROR(VLOOKUP($Q633,Selection!$F:$G,2,false))</f>
        <v/>
      </c>
      <c r="Q633" s="36" t="str">
        <f>IF(AND($X633="change",$H633="EUR"),IF(AND($Z633="Crédit",$N633=$N634),$Q634,IF(AND($Z633="Débit",$N633=$N632),$Q632)),IF(OR(AND(OR($E633&lt;&gt;"",$L633=""),$M633&lt;&gt;0),$A633=""),IFERROR(VLOOKUP($E633,Selection!$E:$F,2,false)),IFERROR(VLOOKUP(SUBSTITUTE($I633,"-","",1),$K634:$Q1119,7,false),VLOOKUP($K633,$K634:$Q1119,7,false))))</f>
        <v/>
      </c>
      <c r="R633" s="34" t="str">
        <f t="shared" si="2"/>
        <v/>
      </c>
      <c r="S633" s="37" t="str">
        <f t="shared" si="3"/>
        <v/>
      </c>
      <c r="T633" s="38" t="str">
        <f t="shared" si="4"/>
        <v/>
      </c>
      <c r="U633" s="28" t="str">
        <f t="shared" si="5"/>
        <v/>
      </c>
      <c r="V633" s="39" t="str">
        <f>IFERROR(__xludf.DUMMYFUNCTION(" IF(Account!$F633&lt;&gt;"""", SPLIT(Account!$F633, "" ""), """")"),"")</f>
        <v/>
      </c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</row>
    <row r="634">
      <c r="A634" s="341"/>
      <c r="B634" s="341"/>
      <c r="C634" s="341"/>
      <c r="D634" s="341"/>
      <c r="E634" s="341"/>
      <c r="F634" s="373"/>
      <c r="G634" s="341"/>
      <c r="H634" s="341"/>
      <c r="I634" s="341"/>
      <c r="J634" s="341"/>
      <c r="K634" s="341"/>
      <c r="L634" s="26" t="str">
        <f t="shared" si="1"/>
        <v/>
      </c>
      <c r="M634" s="28" t="str">
        <f>IFERROR(__xludf.DUMMYFUNCTION("IF(Account!$F634&lt;&gt;"""", VALUE(REGEXREPLACE($I634, ""\,"", ""."")), """")"),"")</f>
        <v/>
      </c>
      <c r="N634" s="31" t="str">
        <f>IF(Account!$F634&lt;&gt;"", DATEVALUE(MID($A634,4,3) &amp; LEFT($A634,3) &amp; RIGHT($A634,4)) + TIMEVALUE($B634), "")</f>
        <v/>
      </c>
      <c r="O634" s="33" t="str">
        <f>IF(Account!$F634&lt;&gt;"", DATEVALUE(MID($A634,4,3) &amp; LEFT($A634,3) &amp; RIGHT($A634,4)), "")</f>
        <v/>
      </c>
      <c r="P634" s="34" t="str">
        <f>IFERROR(VLOOKUP($Q634,Selection!$F:$G,2,false))</f>
        <v/>
      </c>
      <c r="Q634" s="36" t="str">
        <f>IF(AND($X634="change",$H634="EUR"),IF(AND($Z634="Crédit",$N634=$N635),$Q635,IF(AND($Z634="Débit",$N634=$N633),$Q633)),IF(OR(AND(OR($E634&lt;&gt;"",$L634=""),$M634&lt;&gt;0),$A634=""),IFERROR(VLOOKUP($E634,Selection!$E:$F,2,false)),IFERROR(VLOOKUP(SUBSTITUTE($I634,"-","",1),$K635:$Q1119,7,false),VLOOKUP($K634,$K635:$Q1119,7,false))))</f>
        <v/>
      </c>
      <c r="R634" s="34" t="str">
        <f t="shared" si="2"/>
        <v/>
      </c>
      <c r="S634" s="37" t="str">
        <f t="shared" si="3"/>
        <v/>
      </c>
      <c r="T634" s="38" t="str">
        <f t="shared" si="4"/>
        <v/>
      </c>
      <c r="U634" s="28" t="str">
        <f t="shared" si="5"/>
        <v/>
      </c>
      <c r="V634" s="39" t="str">
        <f>IFERROR(__xludf.DUMMYFUNCTION(" IF(Account!$F634&lt;&gt;"""", SPLIT(Account!$F634, "" ""), """")"),"")</f>
        <v/>
      </c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</row>
    <row r="635">
      <c r="A635" s="341"/>
      <c r="B635" s="341"/>
      <c r="C635" s="341"/>
      <c r="D635" s="341"/>
      <c r="E635" s="341"/>
      <c r="F635" s="373"/>
      <c r="G635" s="341"/>
      <c r="H635" s="341"/>
      <c r="I635" s="341"/>
      <c r="J635" s="341"/>
      <c r="K635" s="341"/>
      <c r="L635" s="26" t="str">
        <f t="shared" si="1"/>
        <v/>
      </c>
      <c r="M635" s="28" t="str">
        <f>IFERROR(__xludf.DUMMYFUNCTION("IF(Account!$F635&lt;&gt;"""", VALUE(REGEXREPLACE($I635, ""\,"", ""."")), """")"),"")</f>
        <v/>
      </c>
      <c r="N635" s="31" t="str">
        <f>IF(Account!$F635&lt;&gt;"", DATEVALUE(MID($A635,4,3) &amp; LEFT($A635,3) &amp; RIGHT($A635,4)) + TIMEVALUE($B635), "")</f>
        <v/>
      </c>
      <c r="O635" s="33" t="str">
        <f>IF(Account!$F635&lt;&gt;"", DATEVALUE(MID($A635,4,3) &amp; LEFT($A635,3) &amp; RIGHT($A635,4)), "")</f>
        <v/>
      </c>
      <c r="P635" s="34" t="str">
        <f>IFERROR(VLOOKUP($Q635,Selection!$F:$G,2,false))</f>
        <v/>
      </c>
      <c r="Q635" s="36" t="str">
        <f>IF(AND($X635="change",$H635="EUR"),IF(AND($Z635="Crédit",$N635=$N636),$Q636,IF(AND($Z635="Débit",$N635=$N634),$Q634)),IF(OR(AND(OR($E635&lt;&gt;"",$L635=""),$M635&lt;&gt;0),$A635=""),IFERROR(VLOOKUP($E635,Selection!$E:$F,2,false)),IFERROR(VLOOKUP(SUBSTITUTE($I635,"-","",1),$K636:$Q1119,7,false),VLOOKUP($K635,$K636:$Q1119,7,false))))</f>
        <v/>
      </c>
      <c r="R635" s="34" t="str">
        <f t="shared" si="2"/>
        <v/>
      </c>
      <c r="S635" s="37" t="str">
        <f t="shared" si="3"/>
        <v/>
      </c>
      <c r="T635" s="38" t="str">
        <f t="shared" si="4"/>
        <v/>
      </c>
      <c r="U635" s="28" t="str">
        <f t="shared" si="5"/>
        <v/>
      </c>
      <c r="V635" s="39" t="str">
        <f>IFERROR(__xludf.DUMMYFUNCTION(" IF(Account!$F635&lt;&gt;"""", SPLIT(Account!$F635, "" ""), """")"),"")</f>
        <v/>
      </c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</row>
    <row r="636">
      <c r="A636" s="341"/>
      <c r="B636" s="341"/>
      <c r="C636" s="341"/>
      <c r="D636" s="341"/>
      <c r="E636" s="341"/>
      <c r="F636" s="373"/>
      <c r="G636" s="341"/>
      <c r="H636" s="341"/>
      <c r="I636" s="341"/>
      <c r="J636" s="341"/>
      <c r="K636" s="341"/>
      <c r="L636" s="26" t="str">
        <f t="shared" si="1"/>
        <v/>
      </c>
      <c r="M636" s="28" t="str">
        <f>IFERROR(__xludf.DUMMYFUNCTION("IF(Account!$F636&lt;&gt;"""", VALUE(REGEXREPLACE($I636, ""\,"", ""."")), """")"),"")</f>
        <v/>
      </c>
      <c r="N636" s="31" t="str">
        <f>IF(Account!$F636&lt;&gt;"", DATEVALUE(MID($A636,4,3) &amp; LEFT($A636,3) &amp; RIGHT($A636,4)) + TIMEVALUE($B636), "")</f>
        <v/>
      </c>
      <c r="O636" s="33" t="str">
        <f>IF(Account!$F636&lt;&gt;"", DATEVALUE(MID($A636,4,3) &amp; LEFT($A636,3) &amp; RIGHT($A636,4)), "")</f>
        <v/>
      </c>
      <c r="P636" s="34" t="str">
        <f>IFERROR(VLOOKUP($Q636,Selection!$F:$G,2,false))</f>
        <v/>
      </c>
      <c r="Q636" s="36" t="str">
        <f>IF(AND($X636="change",$H636="EUR"),IF(AND($Z636="Crédit",$N636=$N637),$Q637,IF(AND($Z636="Débit",$N636=$N635),$Q635)),IF(OR(AND(OR($E636&lt;&gt;"",$L636=""),$M636&lt;&gt;0),$A636=""),IFERROR(VLOOKUP($E636,Selection!$E:$F,2,false)),IFERROR(VLOOKUP(SUBSTITUTE($I636,"-","",1),$K637:$Q1119,7,false),VLOOKUP($K636,$K637:$Q1119,7,false))))</f>
        <v/>
      </c>
      <c r="R636" s="34" t="str">
        <f t="shared" si="2"/>
        <v/>
      </c>
      <c r="S636" s="37" t="str">
        <f t="shared" si="3"/>
        <v/>
      </c>
      <c r="T636" s="38" t="str">
        <f t="shared" si="4"/>
        <v/>
      </c>
      <c r="U636" s="28" t="str">
        <f t="shared" si="5"/>
        <v/>
      </c>
      <c r="V636" s="39" t="str">
        <f>IFERROR(__xludf.DUMMYFUNCTION(" IF(Account!$F636&lt;&gt;"""", SPLIT(Account!$F636, "" ""), """")"),"")</f>
        <v/>
      </c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</row>
    <row r="637">
      <c r="A637" s="341"/>
      <c r="B637" s="341"/>
      <c r="C637" s="341"/>
      <c r="D637" s="341"/>
      <c r="E637" s="341"/>
      <c r="F637" s="373"/>
      <c r="G637" s="341"/>
      <c r="H637" s="341"/>
      <c r="I637" s="341"/>
      <c r="J637" s="341"/>
      <c r="K637" s="341"/>
      <c r="L637" s="26" t="str">
        <f t="shared" si="1"/>
        <v/>
      </c>
      <c r="M637" s="28" t="str">
        <f>IFERROR(__xludf.DUMMYFUNCTION("IF(Account!$F637&lt;&gt;"""", VALUE(REGEXREPLACE($I637, ""\,"", ""."")), """")"),"")</f>
        <v/>
      </c>
      <c r="N637" s="31" t="str">
        <f>IF(Account!$F637&lt;&gt;"", DATEVALUE(MID($A637,4,3) &amp; LEFT($A637,3) &amp; RIGHT($A637,4)) + TIMEVALUE($B637), "")</f>
        <v/>
      </c>
      <c r="O637" s="33" t="str">
        <f>IF(Account!$F637&lt;&gt;"", DATEVALUE(MID($A637,4,3) &amp; LEFT($A637,3) &amp; RIGHT($A637,4)), "")</f>
        <v/>
      </c>
      <c r="P637" s="34" t="str">
        <f>IFERROR(VLOOKUP($Q637,Selection!$F:$G,2,false))</f>
        <v/>
      </c>
      <c r="Q637" s="36" t="str">
        <f>IF(AND($X637="change",$H637="EUR"),IF(AND($Z637="Crédit",$N637=$N638),$Q638,IF(AND($Z637="Débit",$N637=$N636),$Q636)),IF(OR(AND(OR($E637&lt;&gt;"",$L637=""),$M637&lt;&gt;0),$A637=""),IFERROR(VLOOKUP($E637,Selection!$E:$F,2,false)),IFERROR(VLOOKUP(SUBSTITUTE($I637,"-","",1),$K638:$Q1119,7,false),VLOOKUP($K637,$K638:$Q1119,7,false))))</f>
        <v/>
      </c>
      <c r="R637" s="34" t="str">
        <f t="shared" si="2"/>
        <v/>
      </c>
      <c r="S637" s="37" t="str">
        <f t="shared" si="3"/>
        <v/>
      </c>
      <c r="T637" s="38" t="str">
        <f t="shared" si="4"/>
        <v/>
      </c>
      <c r="U637" s="28" t="str">
        <f t="shared" si="5"/>
        <v/>
      </c>
      <c r="V637" s="39" t="str">
        <f>IFERROR(__xludf.DUMMYFUNCTION(" IF(Account!$F637&lt;&gt;"""", SPLIT(Account!$F637, "" ""), """")"),"")</f>
        <v/>
      </c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</row>
    <row r="638">
      <c r="A638" s="341"/>
      <c r="B638" s="341"/>
      <c r="C638" s="341"/>
      <c r="D638" s="341"/>
      <c r="E638" s="341"/>
      <c r="F638" s="373"/>
      <c r="G638" s="341"/>
      <c r="H638" s="341"/>
      <c r="I638" s="341"/>
      <c r="J638" s="341"/>
      <c r="K638" s="341"/>
      <c r="L638" s="26" t="str">
        <f t="shared" si="1"/>
        <v/>
      </c>
      <c r="M638" s="28" t="str">
        <f>IFERROR(__xludf.DUMMYFUNCTION("IF(Account!$F638&lt;&gt;"""", VALUE(REGEXREPLACE($I638, ""\,"", ""."")), """")"),"")</f>
        <v/>
      </c>
      <c r="N638" s="31" t="str">
        <f>IF(Account!$F638&lt;&gt;"", DATEVALUE(MID($A638,4,3) &amp; LEFT($A638,3) &amp; RIGHT($A638,4)) + TIMEVALUE($B638), "")</f>
        <v/>
      </c>
      <c r="O638" s="33" t="str">
        <f>IF(Account!$F638&lt;&gt;"", DATEVALUE(MID($A638,4,3) &amp; LEFT($A638,3) &amp; RIGHT($A638,4)), "")</f>
        <v/>
      </c>
      <c r="P638" s="34" t="str">
        <f>IFERROR(VLOOKUP($Q638,Selection!$F:$G,2,false))</f>
        <v/>
      </c>
      <c r="Q638" s="36" t="str">
        <f>IF(AND($X638="change",$H638="EUR"),IF(AND($Z638="Crédit",$N638=$N639),$Q639,IF(AND($Z638="Débit",$N638=$N637),$Q637)),IF(OR(AND(OR($E638&lt;&gt;"",$L638=""),$M638&lt;&gt;0),$A638=""),IFERROR(VLOOKUP($E638,Selection!$E:$F,2,false)),IFERROR(VLOOKUP(SUBSTITUTE($I638,"-","",1),$K639:$Q1119,7,false),VLOOKUP($K638,$K639:$Q1119,7,false))))</f>
        <v/>
      </c>
      <c r="R638" s="34" t="str">
        <f t="shared" si="2"/>
        <v/>
      </c>
      <c r="S638" s="37" t="str">
        <f t="shared" si="3"/>
        <v/>
      </c>
      <c r="T638" s="38" t="str">
        <f t="shared" si="4"/>
        <v/>
      </c>
      <c r="U638" s="28" t="str">
        <f t="shared" si="5"/>
        <v/>
      </c>
      <c r="V638" s="39" t="str">
        <f>IFERROR(__xludf.DUMMYFUNCTION(" IF(Account!$F638&lt;&gt;"""", SPLIT(Account!$F638, "" ""), """")"),"")</f>
        <v/>
      </c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</row>
    <row r="639">
      <c r="A639" s="341"/>
      <c r="B639" s="341"/>
      <c r="C639" s="341"/>
      <c r="D639" s="341"/>
      <c r="E639" s="341"/>
      <c r="F639" s="373"/>
      <c r="G639" s="341"/>
      <c r="H639" s="341"/>
      <c r="I639" s="341"/>
      <c r="J639" s="341"/>
      <c r="K639" s="341"/>
      <c r="L639" s="26" t="str">
        <f t="shared" si="1"/>
        <v/>
      </c>
      <c r="M639" s="28" t="str">
        <f>IFERROR(__xludf.DUMMYFUNCTION("IF(Account!$F639&lt;&gt;"""", VALUE(REGEXREPLACE($I639, ""\,"", ""."")), """")"),"")</f>
        <v/>
      </c>
      <c r="N639" s="31" t="str">
        <f>IF(Account!$F639&lt;&gt;"", DATEVALUE(MID($A639,4,3) &amp; LEFT($A639,3) &amp; RIGHT($A639,4)) + TIMEVALUE($B639), "")</f>
        <v/>
      </c>
      <c r="O639" s="33" t="str">
        <f>IF(Account!$F639&lt;&gt;"", DATEVALUE(MID($A639,4,3) &amp; LEFT($A639,3) &amp; RIGHT($A639,4)), "")</f>
        <v/>
      </c>
      <c r="P639" s="34" t="str">
        <f>IFERROR(VLOOKUP($Q639,Selection!$F:$G,2,false))</f>
        <v/>
      </c>
      <c r="Q639" s="36" t="str">
        <f>IF(AND($X639="change",$H639="EUR"),IF(AND($Z639="Crédit",$N639=$N640),$Q640,IF(AND($Z639="Débit",$N639=$N638),$Q638)),IF(OR(AND(OR($E639&lt;&gt;"",$L639=""),$M639&lt;&gt;0),$A639=""),IFERROR(VLOOKUP($E639,Selection!$E:$F,2,false)),IFERROR(VLOOKUP(SUBSTITUTE($I639,"-","",1),$K640:$Q1119,7,false),VLOOKUP($K639,$K640:$Q1119,7,false))))</f>
        <v/>
      </c>
      <c r="R639" s="34" t="str">
        <f t="shared" si="2"/>
        <v/>
      </c>
      <c r="S639" s="37" t="str">
        <f t="shared" si="3"/>
        <v/>
      </c>
      <c r="T639" s="38" t="str">
        <f t="shared" si="4"/>
        <v/>
      </c>
      <c r="U639" s="28" t="str">
        <f t="shared" si="5"/>
        <v/>
      </c>
      <c r="V639" s="39" t="str">
        <f>IFERROR(__xludf.DUMMYFUNCTION(" IF(Account!$F639&lt;&gt;"""", SPLIT(Account!$F639, "" ""), """")"),"")</f>
        <v/>
      </c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</row>
    <row r="640">
      <c r="A640" s="341"/>
      <c r="B640" s="341"/>
      <c r="C640" s="341"/>
      <c r="D640" s="341"/>
      <c r="E640" s="341"/>
      <c r="F640" s="373"/>
      <c r="G640" s="341"/>
      <c r="H640" s="341"/>
      <c r="I640" s="341"/>
      <c r="J640" s="341"/>
      <c r="K640" s="341"/>
      <c r="L640" s="26" t="str">
        <f t="shared" si="1"/>
        <v/>
      </c>
      <c r="M640" s="28" t="str">
        <f>IFERROR(__xludf.DUMMYFUNCTION("IF(Account!$F640&lt;&gt;"""", VALUE(REGEXREPLACE($I640, ""\,"", ""."")), """")"),"")</f>
        <v/>
      </c>
      <c r="N640" s="31" t="str">
        <f>IF(Account!$F640&lt;&gt;"", DATEVALUE(MID($A640,4,3) &amp; LEFT($A640,3) &amp; RIGHT($A640,4)) + TIMEVALUE($B640), "")</f>
        <v/>
      </c>
      <c r="O640" s="33" t="str">
        <f>IF(Account!$F640&lt;&gt;"", DATEVALUE(MID($A640,4,3) &amp; LEFT($A640,3) &amp; RIGHT($A640,4)), "")</f>
        <v/>
      </c>
      <c r="P640" s="34" t="str">
        <f>IFERROR(VLOOKUP($Q640,Selection!$F:$G,2,false))</f>
        <v/>
      </c>
      <c r="Q640" s="36" t="str">
        <f>IF(AND($X640="change",$H640="EUR"),IF(AND($Z640="Crédit",$N640=$N641),$Q641,IF(AND($Z640="Débit",$N640=$N639),$Q639)),IF(OR(AND(OR($E640&lt;&gt;"",$L640=""),$M640&lt;&gt;0),$A640=""),IFERROR(VLOOKUP($E640,Selection!$E:$F,2,false)),IFERROR(VLOOKUP(SUBSTITUTE($I640,"-","",1),$K641:$Q1119,7,false),VLOOKUP($K640,$K641:$Q1119,7,false))))</f>
        <v/>
      </c>
      <c r="R640" s="34" t="str">
        <f t="shared" si="2"/>
        <v/>
      </c>
      <c r="S640" s="37" t="str">
        <f t="shared" si="3"/>
        <v/>
      </c>
      <c r="T640" s="38" t="str">
        <f t="shared" si="4"/>
        <v/>
      </c>
      <c r="U640" s="28" t="str">
        <f t="shared" si="5"/>
        <v/>
      </c>
      <c r="V640" s="39" t="str">
        <f>IFERROR(__xludf.DUMMYFUNCTION(" IF(Account!$F640&lt;&gt;"""", SPLIT(Account!$F640, "" ""), """")"),"")</f>
        <v/>
      </c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</row>
    <row r="641">
      <c r="A641" s="341"/>
      <c r="B641" s="341"/>
      <c r="C641" s="341"/>
      <c r="D641" s="341"/>
      <c r="E641" s="341"/>
      <c r="F641" s="373"/>
      <c r="G641" s="341"/>
      <c r="H641" s="341"/>
      <c r="I641" s="341"/>
      <c r="J641" s="341"/>
      <c r="K641" s="341"/>
      <c r="L641" s="26" t="str">
        <f t="shared" si="1"/>
        <v/>
      </c>
      <c r="M641" s="28" t="str">
        <f>IFERROR(__xludf.DUMMYFUNCTION("IF(Account!$F641&lt;&gt;"""", VALUE(REGEXREPLACE($I641, ""\,"", ""."")), """")"),"")</f>
        <v/>
      </c>
      <c r="N641" s="31" t="str">
        <f>IF(Account!$F641&lt;&gt;"", DATEVALUE(MID($A641,4,3) &amp; LEFT($A641,3) &amp; RIGHT($A641,4)) + TIMEVALUE($B641), "")</f>
        <v/>
      </c>
      <c r="O641" s="33" t="str">
        <f>IF(Account!$F641&lt;&gt;"", DATEVALUE(MID($A641,4,3) &amp; LEFT($A641,3) &amp; RIGHT($A641,4)), "")</f>
        <v/>
      </c>
      <c r="P641" s="34" t="str">
        <f>IFERROR(VLOOKUP($Q641,Selection!$F:$G,2,false))</f>
        <v/>
      </c>
      <c r="Q641" s="36" t="str">
        <f>IF(AND($X641="change",$H641="EUR"),IF(AND($Z641="Crédit",$N641=$N642),$Q642,IF(AND($Z641="Débit",$N641=$N640),$Q640)),IF(OR(AND(OR($E641&lt;&gt;"",$L641=""),$M641&lt;&gt;0),$A641=""),IFERROR(VLOOKUP($E641,Selection!$E:$F,2,false)),IFERROR(VLOOKUP(SUBSTITUTE($I641,"-","",1),$K642:$Q1119,7,false),VLOOKUP($K641,$K642:$Q1119,7,false))))</f>
        <v/>
      </c>
      <c r="R641" s="34" t="str">
        <f t="shared" si="2"/>
        <v/>
      </c>
      <c r="S641" s="37" t="str">
        <f t="shared" si="3"/>
        <v/>
      </c>
      <c r="T641" s="38" t="str">
        <f t="shared" si="4"/>
        <v/>
      </c>
      <c r="U641" s="28" t="str">
        <f t="shared" si="5"/>
        <v/>
      </c>
      <c r="V641" s="39" t="str">
        <f>IFERROR(__xludf.DUMMYFUNCTION(" IF(Account!$F641&lt;&gt;"""", SPLIT(Account!$F641, "" ""), """")"),"")</f>
        <v/>
      </c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</row>
    <row r="642">
      <c r="A642" s="341"/>
      <c r="B642" s="341"/>
      <c r="C642" s="341"/>
      <c r="D642" s="341"/>
      <c r="E642" s="341"/>
      <c r="F642" s="373"/>
      <c r="G642" s="341"/>
      <c r="H642" s="341"/>
      <c r="I642" s="341"/>
      <c r="J642" s="341"/>
      <c r="K642" s="341"/>
      <c r="L642" s="26" t="str">
        <f t="shared" si="1"/>
        <v/>
      </c>
      <c r="M642" s="28" t="str">
        <f>IFERROR(__xludf.DUMMYFUNCTION("IF(Account!$F642&lt;&gt;"""", VALUE(REGEXREPLACE($I642, ""\,"", ""."")), """")"),"")</f>
        <v/>
      </c>
      <c r="N642" s="31" t="str">
        <f>IF(Account!$F642&lt;&gt;"", DATEVALUE(MID($A642,4,3) &amp; LEFT($A642,3) &amp; RIGHT($A642,4)) + TIMEVALUE($B642), "")</f>
        <v/>
      </c>
      <c r="O642" s="33" t="str">
        <f>IF(Account!$F642&lt;&gt;"", DATEVALUE(MID($A642,4,3) &amp; LEFT($A642,3) &amp; RIGHT($A642,4)), "")</f>
        <v/>
      </c>
      <c r="P642" s="34" t="str">
        <f>IFERROR(VLOOKUP($Q642,Selection!$F:$G,2,false))</f>
        <v/>
      </c>
      <c r="Q642" s="36" t="str">
        <f>IF(AND($X642="change",$H642="EUR"),IF(AND($Z642="Crédit",$N642=$N643),$Q643,IF(AND($Z642="Débit",$N642=$N641),$Q641)),IF(OR(AND(OR($E642&lt;&gt;"",$L642=""),$M642&lt;&gt;0),$A642=""),IFERROR(VLOOKUP($E642,Selection!$E:$F,2,false)),IFERROR(VLOOKUP(SUBSTITUTE($I642,"-","",1),$K643:$Q1119,7,false),VLOOKUP($K642,$K643:$Q1119,7,false))))</f>
        <v/>
      </c>
      <c r="R642" s="34" t="str">
        <f t="shared" si="2"/>
        <v/>
      </c>
      <c r="S642" s="37" t="str">
        <f t="shared" si="3"/>
        <v/>
      </c>
      <c r="T642" s="38" t="str">
        <f t="shared" si="4"/>
        <v/>
      </c>
      <c r="U642" s="28" t="str">
        <f t="shared" si="5"/>
        <v/>
      </c>
      <c r="V642" s="39" t="str">
        <f>IFERROR(__xludf.DUMMYFUNCTION(" IF(Account!$F642&lt;&gt;"""", SPLIT(Account!$F642, "" ""), """")"),"")</f>
        <v/>
      </c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</row>
    <row r="643">
      <c r="A643" s="341"/>
      <c r="B643" s="341"/>
      <c r="C643" s="341"/>
      <c r="D643" s="341"/>
      <c r="E643" s="341"/>
      <c r="F643" s="373"/>
      <c r="G643" s="341"/>
      <c r="H643" s="341"/>
      <c r="I643" s="341"/>
      <c r="J643" s="341"/>
      <c r="K643" s="341"/>
      <c r="L643" s="26" t="str">
        <f t="shared" si="1"/>
        <v/>
      </c>
      <c r="M643" s="28" t="str">
        <f>IFERROR(__xludf.DUMMYFUNCTION("IF(Account!$F643&lt;&gt;"""", VALUE(REGEXREPLACE($I643, ""\,"", ""."")), """")"),"")</f>
        <v/>
      </c>
      <c r="N643" s="31" t="str">
        <f>IF(Account!$F643&lt;&gt;"", DATEVALUE(MID($A643,4,3) &amp; LEFT($A643,3) &amp; RIGHT($A643,4)) + TIMEVALUE($B643), "")</f>
        <v/>
      </c>
      <c r="O643" s="33" t="str">
        <f>IF(Account!$F643&lt;&gt;"", DATEVALUE(MID($A643,4,3) &amp; LEFT($A643,3) &amp; RIGHT($A643,4)), "")</f>
        <v/>
      </c>
      <c r="P643" s="34" t="str">
        <f>IFERROR(VLOOKUP($Q643,Selection!$F:$G,2,false))</f>
        <v/>
      </c>
      <c r="Q643" s="36" t="str">
        <f>IF(AND($X643="change",$H643="EUR"),IF(AND($Z643="Crédit",$N643=$N644),$Q644,IF(AND($Z643="Débit",$N643=$N642),$Q642)),IF(OR(AND(OR($E643&lt;&gt;"",$L643=""),$M643&lt;&gt;0),$A643=""),IFERROR(VLOOKUP($E643,Selection!$E:$F,2,false)),IFERROR(VLOOKUP(SUBSTITUTE($I643,"-","",1),$K644:$Q1119,7,false),VLOOKUP($K643,$K644:$Q1119,7,false))))</f>
        <v/>
      </c>
      <c r="R643" s="34" t="str">
        <f t="shared" si="2"/>
        <v/>
      </c>
      <c r="S643" s="37" t="str">
        <f t="shared" si="3"/>
        <v/>
      </c>
      <c r="T643" s="38" t="str">
        <f t="shared" si="4"/>
        <v/>
      </c>
      <c r="U643" s="28" t="str">
        <f t="shared" si="5"/>
        <v/>
      </c>
      <c r="V643" s="39" t="str">
        <f>IFERROR(__xludf.DUMMYFUNCTION(" IF(Account!$F643&lt;&gt;"""", SPLIT(Account!$F643, "" ""), """")"),"")</f>
        <v/>
      </c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</row>
    <row r="644">
      <c r="A644" s="341"/>
      <c r="B644" s="341"/>
      <c r="C644" s="341"/>
      <c r="D644" s="341"/>
      <c r="E644" s="341"/>
      <c r="F644" s="373"/>
      <c r="G644" s="341"/>
      <c r="H644" s="341"/>
      <c r="I644" s="341"/>
      <c r="J644" s="341"/>
      <c r="K644" s="341"/>
      <c r="L644" s="26" t="str">
        <f t="shared" si="1"/>
        <v/>
      </c>
      <c r="M644" s="28" t="str">
        <f>IFERROR(__xludf.DUMMYFUNCTION("IF(Account!$F644&lt;&gt;"""", VALUE(REGEXREPLACE($I644, ""\,"", ""."")), """")"),"")</f>
        <v/>
      </c>
      <c r="N644" s="31" t="str">
        <f>IF(Account!$F644&lt;&gt;"", DATEVALUE(MID($A644,4,3) &amp; LEFT($A644,3) &amp; RIGHT($A644,4)) + TIMEVALUE($B644), "")</f>
        <v/>
      </c>
      <c r="O644" s="33" t="str">
        <f>IF(Account!$F644&lt;&gt;"", DATEVALUE(MID($A644,4,3) &amp; LEFT($A644,3) &amp; RIGHT($A644,4)), "")</f>
        <v/>
      </c>
      <c r="P644" s="34" t="str">
        <f>IFERROR(VLOOKUP($Q644,Selection!$F:$G,2,false))</f>
        <v/>
      </c>
      <c r="Q644" s="36" t="str">
        <f>IF(AND($X644="change",$H644="EUR"),IF(AND($Z644="Crédit",$N644=$N645),$Q645,IF(AND($Z644="Débit",$N644=$N643),$Q643)),IF(OR(AND(OR($E644&lt;&gt;"",$L644=""),$M644&lt;&gt;0),$A644=""),IFERROR(VLOOKUP($E644,Selection!$E:$F,2,false)),IFERROR(VLOOKUP(SUBSTITUTE($I644,"-","",1),$K645:$Q1119,7,false),VLOOKUP($K644,$K645:$Q1119,7,false))))</f>
        <v/>
      </c>
      <c r="R644" s="34" t="str">
        <f t="shared" si="2"/>
        <v/>
      </c>
      <c r="S644" s="37" t="str">
        <f t="shared" si="3"/>
        <v/>
      </c>
      <c r="T644" s="38" t="str">
        <f t="shared" si="4"/>
        <v/>
      </c>
      <c r="U644" s="28" t="str">
        <f t="shared" si="5"/>
        <v/>
      </c>
      <c r="V644" s="39" t="str">
        <f>IFERROR(__xludf.DUMMYFUNCTION(" IF(Account!$F644&lt;&gt;"""", SPLIT(Account!$F644, "" ""), """")"),"")</f>
        <v/>
      </c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</row>
    <row r="645">
      <c r="A645" s="341"/>
      <c r="B645" s="341"/>
      <c r="C645" s="341"/>
      <c r="D645" s="341"/>
      <c r="E645" s="341"/>
      <c r="F645" s="373"/>
      <c r="G645" s="341"/>
      <c r="H645" s="341"/>
      <c r="I645" s="341"/>
      <c r="J645" s="341"/>
      <c r="K645" s="341"/>
      <c r="L645" s="26" t="str">
        <f t="shared" si="1"/>
        <v/>
      </c>
      <c r="M645" s="28" t="str">
        <f>IFERROR(__xludf.DUMMYFUNCTION("IF(Account!$F645&lt;&gt;"""", VALUE(REGEXREPLACE($I645, ""\,"", ""."")), """")"),"")</f>
        <v/>
      </c>
      <c r="N645" s="31" t="str">
        <f>IF(Account!$F645&lt;&gt;"", DATEVALUE(MID($A645,4,3) &amp; LEFT($A645,3) &amp; RIGHT($A645,4)) + TIMEVALUE($B645), "")</f>
        <v/>
      </c>
      <c r="O645" s="33" t="str">
        <f>IF(Account!$F645&lt;&gt;"", DATEVALUE(MID($A645,4,3) &amp; LEFT($A645,3) &amp; RIGHT($A645,4)), "")</f>
        <v/>
      </c>
      <c r="P645" s="34" t="str">
        <f>IFERROR(VLOOKUP($Q645,Selection!$F:$G,2,false))</f>
        <v/>
      </c>
      <c r="Q645" s="36" t="str">
        <f>IF(AND($X645="change",$H645="EUR"),IF(AND($Z645="Crédit",$N645=$N646),$Q646,IF(AND($Z645="Débit",$N645=$N644),$Q644)),IF(OR(AND(OR($E645&lt;&gt;"",$L645=""),$M645&lt;&gt;0),$A645=""),IFERROR(VLOOKUP($E645,Selection!$E:$F,2,false)),IFERROR(VLOOKUP(SUBSTITUTE($I645,"-","",1),$K646:$Q1119,7,false),VLOOKUP($K645,$K646:$Q1119,7,false))))</f>
        <v/>
      </c>
      <c r="R645" s="34" t="str">
        <f t="shared" si="2"/>
        <v/>
      </c>
      <c r="S645" s="37" t="str">
        <f t="shared" si="3"/>
        <v/>
      </c>
      <c r="T645" s="38" t="str">
        <f t="shared" si="4"/>
        <v/>
      </c>
      <c r="U645" s="28" t="str">
        <f t="shared" si="5"/>
        <v/>
      </c>
      <c r="V645" s="39" t="str">
        <f>IFERROR(__xludf.DUMMYFUNCTION(" IF(Account!$F645&lt;&gt;"""", SPLIT(Account!$F645, "" ""), """")"),"")</f>
        <v/>
      </c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</row>
    <row r="646">
      <c r="A646" s="341"/>
      <c r="B646" s="341"/>
      <c r="C646" s="341"/>
      <c r="D646" s="341"/>
      <c r="E646" s="341"/>
      <c r="F646" s="373"/>
      <c r="G646" s="341"/>
      <c r="H646" s="341"/>
      <c r="I646" s="341"/>
      <c r="J646" s="341"/>
      <c r="K646" s="341"/>
      <c r="L646" s="26" t="str">
        <f t="shared" si="1"/>
        <v/>
      </c>
      <c r="M646" s="28" t="str">
        <f>IFERROR(__xludf.DUMMYFUNCTION("IF(Account!$F646&lt;&gt;"""", VALUE(REGEXREPLACE($I646, ""\,"", ""."")), """")"),"")</f>
        <v/>
      </c>
      <c r="N646" s="31" t="str">
        <f>IF(Account!$F646&lt;&gt;"", DATEVALUE(MID($A646,4,3) &amp; LEFT($A646,3) &amp; RIGHT($A646,4)) + TIMEVALUE($B646), "")</f>
        <v/>
      </c>
      <c r="O646" s="33" t="str">
        <f>IF(Account!$F646&lt;&gt;"", DATEVALUE(MID($A646,4,3) &amp; LEFT($A646,3) &amp; RIGHT($A646,4)), "")</f>
        <v/>
      </c>
      <c r="P646" s="34" t="str">
        <f>IFERROR(VLOOKUP($Q646,Selection!$F:$G,2,false))</f>
        <v/>
      </c>
      <c r="Q646" s="36" t="str">
        <f>IF(AND($X646="change",$H646="EUR"),IF(AND($Z646="Crédit",$N646=$N647),$Q647,IF(AND($Z646="Débit",$N646=$N645),$Q645)),IF(OR(AND(OR($E646&lt;&gt;"",$L646=""),$M646&lt;&gt;0),$A646=""),IFERROR(VLOOKUP($E646,Selection!$E:$F,2,false)),IFERROR(VLOOKUP(SUBSTITUTE($I646,"-","",1),$K647:$Q1119,7,false),VLOOKUP($K646,$K647:$Q1119,7,false))))</f>
        <v/>
      </c>
      <c r="R646" s="34" t="str">
        <f t="shared" si="2"/>
        <v/>
      </c>
      <c r="S646" s="37" t="str">
        <f t="shared" si="3"/>
        <v/>
      </c>
      <c r="T646" s="38" t="str">
        <f t="shared" si="4"/>
        <v/>
      </c>
      <c r="U646" s="28" t="str">
        <f t="shared" si="5"/>
        <v/>
      </c>
      <c r="V646" s="39" t="str">
        <f>IFERROR(__xludf.DUMMYFUNCTION(" IF(Account!$F646&lt;&gt;"""", SPLIT(Account!$F646, "" ""), """")"),"")</f>
        <v/>
      </c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</row>
    <row r="647">
      <c r="A647" s="341"/>
      <c r="B647" s="341"/>
      <c r="C647" s="341"/>
      <c r="D647" s="341"/>
      <c r="E647" s="341"/>
      <c r="F647" s="373"/>
      <c r="G647" s="341"/>
      <c r="H647" s="341"/>
      <c r="I647" s="341"/>
      <c r="J647" s="341"/>
      <c r="K647" s="341"/>
      <c r="L647" s="26" t="str">
        <f t="shared" si="1"/>
        <v/>
      </c>
      <c r="M647" s="28" t="str">
        <f>IFERROR(__xludf.DUMMYFUNCTION("IF(Account!$F647&lt;&gt;"""", VALUE(REGEXREPLACE($I647, ""\,"", ""."")), """")"),"")</f>
        <v/>
      </c>
      <c r="N647" s="31" t="str">
        <f>IF(Account!$F647&lt;&gt;"", DATEVALUE(MID($A647,4,3) &amp; LEFT($A647,3) &amp; RIGHT($A647,4)) + TIMEVALUE($B647), "")</f>
        <v/>
      </c>
      <c r="O647" s="33" t="str">
        <f>IF(Account!$F647&lt;&gt;"", DATEVALUE(MID($A647,4,3) &amp; LEFT($A647,3) &amp; RIGHT($A647,4)), "")</f>
        <v/>
      </c>
      <c r="P647" s="34" t="str">
        <f>IFERROR(VLOOKUP($Q647,Selection!$F:$G,2,false))</f>
        <v/>
      </c>
      <c r="Q647" s="36" t="str">
        <f>IF(AND($X647="change",$H647="EUR"),IF(AND($Z647="Crédit",$N647=$N648),$Q648,IF(AND($Z647="Débit",$N647=$N646),$Q646)),IF(OR(AND(OR($E647&lt;&gt;"",$L647=""),$M647&lt;&gt;0),$A647=""),IFERROR(VLOOKUP($E647,Selection!$E:$F,2,false)),IFERROR(VLOOKUP(SUBSTITUTE($I647,"-","",1),$K648:$Q1119,7,false),VLOOKUP($K647,$K648:$Q1119,7,false))))</f>
        <v/>
      </c>
      <c r="R647" s="34" t="str">
        <f t="shared" si="2"/>
        <v/>
      </c>
      <c r="S647" s="37" t="str">
        <f t="shared" si="3"/>
        <v/>
      </c>
      <c r="T647" s="38" t="str">
        <f t="shared" si="4"/>
        <v/>
      </c>
      <c r="U647" s="28" t="str">
        <f t="shared" si="5"/>
        <v/>
      </c>
      <c r="V647" s="39" t="str">
        <f>IFERROR(__xludf.DUMMYFUNCTION(" IF(Account!$F647&lt;&gt;"""", SPLIT(Account!$F647, "" ""), """")"),"")</f>
        <v/>
      </c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</row>
    <row r="648">
      <c r="A648" s="341"/>
      <c r="B648" s="341"/>
      <c r="C648" s="341"/>
      <c r="D648" s="341"/>
      <c r="E648" s="341"/>
      <c r="F648" s="373"/>
      <c r="G648" s="341"/>
      <c r="H648" s="341"/>
      <c r="I648" s="341"/>
      <c r="J648" s="341"/>
      <c r="K648" s="341"/>
      <c r="L648" s="26" t="str">
        <f t="shared" si="1"/>
        <v/>
      </c>
      <c r="M648" s="28" t="str">
        <f>IFERROR(__xludf.DUMMYFUNCTION("IF(Account!$F648&lt;&gt;"""", VALUE(REGEXREPLACE($I648, ""\,"", ""."")), """")"),"")</f>
        <v/>
      </c>
      <c r="N648" s="31" t="str">
        <f>IF(Account!$F648&lt;&gt;"", DATEVALUE(MID($A648,4,3) &amp; LEFT($A648,3) &amp; RIGHT($A648,4)) + TIMEVALUE($B648), "")</f>
        <v/>
      </c>
      <c r="O648" s="33" t="str">
        <f>IF(Account!$F648&lt;&gt;"", DATEVALUE(MID($A648,4,3) &amp; LEFT($A648,3) &amp; RIGHT($A648,4)), "")</f>
        <v/>
      </c>
      <c r="P648" s="34" t="str">
        <f>IFERROR(VLOOKUP($Q648,Selection!$F:$G,2,false))</f>
        <v/>
      </c>
      <c r="Q648" s="36" t="str">
        <f>IF(AND($X648="change",$H648="EUR"),IF(AND($Z648="Crédit",$N648=$N649),$Q649,IF(AND($Z648="Débit",$N648=$N647),$Q647)),IF(OR(AND(OR($E648&lt;&gt;"",$L648=""),$M648&lt;&gt;0),$A648=""),IFERROR(VLOOKUP($E648,Selection!$E:$F,2,false)),IFERROR(VLOOKUP(SUBSTITUTE($I648,"-","",1),$K649:$Q1119,7,false),VLOOKUP($K648,$K649:$Q1119,7,false))))</f>
        <v/>
      </c>
      <c r="R648" s="34" t="str">
        <f t="shared" si="2"/>
        <v/>
      </c>
      <c r="S648" s="37" t="str">
        <f t="shared" si="3"/>
        <v/>
      </c>
      <c r="T648" s="38" t="str">
        <f t="shared" si="4"/>
        <v/>
      </c>
      <c r="U648" s="28" t="str">
        <f t="shared" si="5"/>
        <v/>
      </c>
      <c r="V648" s="39" t="str">
        <f>IFERROR(__xludf.DUMMYFUNCTION(" IF(Account!$F648&lt;&gt;"""", SPLIT(Account!$F648, "" ""), """")"),"")</f>
        <v/>
      </c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</row>
    <row r="649">
      <c r="A649" s="341"/>
      <c r="B649" s="341"/>
      <c r="C649" s="341"/>
      <c r="D649" s="341"/>
      <c r="E649" s="341"/>
      <c r="F649" s="373"/>
      <c r="G649" s="341"/>
      <c r="H649" s="341"/>
      <c r="I649" s="341"/>
      <c r="J649" s="341"/>
      <c r="K649" s="341"/>
      <c r="L649" s="26" t="str">
        <f t="shared" si="1"/>
        <v/>
      </c>
      <c r="M649" s="28" t="str">
        <f>IFERROR(__xludf.DUMMYFUNCTION("IF(Account!$F649&lt;&gt;"""", VALUE(REGEXREPLACE($I649, ""\,"", ""."")), """")"),"")</f>
        <v/>
      </c>
      <c r="N649" s="31" t="str">
        <f>IF(Account!$F649&lt;&gt;"", DATEVALUE(MID($A649,4,3) &amp; LEFT($A649,3) &amp; RIGHT($A649,4)) + TIMEVALUE($B649), "")</f>
        <v/>
      </c>
      <c r="O649" s="33" t="str">
        <f>IF(Account!$F649&lt;&gt;"", DATEVALUE(MID($A649,4,3) &amp; LEFT($A649,3) &amp; RIGHT($A649,4)), "")</f>
        <v/>
      </c>
      <c r="P649" s="34" t="str">
        <f>IFERROR(VLOOKUP($Q649,Selection!$F:$G,2,false))</f>
        <v/>
      </c>
      <c r="Q649" s="36" t="str">
        <f>IF(AND($X649="change",$H649="EUR"),IF(AND($Z649="Crédit",$N649=$N650),$Q650,IF(AND($Z649="Débit",$N649=$N648),$Q648)),IF(OR(AND(OR($E649&lt;&gt;"",$L649=""),$M649&lt;&gt;0),$A649=""),IFERROR(VLOOKUP($E649,Selection!$E:$F,2,false)),IFERROR(VLOOKUP(SUBSTITUTE($I649,"-","",1),$K650:$Q1119,7,false),VLOOKUP($K649,$K650:$Q1119,7,false))))</f>
        <v/>
      </c>
      <c r="R649" s="34" t="str">
        <f t="shared" si="2"/>
        <v/>
      </c>
      <c r="S649" s="37" t="str">
        <f t="shared" si="3"/>
        <v/>
      </c>
      <c r="T649" s="38" t="str">
        <f t="shared" si="4"/>
        <v/>
      </c>
      <c r="U649" s="28" t="str">
        <f t="shared" si="5"/>
        <v/>
      </c>
      <c r="V649" s="39" t="str">
        <f>IFERROR(__xludf.DUMMYFUNCTION(" IF(Account!$F649&lt;&gt;"""", SPLIT(Account!$F649, "" ""), """")"),"")</f>
        <v/>
      </c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</row>
    <row r="650">
      <c r="A650" s="341"/>
      <c r="B650" s="341"/>
      <c r="C650" s="341"/>
      <c r="D650" s="341"/>
      <c r="E650" s="341"/>
      <c r="F650" s="373"/>
      <c r="G650" s="341"/>
      <c r="H650" s="341"/>
      <c r="I650" s="341"/>
      <c r="J650" s="341"/>
      <c r="K650" s="341"/>
      <c r="L650" s="26" t="str">
        <f t="shared" si="1"/>
        <v/>
      </c>
      <c r="M650" s="28" t="str">
        <f>IFERROR(__xludf.DUMMYFUNCTION("IF(Account!$F650&lt;&gt;"""", VALUE(REGEXREPLACE($I650, ""\,"", ""."")), """")"),"")</f>
        <v/>
      </c>
      <c r="N650" s="31" t="str">
        <f>IF(Account!$F650&lt;&gt;"", DATEVALUE(MID($A650,4,3) &amp; LEFT($A650,3) &amp; RIGHT($A650,4)) + TIMEVALUE($B650), "")</f>
        <v/>
      </c>
      <c r="O650" s="33" t="str">
        <f>IF(Account!$F650&lt;&gt;"", DATEVALUE(MID($A650,4,3) &amp; LEFT($A650,3) &amp; RIGHT($A650,4)), "")</f>
        <v/>
      </c>
      <c r="P650" s="34" t="str">
        <f>IFERROR(VLOOKUP($Q650,Selection!$F:$G,2,false))</f>
        <v/>
      </c>
      <c r="Q650" s="36" t="str">
        <f>IF(AND($X650="change",$H650="EUR"),IF(AND($Z650="Crédit",$N650=$N651),$Q651,IF(AND($Z650="Débit",$N650=$N649),$Q649)),IF(OR(AND(OR($E650&lt;&gt;"",$L650=""),$M650&lt;&gt;0),$A650=""),IFERROR(VLOOKUP($E650,Selection!$E:$F,2,false)),IFERROR(VLOOKUP(SUBSTITUTE($I650,"-","",1),$K651:$Q1119,7,false),VLOOKUP($K650,$K651:$Q1119,7,false))))</f>
        <v/>
      </c>
      <c r="R650" s="34" t="str">
        <f t="shared" si="2"/>
        <v/>
      </c>
      <c r="S650" s="37" t="str">
        <f t="shared" si="3"/>
        <v/>
      </c>
      <c r="T650" s="38" t="str">
        <f t="shared" si="4"/>
        <v/>
      </c>
      <c r="U650" s="28" t="str">
        <f t="shared" si="5"/>
        <v/>
      </c>
      <c r="V650" s="39" t="str">
        <f>IFERROR(__xludf.DUMMYFUNCTION(" IF(Account!$F650&lt;&gt;"""", SPLIT(Account!$F650, "" ""), """")"),"")</f>
        <v/>
      </c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</row>
    <row r="651">
      <c r="A651" s="341"/>
      <c r="B651" s="341"/>
      <c r="C651" s="341"/>
      <c r="D651" s="341"/>
      <c r="E651" s="341"/>
      <c r="F651" s="373"/>
      <c r="G651" s="341"/>
      <c r="H651" s="341"/>
      <c r="I651" s="341"/>
      <c r="J651" s="341"/>
      <c r="K651" s="341"/>
      <c r="L651" s="26" t="str">
        <f t="shared" si="1"/>
        <v/>
      </c>
      <c r="M651" s="28" t="str">
        <f>IFERROR(__xludf.DUMMYFUNCTION("IF(Account!$F651&lt;&gt;"""", VALUE(REGEXREPLACE($I651, ""\,"", ""."")), """")"),"")</f>
        <v/>
      </c>
      <c r="N651" s="31" t="str">
        <f>IF(Account!$F651&lt;&gt;"", DATEVALUE(MID($A651,4,3) &amp; LEFT($A651,3) &amp; RIGHT($A651,4)) + TIMEVALUE($B651), "")</f>
        <v/>
      </c>
      <c r="O651" s="33" t="str">
        <f>IF(Account!$F651&lt;&gt;"", DATEVALUE(MID($A651,4,3) &amp; LEFT($A651,3) &amp; RIGHT($A651,4)), "")</f>
        <v/>
      </c>
      <c r="P651" s="34" t="str">
        <f>IFERROR(VLOOKUP($Q651,Selection!$F:$G,2,false))</f>
        <v/>
      </c>
      <c r="Q651" s="36" t="str">
        <f>IF(AND($X651="change",$H651="EUR"),IF(AND($Z651="Crédit",$N651=$N652),$Q652,IF(AND($Z651="Débit",$N651=$N650),$Q650)),IF(OR(AND(OR($E651&lt;&gt;"",$L651=""),$M651&lt;&gt;0),$A651=""),IFERROR(VLOOKUP($E651,Selection!$E:$F,2,false)),IFERROR(VLOOKUP(SUBSTITUTE($I651,"-","",1),$K652:$Q1119,7,false),VLOOKUP($K651,$K652:$Q1119,7,false))))</f>
        <v/>
      </c>
      <c r="R651" s="34" t="str">
        <f t="shared" si="2"/>
        <v/>
      </c>
      <c r="S651" s="37" t="str">
        <f t="shared" si="3"/>
        <v/>
      </c>
      <c r="T651" s="38" t="str">
        <f t="shared" si="4"/>
        <v/>
      </c>
      <c r="U651" s="28" t="str">
        <f t="shared" si="5"/>
        <v/>
      </c>
      <c r="V651" s="39" t="str">
        <f>IFERROR(__xludf.DUMMYFUNCTION(" IF(Account!$F651&lt;&gt;"""", SPLIT(Account!$F651, "" ""), """")"),"")</f>
        <v/>
      </c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</row>
    <row r="652">
      <c r="A652" s="341"/>
      <c r="B652" s="341"/>
      <c r="C652" s="341"/>
      <c r="D652" s="341"/>
      <c r="E652" s="341"/>
      <c r="F652" s="373"/>
      <c r="G652" s="341"/>
      <c r="H652" s="341"/>
      <c r="I652" s="341"/>
      <c r="J652" s="341"/>
      <c r="K652" s="341"/>
      <c r="L652" s="26" t="str">
        <f t="shared" si="1"/>
        <v/>
      </c>
      <c r="M652" s="28" t="str">
        <f>IFERROR(__xludf.DUMMYFUNCTION("IF(Account!$F652&lt;&gt;"""", VALUE(REGEXREPLACE($I652, ""\,"", ""."")), """")"),"")</f>
        <v/>
      </c>
      <c r="N652" s="31" t="str">
        <f>IF(Account!$F652&lt;&gt;"", DATEVALUE(MID($A652,4,3) &amp; LEFT($A652,3) &amp; RIGHT($A652,4)) + TIMEVALUE($B652), "")</f>
        <v/>
      </c>
      <c r="O652" s="33" t="str">
        <f>IF(Account!$F652&lt;&gt;"", DATEVALUE(MID($A652,4,3) &amp; LEFT($A652,3) &amp; RIGHT($A652,4)), "")</f>
        <v/>
      </c>
      <c r="P652" s="34" t="str">
        <f>IFERROR(VLOOKUP($Q652,Selection!$F:$G,2,false))</f>
        <v/>
      </c>
      <c r="Q652" s="36" t="str">
        <f>IF(AND($X652="change",$H652="EUR"),IF(AND($Z652="Crédit",$N652=$N653),$Q653,IF(AND($Z652="Débit",$N652=$N651),$Q651)),IF(OR(AND(OR($E652&lt;&gt;"",$L652=""),$M652&lt;&gt;0),$A652=""),IFERROR(VLOOKUP($E652,Selection!$E:$F,2,false)),IFERROR(VLOOKUP(SUBSTITUTE($I652,"-","",1),$K653:$Q1119,7,false),VLOOKUP($K652,$K653:$Q1119,7,false))))</f>
        <v/>
      </c>
      <c r="R652" s="34" t="str">
        <f t="shared" si="2"/>
        <v/>
      </c>
      <c r="S652" s="37" t="str">
        <f t="shared" si="3"/>
        <v/>
      </c>
      <c r="T652" s="38" t="str">
        <f t="shared" si="4"/>
        <v/>
      </c>
      <c r="U652" s="28" t="str">
        <f t="shared" si="5"/>
        <v/>
      </c>
      <c r="V652" s="39" t="str">
        <f>IFERROR(__xludf.DUMMYFUNCTION(" IF(Account!$F652&lt;&gt;"""", SPLIT(Account!$F652, "" ""), """")"),"")</f>
        <v/>
      </c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</row>
    <row r="653">
      <c r="A653" s="341"/>
      <c r="B653" s="341"/>
      <c r="C653" s="341"/>
      <c r="D653" s="341"/>
      <c r="E653" s="341"/>
      <c r="F653" s="373"/>
      <c r="G653" s="341"/>
      <c r="H653" s="341"/>
      <c r="I653" s="341"/>
      <c r="J653" s="341"/>
      <c r="K653" s="341"/>
      <c r="L653" s="26" t="str">
        <f t="shared" si="1"/>
        <v/>
      </c>
      <c r="M653" s="28" t="str">
        <f>IFERROR(__xludf.DUMMYFUNCTION("IF(Account!$F653&lt;&gt;"""", VALUE(REGEXREPLACE($I653, ""\,"", ""."")), """")"),"")</f>
        <v/>
      </c>
      <c r="N653" s="31" t="str">
        <f>IF(Account!$F653&lt;&gt;"", DATEVALUE(MID($A653,4,3) &amp; LEFT($A653,3) &amp; RIGHT($A653,4)) + TIMEVALUE($B653), "")</f>
        <v/>
      </c>
      <c r="O653" s="33" t="str">
        <f>IF(Account!$F653&lt;&gt;"", DATEVALUE(MID($A653,4,3) &amp; LEFT($A653,3) &amp; RIGHT($A653,4)), "")</f>
        <v/>
      </c>
      <c r="P653" s="34" t="str">
        <f>IFERROR(VLOOKUP($Q653,Selection!$F:$G,2,false))</f>
        <v/>
      </c>
      <c r="Q653" s="36" t="str">
        <f>IF(AND($X653="change",$H653="EUR"),IF(AND($Z653="Crédit",$N653=$N654),$Q654,IF(AND($Z653="Débit",$N653=$N652),$Q652)),IF(OR(AND(OR($E653&lt;&gt;"",$L653=""),$M653&lt;&gt;0),$A653=""),IFERROR(VLOOKUP($E653,Selection!$E:$F,2,false)),IFERROR(VLOOKUP(SUBSTITUTE($I653,"-","",1),$K654:$Q1119,7,false),VLOOKUP($K653,$K654:$Q1119,7,false))))</f>
        <v/>
      </c>
      <c r="R653" s="34" t="str">
        <f t="shared" si="2"/>
        <v/>
      </c>
      <c r="S653" s="37" t="str">
        <f t="shared" si="3"/>
        <v/>
      </c>
      <c r="T653" s="38" t="str">
        <f t="shared" si="4"/>
        <v/>
      </c>
      <c r="U653" s="28" t="str">
        <f t="shared" si="5"/>
        <v/>
      </c>
      <c r="V653" s="39" t="str">
        <f>IFERROR(__xludf.DUMMYFUNCTION(" IF(Account!$F653&lt;&gt;"""", SPLIT(Account!$F653, "" ""), """")"),"")</f>
        <v/>
      </c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</row>
    <row r="654">
      <c r="A654" s="341"/>
      <c r="B654" s="341"/>
      <c r="C654" s="341"/>
      <c r="D654" s="341"/>
      <c r="E654" s="341"/>
      <c r="F654" s="373"/>
      <c r="G654" s="341"/>
      <c r="H654" s="341"/>
      <c r="I654" s="341"/>
      <c r="J654" s="341"/>
      <c r="K654" s="341"/>
      <c r="L654" s="26" t="str">
        <f t="shared" si="1"/>
        <v/>
      </c>
      <c r="M654" s="28" t="str">
        <f>IFERROR(__xludf.DUMMYFUNCTION("IF(Account!$F654&lt;&gt;"""", VALUE(REGEXREPLACE($I654, ""\,"", ""."")), """")"),"")</f>
        <v/>
      </c>
      <c r="N654" s="31" t="str">
        <f>IF(Account!$F654&lt;&gt;"", DATEVALUE(MID($A654,4,3) &amp; LEFT($A654,3) &amp; RIGHT($A654,4)) + TIMEVALUE($B654), "")</f>
        <v/>
      </c>
      <c r="O654" s="33" t="str">
        <f>IF(Account!$F654&lt;&gt;"", DATEVALUE(MID($A654,4,3) &amp; LEFT($A654,3) &amp; RIGHT($A654,4)), "")</f>
        <v/>
      </c>
      <c r="P654" s="34" t="str">
        <f>IFERROR(VLOOKUP($Q654,Selection!$F:$G,2,false))</f>
        <v/>
      </c>
      <c r="Q654" s="36" t="str">
        <f>IF(AND($X654="change",$H654="EUR"),IF(AND($Z654="Crédit",$N654=$N655),$Q655,IF(AND($Z654="Débit",$N654=$N653),$Q653)),IF(OR(AND(OR($E654&lt;&gt;"",$L654=""),$M654&lt;&gt;0),$A654=""),IFERROR(VLOOKUP($E654,Selection!$E:$F,2,false)),IFERROR(VLOOKUP(SUBSTITUTE($I654,"-","",1),$K655:$Q1119,7,false),VLOOKUP($K654,$K655:$Q1119,7,false))))</f>
        <v/>
      </c>
      <c r="R654" s="34" t="str">
        <f t="shared" si="2"/>
        <v/>
      </c>
      <c r="S654" s="37" t="str">
        <f t="shared" si="3"/>
        <v/>
      </c>
      <c r="T654" s="38" t="str">
        <f t="shared" si="4"/>
        <v/>
      </c>
      <c r="U654" s="28" t="str">
        <f t="shared" si="5"/>
        <v/>
      </c>
      <c r="V654" s="39" t="str">
        <f>IFERROR(__xludf.DUMMYFUNCTION(" IF(Account!$F654&lt;&gt;"""", SPLIT(Account!$F654, "" ""), """")"),"")</f>
        <v/>
      </c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</row>
    <row r="655">
      <c r="A655" s="341"/>
      <c r="B655" s="341"/>
      <c r="C655" s="341"/>
      <c r="D655" s="341"/>
      <c r="E655" s="341"/>
      <c r="F655" s="373"/>
      <c r="G655" s="341"/>
      <c r="H655" s="341"/>
      <c r="I655" s="341"/>
      <c r="J655" s="341"/>
      <c r="K655" s="341"/>
      <c r="L655" s="26" t="str">
        <f t="shared" si="1"/>
        <v/>
      </c>
      <c r="M655" s="28" t="str">
        <f>IFERROR(__xludf.DUMMYFUNCTION("IF(Account!$F655&lt;&gt;"""", VALUE(REGEXREPLACE($I655, ""\,"", ""."")), """")"),"")</f>
        <v/>
      </c>
      <c r="N655" s="31" t="str">
        <f>IF(Account!$F655&lt;&gt;"", DATEVALUE(MID($A655,4,3) &amp; LEFT($A655,3) &amp; RIGHT($A655,4)) + TIMEVALUE($B655), "")</f>
        <v/>
      </c>
      <c r="O655" s="33" t="str">
        <f>IF(Account!$F655&lt;&gt;"", DATEVALUE(MID($A655,4,3) &amp; LEFT($A655,3) &amp; RIGHT($A655,4)), "")</f>
        <v/>
      </c>
      <c r="P655" s="34" t="str">
        <f>IFERROR(VLOOKUP($Q655,Selection!$F:$G,2,false))</f>
        <v/>
      </c>
      <c r="Q655" s="36" t="str">
        <f>IF(AND($X655="change",$H655="EUR"),IF(AND($Z655="Crédit",$N655=$N656),$Q656,IF(AND($Z655="Débit",$N655=$N654),$Q654)),IF(OR(AND(OR($E655&lt;&gt;"",$L655=""),$M655&lt;&gt;0),$A655=""),IFERROR(VLOOKUP($E655,Selection!$E:$F,2,false)),IFERROR(VLOOKUP(SUBSTITUTE($I655,"-","",1),$K656:$Q1119,7,false),VLOOKUP($K655,$K656:$Q1119,7,false))))</f>
        <v/>
      </c>
      <c r="R655" s="34" t="str">
        <f t="shared" si="2"/>
        <v/>
      </c>
      <c r="S655" s="37" t="str">
        <f t="shared" si="3"/>
        <v/>
      </c>
      <c r="T655" s="38" t="str">
        <f t="shared" si="4"/>
        <v/>
      </c>
      <c r="U655" s="28" t="str">
        <f t="shared" si="5"/>
        <v/>
      </c>
      <c r="V655" s="39" t="str">
        <f>IFERROR(__xludf.DUMMYFUNCTION(" IF(Account!$F655&lt;&gt;"""", SPLIT(Account!$F655, "" ""), """")"),"")</f>
        <v/>
      </c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</row>
    <row r="656">
      <c r="A656" s="341"/>
      <c r="B656" s="341"/>
      <c r="C656" s="341"/>
      <c r="D656" s="341"/>
      <c r="E656" s="341"/>
      <c r="F656" s="373"/>
      <c r="G656" s="341"/>
      <c r="H656" s="341"/>
      <c r="I656" s="341"/>
      <c r="J656" s="341"/>
      <c r="K656" s="341"/>
      <c r="L656" s="26" t="str">
        <f t="shared" si="1"/>
        <v/>
      </c>
      <c r="M656" s="28" t="str">
        <f>IFERROR(__xludf.DUMMYFUNCTION("IF(Account!$F656&lt;&gt;"""", VALUE(REGEXREPLACE($I656, ""\,"", ""."")), """")"),"")</f>
        <v/>
      </c>
      <c r="N656" s="31" t="str">
        <f>IF(Account!$F656&lt;&gt;"", DATEVALUE(MID($A656,4,3) &amp; LEFT($A656,3) &amp; RIGHT($A656,4)) + TIMEVALUE($B656), "")</f>
        <v/>
      </c>
      <c r="O656" s="33" t="str">
        <f>IF(Account!$F656&lt;&gt;"", DATEVALUE(MID($A656,4,3) &amp; LEFT($A656,3) &amp; RIGHT($A656,4)), "")</f>
        <v/>
      </c>
      <c r="P656" s="34" t="str">
        <f>IFERROR(VLOOKUP($Q656,Selection!$F:$G,2,false))</f>
        <v/>
      </c>
      <c r="Q656" s="36" t="str">
        <f>IF(AND($X656="change",$H656="EUR"),IF(AND($Z656="Crédit",$N656=$N657),$Q657,IF(AND($Z656="Débit",$N656=$N655),$Q655)),IF(OR(AND(OR($E656&lt;&gt;"",$L656=""),$M656&lt;&gt;0),$A656=""),IFERROR(VLOOKUP($E656,Selection!$E:$F,2,false)),IFERROR(VLOOKUP(SUBSTITUTE($I656,"-","",1),$K657:$Q1119,7,false),VLOOKUP($K656,$K657:$Q1119,7,false))))</f>
        <v/>
      </c>
      <c r="R656" s="34" t="str">
        <f t="shared" si="2"/>
        <v/>
      </c>
      <c r="S656" s="37" t="str">
        <f t="shared" si="3"/>
        <v/>
      </c>
      <c r="T656" s="38" t="str">
        <f t="shared" si="4"/>
        <v/>
      </c>
      <c r="U656" s="28" t="str">
        <f t="shared" si="5"/>
        <v/>
      </c>
      <c r="V656" s="39" t="str">
        <f>IFERROR(__xludf.DUMMYFUNCTION(" IF(Account!$F656&lt;&gt;"""", SPLIT(Account!$F656, "" ""), """")"),"")</f>
        <v/>
      </c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</row>
    <row r="657">
      <c r="A657" s="341"/>
      <c r="B657" s="341"/>
      <c r="C657" s="341"/>
      <c r="D657" s="341"/>
      <c r="E657" s="341"/>
      <c r="F657" s="373"/>
      <c r="G657" s="341"/>
      <c r="H657" s="341"/>
      <c r="I657" s="341"/>
      <c r="J657" s="341"/>
      <c r="K657" s="341"/>
      <c r="L657" s="26" t="str">
        <f t="shared" si="1"/>
        <v/>
      </c>
      <c r="M657" s="28" t="str">
        <f>IFERROR(__xludf.DUMMYFUNCTION("IF(Account!$F657&lt;&gt;"""", VALUE(REGEXREPLACE($I657, ""\,"", ""."")), """")"),"")</f>
        <v/>
      </c>
      <c r="N657" s="31" t="str">
        <f>IF(Account!$F657&lt;&gt;"", DATEVALUE(MID($A657,4,3) &amp; LEFT($A657,3) &amp; RIGHT($A657,4)) + TIMEVALUE($B657), "")</f>
        <v/>
      </c>
      <c r="O657" s="33" t="str">
        <f>IF(Account!$F657&lt;&gt;"", DATEVALUE(MID($A657,4,3) &amp; LEFT($A657,3) &amp; RIGHT($A657,4)), "")</f>
        <v/>
      </c>
      <c r="P657" s="34" t="str">
        <f>IFERROR(VLOOKUP($Q657,Selection!$F:$G,2,false))</f>
        <v/>
      </c>
      <c r="Q657" s="36" t="str">
        <f>IF(AND($X657="change",$H657="EUR"),IF(AND($Z657="Crédit",$N657=$N658),$Q658,IF(AND($Z657="Débit",$N657=$N656),$Q656)),IF(OR(AND(OR($E657&lt;&gt;"",$L657=""),$M657&lt;&gt;0),$A657=""),IFERROR(VLOOKUP($E657,Selection!$E:$F,2,false)),IFERROR(VLOOKUP(SUBSTITUTE($I657,"-","",1),$K658:$Q1119,7,false),VLOOKUP($K657,$K658:$Q1119,7,false))))</f>
        <v/>
      </c>
      <c r="R657" s="34" t="str">
        <f t="shared" si="2"/>
        <v/>
      </c>
      <c r="S657" s="37" t="str">
        <f t="shared" si="3"/>
        <v/>
      </c>
      <c r="T657" s="38" t="str">
        <f t="shared" si="4"/>
        <v/>
      </c>
      <c r="U657" s="28" t="str">
        <f t="shared" si="5"/>
        <v/>
      </c>
      <c r="V657" s="39" t="str">
        <f>IFERROR(__xludf.DUMMYFUNCTION(" IF(Account!$F657&lt;&gt;"""", SPLIT(Account!$F657, "" ""), """")"),"")</f>
        <v/>
      </c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</row>
    <row r="658">
      <c r="A658" s="341"/>
      <c r="B658" s="341"/>
      <c r="C658" s="341"/>
      <c r="D658" s="341"/>
      <c r="E658" s="341"/>
      <c r="F658" s="373"/>
      <c r="G658" s="341"/>
      <c r="H658" s="341"/>
      <c r="I658" s="341"/>
      <c r="J658" s="341"/>
      <c r="K658" s="341"/>
      <c r="L658" s="26" t="str">
        <f t="shared" si="1"/>
        <v/>
      </c>
      <c r="M658" s="28" t="str">
        <f>IFERROR(__xludf.DUMMYFUNCTION("IF(Account!$F658&lt;&gt;"""", VALUE(REGEXREPLACE($I658, ""\,"", ""."")), """")"),"")</f>
        <v/>
      </c>
      <c r="N658" s="31" t="str">
        <f>IF(Account!$F658&lt;&gt;"", DATEVALUE(MID($A658,4,3) &amp; LEFT($A658,3) &amp; RIGHT($A658,4)) + TIMEVALUE($B658), "")</f>
        <v/>
      </c>
      <c r="O658" s="33" t="str">
        <f>IF(Account!$F658&lt;&gt;"", DATEVALUE(MID($A658,4,3) &amp; LEFT($A658,3) &amp; RIGHT($A658,4)), "")</f>
        <v/>
      </c>
      <c r="P658" s="34" t="str">
        <f>IFERROR(VLOOKUP($Q658,Selection!$F:$G,2,false))</f>
        <v/>
      </c>
      <c r="Q658" s="36" t="str">
        <f>IF(AND($X658="change",$H658="EUR"),IF(AND($Z658="Crédit",$N658=$N659),$Q659,IF(AND($Z658="Débit",$N658=$N657),$Q657)),IF(OR(AND(OR($E658&lt;&gt;"",$L658=""),$M658&lt;&gt;0),$A658=""),IFERROR(VLOOKUP($E658,Selection!$E:$F,2,false)),IFERROR(VLOOKUP(SUBSTITUTE($I658,"-","",1),$K659:$Q1119,7,false),VLOOKUP($K658,$K659:$Q1119,7,false))))</f>
        <v/>
      </c>
      <c r="R658" s="34" t="str">
        <f t="shared" si="2"/>
        <v/>
      </c>
      <c r="S658" s="37" t="str">
        <f t="shared" si="3"/>
        <v/>
      </c>
      <c r="T658" s="38" t="str">
        <f t="shared" si="4"/>
        <v/>
      </c>
      <c r="U658" s="28" t="str">
        <f t="shared" si="5"/>
        <v/>
      </c>
      <c r="V658" s="39" t="str">
        <f>IFERROR(__xludf.DUMMYFUNCTION(" IF(Account!$F658&lt;&gt;"""", SPLIT(Account!$F658, "" ""), """")"),"")</f>
        <v/>
      </c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</row>
    <row r="659">
      <c r="A659" s="341"/>
      <c r="B659" s="341"/>
      <c r="C659" s="341"/>
      <c r="D659" s="341"/>
      <c r="E659" s="341"/>
      <c r="F659" s="373"/>
      <c r="G659" s="341"/>
      <c r="H659" s="341"/>
      <c r="I659" s="341"/>
      <c r="J659" s="341"/>
      <c r="K659" s="341"/>
      <c r="L659" s="26" t="str">
        <f t="shared" si="1"/>
        <v/>
      </c>
      <c r="M659" s="28" t="str">
        <f>IFERROR(__xludf.DUMMYFUNCTION("IF(Account!$F659&lt;&gt;"""", VALUE(REGEXREPLACE($I659, ""\,"", ""."")), """")"),"")</f>
        <v/>
      </c>
      <c r="N659" s="31" t="str">
        <f>IF(Account!$F659&lt;&gt;"", DATEVALUE(MID($A659,4,3) &amp; LEFT($A659,3) &amp; RIGHT($A659,4)) + TIMEVALUE($B659), "")</f>
        <v/>
      </c>
      <c r="O659" s="33" t="str">
        <f>IF(Account!$F659&lt;&gt;"", DATEVALUE(MID($A659,4,3) &amp; LEFT($A659,3) &amp; RIGHT($A659,4)), "")</f>
        <v/>
      </c>
      <c r="P659" s="34" t="str">
        <f>IFERROR(VLOOKUP($Q659,Selection!$F:$G,2,false))</f>
        <v/>
      </c>
      <c r="Q659" s="36" t="str">
        <f>IF(AND($X659="change",$H659="EUR"),IF(AND($Z659="Crédit",$N659=$N660),$Q660,IF(AND($Z659="Débit",$N659=$N658),$Q658)),IF(OR(AND(OR($E659&lt;&gt;"",$L659=""),$M659&lt;&gt;0),$A659=""),IFERROR(VLOOKUP($E659,Selection!$E:$F,2,false)),IFERROR(VLOOKUP(SUBSTITUTE($I659,"-","",1),$K660:$Q1119,7,false),VLOOKUP($K659,$K660:$Q1119,7,false))))</f>
        <v/>
      </c>
      <c r="R659" s="34" t="str">
        <f t="shared" si="2"/>
        <v/>
      </c>
      <c r="S659" s="37" t="str">
        <f t="shared" si="3"/>
        <v/>
      </c>
      <c r="T659" s="38" t="str">
        <f t="shared" si="4"/>
        <v/>
      </c>
      <c r="U659" s="28" t="str">
        <f t="shared" si="5"/>
        <v/>
      </c>
      <c r="V659" s="39" t="str">
        <f>IFERROR(__xludf.DUMMYFUNCTION(" IF(Account!$F659&lt;&gt;"""", SPLIT(Account!$F659, "" ""), """")"),"")</f>
        <v/>
      </c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</row>
    <row r="660">
      <c r="A660" s="341"/>
      <c r="B660" s="341"/>
      <c r="C660" s="341"/>
      <c r="D660" s="341"/>
      <c r="E660" s="341"/>
      <c r="F660" s="373"/>
      <c r="G660" s="341"/>
      <c r="H660" s="341"/>
      <c r="I660" s="341"/>
      <c r="J660" s="341"/>
      <c r="K660" s="341"/>
      <c r="L660" s="26" t="str">
        <f t="shared" si="1"/>
        <v/>
      </c>
      <c r="M660" s="28" t="str">
        <f>IFERROR(__xludf.DUMMYFUNCTION("IF(Account!$F660&lt;&gt;"""", VALUE(REGEXREPLACE($I660, ""\,"", ""."")), """")"),"")</f>
        <v/>
      </c>
      <c r="N660" s="31" t="str">
        <f>IF(Account!$F660&lt;&gt;"", DATEVALUE(MID($A660,4,3) &amp; LEFT($A660,3) &amp; RIGHT($A660,4)) + TIMEVALUE($B660), "")</f>
        <v/>
      </c>
      <c r="O660" s="33" t="str">
        <f>IF(Account!$F660&lt;&gt;"", DATEVALUE(MID($A660,4,3) &amp; LEFT($A660,3) &amp; RIGHT($A660,4)), "")</f>
        <v/>
      </c>
      <c r="P660" s="34" t="str">
        <f>IFERROR(VLOOKUP($Q660,Selection!$F:$G,2,false))</f>
        <v/>
      </c>
      <c r="Q660" s="36" t="str">
        <f>IF(AND($X660="change",$H660="EUR"),IF(AND($Z660="Crédit",$N660=$N661),$Q661,IF(AND($Z660="Débit",$N660=$N659),$Q659)),IF(OR(AND(OR($E660&lt;&gt;"",$L660=""),$M660&lt;&gt;0),$A660=""),IFERROR(VLOOKUP($E660,Selection!$E:$F,2,false)),IFERROR(VLOOKUP(SUBSTITUTE($I660,"-","",1),$K661:$Q1119,7,false),VLOOKUP($K660,$K661:$Q1119,7,false))))</f>
        <v/>
      </c>
      <c r="R660" s="34" t="str">
        <f t="shared" si="2"/>
        <v/>
      </c>
      <c r="S660" s="37" t="str">
        <f t="shared" si="3"/>
        <v/>
      </c>
      <c r="T660" s="38" t="str">
        <f t="shared" si="4"/>
        <v/>
      </c>
      <c r="U660" s="28" t="str">
        <f t="shared" si="5"/>
        <v/>
      </c>
      <c r="V660" s="39" t="str">
        <f>IFERROR(__xludf.DUMMYFUNCTION(" IF(Account!$F660&lt;&gt;"""", SPLIT(Account!$F660, "" ""), """")"),"")</f>
        <v/>
      </c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</row>
    <row r="661">
      <c r="A661" s="341"/>
      <c r="B661" s="341"/>
      <c r="C661" s="341"/>
      <c r="D661" s="341"/>
      <c r="E661" s="341"/>
      <c r="F661" s="373"/>
      <c r="G661" s="341"/>
      <c r="H661" s="341"/>
      <c r="I661" s="341"/>
      <c r="J661" s="341"/>
      <c r="K661" s="341"/>
      <c r="L661" s="26" t="str">
        <f t="shared" si="1"/>
        <v/>
      </c>
      <c r="M661" s="28" t="str">
        <f>IFERROR(__xludf.DUMMYFUNCTION("IF(Account!$F661&lt;&gt;"""", VALUE(REGEXREPLACE($I661, ""\,"", ""."")), """")"),"")</f>
        <v/>
      </c>
      <c r="N661" s="31" t="str">
        <f>IF(Account!$F661&lt;&gt;"", DATEVALUE(MID($A661,4,3) &amp; LEFT($A661,3) &amp; RIGHT($A661,4)) + TIMEVALUE($B661), "")</f>
        <v/>
      </c>
      <c r="O661" s="33" t="str">
        <f>IF(Account!$F661&lt;&gt;"", DATEVALUE(MID($A661,4,3) &amp; LEFT($A661,3) &amp; RIGHT($A661,4)), "")</f>
        <v/>
      </c>
      <c r="P661" s="34" t="str">
        <f>IFERROR(VLOOKUP($Q661,Selection!$F:$G,2,false))</f>
        <v/>
      </c>
      <c r="Q661" s="36" t="str">
        <f>IF(AND($X661="change",$H661="EUR"),IF(AND($Z661="Crédit",$N661=$N662),$Q662,IF(AND($Z661="Débit",$N661=$N660),$Q660)),IF(OR(AND(OR($E661&lt;&gt;"",$L661=""),$M661&lt;&gt;0),$A661=""),IFERROR(VLOOKUP($E661,Selection!$E:$F,2,false)),IFERROR(VLOOKUP(SUBSTITUTE($I661,"-","",1),$K662:$Q1119,7,false),VLOOKUP($K661,$K662:$Q1119,7,false))))</f>
        <v/>
      </c>
      <c r="R661" s="34" t="str">
        <f t="shared" si="2"/>
        <v/>
      </c>
      <c r="S661" s="37" t="str">
        <f t="shared" si="3"/>
        <v/>
      </c>
      <c r="T661" s="38" t="str">
        <f t="shared" si="4"/>
        <v/>
      </c>
      <c r="U661" s="28" t="str">
        <f t="shared" si="5"/>
        <v/>
      </c>
      <c r="V661" s="39" t="str">
        <f>IFERROR(__xludf.DUMMYFUNCTION(" IF(Account!$F661&lt;&gt;"""", SPLIT(Account!$F661, "" ""), """")"),"")</f>
        <v/>
      </c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</row>
    <row r="662">
      <c r="A662" s="341"/>
      <c r="B662" s="341"/>
      <c r="C662" s="341"/>
      <c r="D662" s="341"/>
      <c r="E662" s="341"/>
      <c r="F662" s="373"/>
      <c r="G662" s="341"/>
      <c r="H662" s="341"/>
      <c r="I662" s="341"/>
      <c r="J662" s="341"/>
      <c r="K662" s="341"/>
      <c r="L662" s="26" t="str">
        <f t="shared" si="1"/>
        <v/>
      </c>
      <c r="M662" s="28" t="str">
        <f>IFERROR(__xludf.DUMMYFUNCTION("IF(Account!$F662&lt;&gt;"""", VALUE(REGEXREPLACE($I662, ""\,"", ""."")), """")"),"")</f>
        <v/>
      </c>
      <c r="N662" s="31" t="str">
        <f>IF(Account!$F662&lt;&gt;"", DATEVALUE(MID($A662,4,3) &amp; LEFT($A662,3) &amp; RIGHT($A662,4)) + TIMEVALUE($B662), "")</f>
        <v/>
      </c>
      <c r="O662" s="33" t="str">
        <f>IF(Account!$F662&lt;&gt;"", DATEVALUE(MID($A662,4,3) &amp; LEFT($A662,3) &amp; RIGHT($A662,4)), "")</f>
        <v/>
      </c>
      <c r="P662" s="34" t="str">
        <f>IFERROR(VLOOKUP($Q662,Selection!$F:$G,2,false))</f>
        <v/>
      </c>
      <c r="Q662" s="36" t="str">
        <f>IF(AND($X662="change",$H662="EUR"),IF(AND($Z662="Crédit",$N662=$N663),$Q663,IF(AND($Z662="Débit",$N662=$N661),$Q661)),IF(OR(AND(OR($E662&lt;&gt;"",$L662=""),$M662&lt;&gt;0),$A662=""),IFERROR(VLOOKUP($E662,Selection!$E:$F,2,false)),IFERROR(VLOOKUP(SUBSTITUTE($I662,"-","",1),$K663:$Q1119,7,false),VLOOKUP($K662,$K663:$Q1119,7,false))))</f>
        <v/>
      </c>
      <c r="R662" s="34" t="str">
        <f t="shared" si="2"/>
        <v/>
      </c>
      <c r="S662" s="37" t="str">
        <f t="shared" si="3"/>
        <v/>
      </c>
      <c r="T662" s="38" t="str">
        <f t="shared" si="4"/>
        <v/>
      </c>
      <c r="U662" s="28" t="str">
        <f t="shared" si="5"/>
        <v/>
      </c>
      <c r="V662" s="39" t="str">
        <f>IFERROR(__xludf.DUMMYFUNCTION(" IF(Account!$F662&lt;&gt;"""", SPLIT(Account!$F662, "" ""), """")"),"")</f>
        <v/>
      </c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</row>
    <row r="663">
      <c r="A663" s="341"/>
      <c r="B663" s="341"/>
      <c r="C663" s="341"/>
      <c r="D663" s="341"/>
      <c r="E663" s="341"/>
      <c r="F663" s="373"/>
      <c r="G663" s="341"/>
      <c r="H663" s="341"/>
      <c r="I663" s="341"/>
      <c r="J663" s="341"/>
      <c r="K663" s="341"/>
      <c r="L663" s="26" t="str">
        <f t="shared" si="1"/>
        <v/>
      </c>
      <c r="M663" s="28" t="str">
        <f>IFERROR(__xludf.DUMMYFUNCTION("IF(Account!$F663&lt;&gt;"""", VALUE(REGEXREPLACE($I663, ""\,"", ""."")), """")"),"")</f>
        <v/>
      </c>
      <c r="N663" s="31" t="str">
        <f>IF(Account!$F663&lt;&gt;"", DATEVALUE(MID($A663,4,3) &amp; LEFT($A663,3) &amp; RIGHT($A663,4)) + TIMEVALUE($B663), "")</f>
        <v/>
      </c>
      <c r="O663" s="33" t="str">
        <f>IF(Account!$F663&lt;&gt;"", DATEVALUE(MID($A663,4,3) &amp; LEFT($A663,3) &amp; RIGHT($A663,4)), "")</f>
        <v/>
      </c>
      <c r="P663" s="34" t="str">
        <f>IFERROR(VLOOKUP($Q663,Selection!$F:$G,2,false))</f>
        <v/>
      </c>
      <c r="Q663" s="36" t="str">
        <f>IF(AND($X663="change",$H663="EUR"),IF(AND($Z663="Crédit",$N663=$N664),$Q664,IF(AND($Z663="Débit",$N663=$N662),$Q662)),IF(OR(AND(OR($E663&lt;&gt;"",$L663=""),$M663&lt;&gt;0),$A663=""),IFERROR(VLOOKUP($E663,Selection!$E:$F,2,false)),IFERROR(VLOOKUP(SUBSTITUTE($I663,"-","",1),$K664:$Q1119,7,false),VLOOKUP($K663,$K664:$Q1119,7,false))))</f>
        <v/>
      </c>
      <c r="R663" s="34" t="str">
        <f t="shared" si="2"/>
        <v/>
      </c>
      <c r="S663" s="37" t="str">
        <f t="shared" si="3"/>
        <v/>
      </c>
      <c r="T663" s="38" t="str">
        <f t="shared" si="4"/>
        <v/>
      </c>
      <c r="U663" s="28" t="str">
        <f t="shared" si="5"/>
        <v/>
      </c>
      <c r="V663" s="39" t="str">
        <f>IFERROR(__xludf.DUMMYFUNCTION(" IF(Account!$F663&lt;&gt;"""", SPLIT(Account!$F663, "" ""), """")"),"")</f>
        <v/>
      </c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</row>
    <row r="664">
      <c r="A664" s="341"/>
      <c r="B664" s="341"/>
      <c r="C664" s="341"/>
      <c r="D664" s="341"/>
      <c r="E664" s="341"/>
      <c r="F664" s="373"/>
      <c r="G664" s="341"/>
      <c r="H664" s="341"/>
      <c r="I664" s="341"/>
      <c r="J664" s="341"/>
      <c r="K664" s="341"/>
      <c r="L664" s="26" t="str">
        <f t="shared" si="1"/>
        <v/>
      </c>
      <c r="M664" s="28" t="str">
        <f>IFERROR(__xludf.DUMMYFUNCTION("IF(Account!$F664&lt;&gt;"""", VALUE(REGEXREPLACE($I664, ""\,"", ""."")), """")"),"")</f>
        <v/>
      </c>
      <c r="N664" s="31" t="str">
        <f>IF(Account!$F664&lt;&gt;"", DATEVALUE(MID($A664,4,3) &amp; LEFT($A664,3) &amp; RIGHT($A664,4)) + TIMEVALUE($B664), "")</f>
        <v/>
      </c>
      <c r="O664" s="33" t="str">
        <f>IF(Account!$F664&lt;&gt;"", DATEVALUE(MID($A664,4,3) &amp; LEFT($A664,3) &amp; RIGHT($A664,4)), "")</f>
        <v/>
      </c>
      <c r="P664" s="34" t="str">
        <f>IFERROR(VLOOKUP($Q664,Selection!$F:$G,2,false))</f>
        <v/>
      </c>
      <c r="Q664" s="36" t="str">
        <f>IF(AND($X664="change",$H664="EUR"),IF(AND($Z664="Crédit",$N664=$N665),$Q665,IF(AND($Z664="Débit",$N664=$N663),$Q663)),IF(OR(AND(OR($E664&lt;&gt;"",$L664=""),$M664&lt;&gt;0),$A664=""),IFERROR(VLOOKUP($E664,Selection!$E:$F,2,false)),IFERROR(VLOOKUP(SUBSTITUTE($I664,"-","",1),$K665:$Q1119,7,false),VLOOKUP($K664,$K665:$Q1119,7,false))))</f>
        <v/>
      </c>
      <c r="R664" s="34" t="str">
        <f t="shared" si="2"/>
        <v/>
      </c>
      <c r="S664" s="37" t="str">
        <f t="shared" si="3"/>
        <v/>
      </c>
      <c r="T664" s="38" t="str">
        <f t="shared" si="4"/>
        <v/>
      </c>
      <c r="U664" s="28" t="str">
        <f t="shared" si="5"/>
        <v/>
      </c>
      <c r="V664" s="39" t="str">
        <f>IFERROR(__xludf.DUMMYFUNCTION(" IF(Account!$F664&lt;&gt;"""", SPLIT(Account!$F664, "" ""), """")"),"")</f>
        <v/>
      </c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</row>
    <row r="665">
      <c r="A665" s="341"/>
      <c r="B665" s="341"/>
      <c r="C665" s="341"/>
      <c r="D665" s="341"/>
      <c r="E665" s="341"/>
      <c r="F665" s="373"/>
      <c r="G665" s="341"/>
      <c r="H665" s="341"/>
      <c r="I665" s="341"/>
      <c r="J665" s="341"/>
      <c r="K665" s="341"/>
      <c r="L665" s="26" t="str">
        <f t="shared" si="1"/>
        <v/>
      </c>
      <c r="M665" s="28" t="str">
        <f>IFERROR(__xludf.DUMMYFUNCTION("IF(Account!$F665&lt;&gt;"""", VALUE(REGEXREPLACE($I665, ""\,"", ""."")), """")"),"")</f>
        <v/>
      </c>
      <c r="N665" s="31" t="str">
        <f>IF(Account!$F665&lt;&gt;"", DATEVALUE(MID($A665,4,3) &amp; LEFT($A665,3) &amp; RIGHT($A665,4)) + TIMEVALUE($B665), "")</f>
        <v/>
      </c>
      <c r="O665" s="33" t="str">
        <f>IF(Account!$F665&lt;&gt;"", DATEVALUE(MID($A665,4,3) &amp; LEFT($A665,3) &amp; RIGHT($A665,4)), "")</f>
        <v/>
      </c>
      <c r="P665" s="34" t="str">
        <f>IFERROR(VLOOKUP($Q665,Selection!$F:$G,2,false))</f>
        <v/>
      </c>
      <c r="Q665" s="36" t="str">
        <f>IF(AND($X665="change",$H665="EUR"),IF(AND($Z665="Crédit",$N665=$N666),$Q666,IF(AND($Z665="Débit",$N665=$N664),$Q664)),IF(OR(AND(OR($E665&lt;&gt;"",$L665=""),$M665&lt;&gt;0),$A665=""),IFERROR(VLOOKUP($E665,Selection!$E:$F,2,false)),IFERROR(VLOOKUP(SUBSTITUTE($I665,"-","",1),$K666:$Q1119,7,false),VLOOKUP($K665,$K666:$Q1119,7,false))))</f>
        <v/>
      </c>
      <c r="R665" s="34" t="str">
        <f t="shared" si="2"/>
        <v/>
      </c>
      <c r="S665" s="37" t="str">
        <f t="shared" si="3"/>
        <v/>
      </c>
      <c r="T665" s="38" t="str">
        <f t="shared" si="4"/>
        <v/>
      </c>
      <c r="U665" s="28" t="str">
        <f t="shared" si="5"/>
        <v/>
      </c>
      <c r="V665" s="39" t="str">
        <f>IFERROR(__xludf.DUMMYFUNCTION(" IF(Account!$F665&lt;&gt;"""", SPLIT(Account!$F665, "" ""), """")"),"")</f>
        <v/>
      </c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</row>
    <row r="666">
      <c r="A666" s="341"/>
      <c r="B666" s="341"/>
      <c r="C666" s="341"/>
      <c r="D666" s="341"/>
      <c r="E666" s="341"/>
      <c r="F666" s="373"/>
      <c r="G666" s="341"/>
      <c r="H666" s="341"/>
      <c r="I666" s="341"/>
      <c r="J666" s="341"/>
      <c r="K666" s="341"/>
      <c r="L666" s="26" t="str">
        <f t="shared" si="1"/>
        <v/>
      </c>
      <c r="M666" s="28" t="str">
        <f>IFERROR(__xludf.DUMMYFUNCTION("IF(Account!$F666&lt;&gt;"""", VALUE(REGEXREPLACE($I666, ""\,"", ""."")), """")"),"")</f>
        <v/>
      </c>
      <c r="N666" s="31" t="str">
        <f>IF(Account!$F666&lt;&gt;"", DATEVALUE(MID($A666,4,3) &amp; LEFT($A666,3) &amp; RIGHT($A666,4)) + TIMEVALUE($B666), "")</f>
        <v/>
      </c>
      <c r="O666" s="33" t="str">
        <f>IF(Account!$F666&lt;&gt;"", DATEVALUE(MID($A666,4,3) &amp; LEFT($A666,3) &amp; RIGHT($A666,4)), "")</f>
        <v/>
      </c>
      <c r="P666" s="34" t="str">
        <f>IFERROR(VLOOKUP($Q666,Selection!$F:$G,2,false))</f>
        <v/>
      </c>
      <c r="Q666" s="36" t="str">
        <f>IF(AND($X666="change",$H666="EUR"),IF(AND($Z666="Crédit",$N666=$N667),$Q667,IF(AND($Z666="Débit",$N666=$N665),$Q665)),IF(OR(AND(OR($E666&lt;&gt;"",$L666=""),$M666&lt;&gt;0),$A666=""),IFERROR(VLOOKUP($E666,Selection!$E:$F,2,false)),IFERROR(VLOOKUP(SUBSTITUTE($I666,"-","",1),$K667:$Q1119,7,false),VLOOKUP($K666,$K667:$Q1119,7,false))))</f>
        <v/>
      </c>
      <c r="R666" s="34" t="str">
        <f t="shared" si="2"/>
        <v/>
      </c>
      <c r="S666" s="37" t="str">
        <f t="shared" si="3"/>
        <v/>
      </c>
      <c r="T666" s="38" t="str">
        <f t="shared" si="4"/>
        <v/>
      </c>
      <c r="U666" s="28" t="str">
        <f t="shared" si="5"/>
        <v/>
      </c>
      <c r="V666" s="39" t="str">
        <f>IFERROR(__xludf.DUMMYFUNCTION(" IF(Account!$F666&lt;&gt;"""", SPLIT(Account!$F666, "" ""), """")"),"")</f>
        <v/>
      </c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</row>
    <row r="667">
      <c r="A667" s="341"/>
      <c r="B667" s="341"/>
      <c r="C667" s="341"/>
      <c r="D667" s="341"/>
      <c r="E667" s="341"/>
      <c r="F667" s="373"/>
      <c r="G667" s="341"/>
      <c r="H667" s="341"/>
      <c r="I667" s="341"/>
      <c r="J667" s="341"/>
      <c r="K667" s="341"/>
      <c r="L667" s="26" t="str">
        <f t="shared" si="1"/>
        <v/>
      </c>
      <c r="M667" s="28" t="str">
        <f>IFERROR(__xludf.DUMMYFUNCTION("IF(Account!$F667&lt;&gt;"""", VALUE(REGEXREPLACE($I667, ""\,"", ""."")), """")"),"")</f>
        <v/>
      </c>
      <c r="N667" s="31" t="str">
        <f>IF(Account!$F667&lt;&gt;"", DATEVALUE(MID($A667,4,3) &amp; LEFT($A667,3) &amp; RIGHT($A667,4)) + TIMEVALUE($B667), "")</f>
        <v/>
      </c>
      <c r="O667" s="33" t="str">
        <f>IF(Account!$F667&lt;&gt;"", DATEVALUE(MID($A667,4,3) &amp; LEFT($A667,3) &amp; RIGHT($A667,4)), "")</f>
        <v/>
      </c>
      <c r="P667" s="34" t="str">
        <f>IFERROR(VLOOKUP($Q667,Selection!$F:$G,2,false))</f>
        <v/>
      </c>
      <c r="Q667" s="36" t="str">
        <f>IF(AND($X667="change",$H667="EUR"),IF(AND($Z667="Crédit",$N667=$N668),$Q668,IF(AND($Z667="Débit",$N667=$N666),$Q666)),IF(OR(AND(OR($E667&lt;&gt;"",$L667=""),$M667&lt;&gt;0),$A667=""),IFERROR(VLOOKUP($E667,Selection!$E:$F,2,false)),IFERROR(VLOOKUP(SUBSTITUTE($I667,"-","",1),$K668:$Q1119,7,false),VLOOKUP($K667,$K668:$Q1119,7,false))))</f>
        <v/>
      </c>
      <c r="R667" s="34" t="str">
        <f t="shared" si="2"/>
        <v/>
      </c>
      <c r="S667" s="37" t="str">
        <f t="shared" si="3"/>
        <v/>
      </c>
      <c r="T667" s="38" t="str">
        <f t="shared" si="4"/>
        <v/>
      </c>
      <c r="U667" s="28" t="str">
        <f t="shared" si="5"/>
        <v/>
      </c>
      <c r="V667" s="39" t="str">
        <f>IFERROR(__xludf.DUMMYFUNCTION(" IF(Account!$F667&lt;&gt;"""", SPLIT(Account!$F667, "" ""), """")"),"")</f>
        <v/>
      </c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</row>
    <row r="668">
      <c r="A668" s="341"/>
      <c r="B668" s="341"/>
      <c r="C668" s="341"/>
      <c r="D668" s="341"/>
      <c r="E668" s="341"/>
      <c r="F668" s="373"/>
      <c r="G668" s="341"/>
      <c r="H668" s="341"/>
      <c r="I668" s="341"/>
      <c r="J668" s="341"/>
      <c r="K668" s="341"/>
      <c r="L668" s="26" t="str">
        <f t="shared" si="1"/>
        <v/>
      </c>
      <c r="M668" s="28" t="str">
        <f>IFERROR(__xludf.DUMMYFUNCTION("IF(Account!$F668&lt;&gt;"""", VALUE(REGEXREPLACE($I668, ""\,"", ""."")), """")"),"")</f>
        <v/>
      </c>
      <c r="N668" s="31" t="str">
        <f>IF(Account!$F668&lt;&gt;"", DATEVALUE(MID($A668,4,3) &amp; LEFT($A668,3) &amp; RIGHT($A668,4)) + TIMEVALUE($B668), "")</f>
        <v/>
      </c>
      <c r="O668" s="33" t="str">
        <f>IF(Account!$F668&lt;&gt;"", DATEVALUE(MID($A668,4,3) &amp; LEFT($A668,3) &amp; RIGHT($A668,4)), "")</f>
        <v/>
      </c>
      <c r="P668" s="34" t="str">
        <f>IFERROR(VLOOKUP($Q668,Selection!$F:$G,2,false))</f>
        <v/>
      </c>
      <c r="Q668" s="36" t="str">
        <f>IF(AND($X668="change",$H668="EUR"),IF(AND($Z668="Crédit",$N668=$N669),$Q669,IF(AND($Z668="Débit",$N668=$N667),$Q667)),IF(OR(AND(OR($E668&lt;&gt;"",$L668=""),$M668&lt;&gt;0),$A668=""),IFERROR(VLOOKUP($E668,Selection!$E:$F,2,false)),IFERROR(VLOOKUP(SUBSTITUTE($I668,"-","",1),$K669:$Q1119,7,false),VLOOKUP($K668,$K669:$Q1119,7,false))))</f>
        <v/>
      </c>
      <c r="R668" s="34" t="str">
        <f t="shared" si="2"/>
        <v/>
      </c>
      <c r="S668" s="37" t="str">
        <f t="shared" si="3"/>
        <v/>
      </c>
      <c r="T668" s="38" t="str">
        <f t="shared" si="4"/>
        <v/>
      </c>
      <c r="U668" s="28" t="str">
        <f t="shared" si="5"/>
        <v/>
      </c>
      <c r="V668" s="39" t="str">
        <f>IFERROR(__xludf.DUMMYFUNCTION(" IF(Account!$F668&lt;&gt;"""", SPLIT(Account!$F668, "" ""), """")"),"")</f>
        <v/>
      </c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</row>
    <row r="669">
      <c r="A669" s="341"/>
      <c r="B669" s="341"/>
      <c r="C669" s="341"/>
      <c r="D669" s="341"/>
      <c r="E669" s="341"/>
      <c r="F669" s="373"/>
      <c r="G669" s="341"/>
      <c r="H669" s="341"/>
      <c r="I669" s="341"/>
      <c r="J669" s="341"/>
      <c r="K669" s="341"/>
      <c r="L669" s="26" t="str">
        <f t="shared" si="1"/>
        <v/>
      </c>
      <c r="M669" s="28" t="str">
        <f>IFERROR(__xludf.DUMMYFUNCTION("IF(Account!$F669&lt;&gt;"""", VALUE(REGEXREPLACE($I669, ""\,"", ""."")), """")"),"")</f>
        <v/>
      </c>
      <c r="N669" s="31" t="str">
        <f>IF(Account!$F669&lt;&gt;"", DATEVALUE(MID($A669,4,3) &amp; LEFT($A669,3) &amp; RIGHT($A669,4)) + TIMEVALUE($B669), "")</f>
        <v/>
      </c>
      <c r="O669" s="33" t="str">
        <f>IF(Account!$F669&lt;&gt;"", DATEVALUE(MID($A669,4,3) &amp; LEFT($A669,3) &amp; RIGHT($A669,4)), "")</f>
        <v/>
      </c>
      <c r="P669" s="34" t="str">
        <f>IFERROR(VLOOKUP($Q669,Selection!$F:$G,2,false))</f>
        <v/>
      </c>
      <c r="Q669" s="36" t="str">
        <f>IF(AND($X669="change",$H669="EUR"),IF(AND($Z669="Crédit",$N669=$N670),$Q670,IF(AND($Z669="Débit",$N669=$N668),$Q668)),IF(OR(AND(OR($E669&lt;&gt;"",$L669=""),$M669&lt;&gt;0),$A669=""),IFERROR(VLOOKUP($E669,Selection!$E:$F,2,false)),IFERROR(VLOOKUP(SUBSTITUTE($I669,"-","",1),$K670:$Q1119,7,false),VLOOKUP($K669,$K670:$Q1119,7,false))))</f>
        <v/>
      </c>
      <c r="R669" s="34" t="str">
        <f t="shared" si="2"/>
        <v/>
      </c>
      <c r="S669" s="37" t="str">
        <f t="shared" si="3"/>
        <v/>
      </c>
      <c r="T669" s="38" t="str">
        <f t="shared" si="4"/>
        <v/>
      </c>
      <c r="U669" s="28" t="str">
        <f t="shared" si="5"/>
        <v/>
      </c>
      <c r="V669" s="39" t="str">
        <f>IFERROR(__xludf.DUMMYFUNCTION(" IF(Account!$F669&lt;&gt;"""", SPLIT(Account!$F669, "" ""), """")"),"")</f>
        <v/>
      </c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</row>
    <row r="670">
      <c r="A670" s="341"/>
      <c r="B670" s="341"/>
      <c r="C670" s="341"/>
      <c r="D670" s="341"/>
      <c r="E670" s="341"/>
      <c r="F670" s="373"/>
      <c r="G670" s="341"/>
      <c r="H670" s="341"/>
      <c r="I670" s="341"/>
      <c r="J670" s="341"/>
      <c r="K670" s="341"/>
      <c r="L670" s="26" t="str">
        <f t="shared" si="1"/>
        <v/>
      </c>
      <c r="M670" s="28" t="str">
        <f>IFERROR(__xludf.DUMMYFUNCTION("IF(Account!$F670&lt;&gt;"""", VALUE(REGEXREPLACE($I670, ""\,"", ""."")), """")"),"")</f>
        <v/>
      </c>
      <c r="N670" s="31" t="str">
        <f>IF(Account!$F670&lt;&gt;"", DATEVALUE(MID($A670,4,3) &amp; LEFT($A670,3) &amp; RIGHT($A670,4)) + TIMEVALUE($B670), "")</f>
        <v/>
      </c>
      <c r="O670" s="33" t="str">
        <f>IF(Account!$F670&lt;&gt;"", DATEVALUE(MID($A670,4,3) &amp; LEFT($A670,3) &amp; RIGHT($A670,4)), "")</f>
        <v/>
      </c>
      <c r="P670" s="34" t="str">
        <f>IFERROR(VLOOKUP($Q670,Selection!$F:$G,2,false))</f>
        <v/>
      </c>
      <c r="Q670" s="36" t="str">
        <f>IF(AND($X670="change",$H670="EUR"),IF(AND($Z670="Crédit",$N670=$N671),$Q671,IF(AND($Z670="Débit",$N670=$N669),$Q669)),IF(OR(AND(OR($E670&lt;&gt;"",$L670=""),$M670&lt;&gt;0),$A670=""),IFERROR(VLOOKUP($E670,Selection!$E:$F,2,false)),IFERROR(VLOOKUP(SUBSTITUTE($I670,"-","",1),$K671:$Q1119,7,false),VLOOKUP($K670,$K671:$Q1119,7,false))))</f>
        <v/>
      </c>
      <c r="R670" s="34" t="str">
        <f t="shared" si="2"/>
        <v/>
      </c>
      <c r="S670" s="37" t="str">
        <f t="shared" si="3"/>
        <v/>
      </c>
      <c r="T670" s="38" t="str">
        <f t="shared" si="4"/>
        <v/>
      </c>
      <c r="U670" s="28" t="str">
        <f t="shared" si="5"/>
        <v/>
      </c>
      <c r="V670" s="39" t="str">
        <f>IFERROR(__xludf.DUMMYFUNCTION(" IF(Account!$F670&lt;&gt;"""", SPLIT(Account!$F670, "" ""), """")"),"")</f>
        <v/>
      </c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</row>
    <row r="671">
      <c r="A671" s="341"/>
      <c r="B671" s="341"/>
      <c r="C671" s="341"/>
      <c r="D671" s="341"/>
      <c r="E671" s="341"/>
      <c r="F671" s="373"/>
      <c r="G671" s="341"/>
      <c r="H671" s="341"/>
      <c r="I671" s="341"/>
      <c r="J671" s="341"/>
      <c r="K671" s="341"/>
      <c r="L671" s="26" t="str">
        <f t="shared" si="1"/>
        <v/>
      </c>
      <c r="M671" s="28" t="str">
        <f>IFERROR(__xludf.DUMMYFUNCTION("IF(Account!$F671&lt;&gt;"""", VALUE(REGEXREPLACE($I671, ""\,"", ""."")), """")"),"")</f>
        <v/>
      </c>
      <c r="N671" s="31" t="str">
        <f>IF(Account!$F671&lt;&gt;"", DATEVALUE(MID($A671,4,3) &amp; LEFT($A671,3) &amp; RIGHT($A671,4)) + TIMEVALUE($B671), "")</f>
        <v/>
      </c>
      <c r="O671" s="33" t="str">
        <f>IF(Account!$F671&lt;&gt;"", DATEVALUE(MID($A671,4,3) &amp; LEFT($A671,3) &amp; RIGHT($A671,4)), "")</f>
        <v/>
      </c>
      <c r="P671" s="34" t="str">
        <f>IFERROR(VLOOKUP($Q671,Selection!$F:$G,2,false))</f>
        <v/>
      </c>
      <c r="Q671" s="36" t="str">
        <f>IF(AND($X671="change",$H671="EUR"),IF(AND($Z671="Crédit",$N671=$N672),$Q672,IF(AND($Z671="Débit",$N671=$N670),$Q670)),IF(OR(AND(OR($E671&lt;&gt;"",$L671=""),$M671&lt;&gt;0),$A671=""),IFERROR(VLOOKUP($E671,Selection!$E:$F,2,false)),IFERROR(VLOOKUP(SUBSTITUTE($I671,"-","",1),$K672:$Q1119,7,false),VLOOKUP($K671,$K672:$Q1119,7,false))))</f>
        <v/>
      </c>
      <c r="R671" s="34" t="str">
        <f t="shared" si="2"/>
        <v/>
      </c>
      <c r="S671" s="37" t="str">
        <f t="shared" si="3"/>
        <v/>
      </c>
      <c r="T671" s="38" t="str">
        <f t="shared" si="4"/>
        <v/>
      </c>
      <c r="U671" s="28" t="str">
        <f t="shared" si="5"/>
        <v/>
      </c>
      <c r="V671" s="39" t="str">
        <f>IFERROR(__xludf.DUMMYFUNCTION(" IF(Account!$F671&lt;&gt;"""", SPLIT(Account!$F671, "" ""), """")"),"")</f>
        <v/>
      </c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</row>
    <row r="672">
      <c r="A672" s="341"/>
      <c r="B672" s="341"/>
      <c r="C672" s="341"/>
      <c r="D672" s="341"/>
      <c r="E672" s="341"/>
      <c r="F672" s="373"/>
      <c r="G672" s="341"/>
      <c r="H672" s="341"/>
      <c r="I672" s="341"/>
      <c r="J672" s="341"/>
      <c r="K672" s="341"/>
      <c r="L672" s="26" t="str">
        <f t="shared" si="1"/>
        <v/>
      </c>
      <c r="M672" s="28" t="str">
        <f>IFERROR(__xludf.DUMMYFUNCTION("IF(Account!$F672&lt;&gt;"""", VALUE(REGEXREPLACE($I672, ""\,"", ""."")), """")"),"")</f>
        <v/>
      </c>
      <c r="N672" s="31" t="str">
        <f>IF(Account!$F672&lt;&gt;"", DATEVALUE(MID($A672,4,3) &amp; LEFT($A672,3) &amp; RIGHT($A672,4)) + TIMEVALUE($B672), "")</f>
        <v/>
      </c>
      <c r="O672" s="33" t="str">
        <f>IF(Account!$F672&lt;&gt;"", DATEVALUE(MID($A672,4,3) &amp; LEFT($A672,3) &amp; RIGHT($A672,4)), "")</f>
        <v/>
      </c>
      <c r="P672" s="34" t="str">
        <f>IFERROR(VLOOKUP($Q672,Selection!$F:$G,2,false))</f>
        <v/>
      </c>
      <c r="Q672" s="36" t="str">
        <f>IF(AND($X672="change",$H672="EUR"),IF(AND($Z672="Crédit",$N672=$N673),$Q673,IF(AND($Z672="Débit",$N672=$N671),$Q671)),IF(OR(AND(OR($E672&lt;&gt;"",$L672=""),$M672&lt;&gt;0),$A672=""),IFERROR(VLOOKUP($E672,Selection!$E:$F,2,false)),IFERROR(VLOOKUP(SUBSTITUTE($I672,"-","",1),$K673:$Q1119,7,false),VLOOKUP($K672,$K673:$Q1119,7,false))))</f>
        <v/>
      </c>
      <c r="R672" s="34" t="str">
        <f t="shared" si="2"/>
        <v/>
      </c>
      <c r="S672" s="37" t="str">
        <f t="shared" si="3"/>
        <v/>
      </c>
      <c r="T672" s="38" t="str">
        <f t="shared" si="4"/>
        <v/>
      </c>
      <c r="U672" s="28" t="str">
        <f t="shared" si="5"/>
        <v/>
      </c>
      <c r="V672" s="39" t="str">
        <f>IFERROR(__xludf.DUMMYFUNCTION(" IF(Account!$F672&lt;&gt;"""", SPLIT(Account!$F672, "" ""), """")"),"")</f>
        <v/>
      </c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</row>
    <row r="673">
      <c r="A673" s="341"/>
      <c r="B673" s="341"/>
      <c r="C673" s="341"/>
      <c r="D673" s="341"/>
      <c r="E673" s="341"/>
      <c r="F673" s="373"/>
      <c r="G673" s="341"/>
      <c r="H673" s="341"/>
      <c r="I673" s="341"/>
      <c r="J673" s="341"/>
      <c r="K673" s="341"/>
      <c r="L673" s="26" t="str">
        <f t="shared" si="1"/>
        <v/>
      </c>
      <c r="M673" s="28" t="str">
        <f>IFERROR(__xludf.DUMMYFUNCTION("IF(Account!$F673&lt;&gt;"""", VALUE(REGEXREPLACE($I673, ""\,"", ""."")), """")"),"")</f>
        <v/>
      </c>
      <c r="N673" s="31" t="str">
        <f>IF(Account!$F673&lt;&gt;"", DATEVALUE(MID($A673,4,3) &amp; LEFT($A673,3) &amp; RIGHT($A673,4)) + TIMEVALUE($B673), "")</f>
        <v/>
      </c>
      <c r="O673" s="33" t="str">
        <f>IF(Account!$F673&lt;&gt;"", DATEVALUE(MID($A673,4,3) &amp; LEFT($A673,3) &amp; RIGHT($A673,4)), "")</f>
        <v/>
      </c>
      <c r="P673" s="34" t="str">
        <f>IFERROR(VLOOKUP($Q673,Selection!$F:$G,2,false))</f>
        <v/>
      </c>
      <c r="Q673" s="36" t="str">
        <f>IF(AND($X673="change",$H673="EUR"),IF(AND($Z673="Crédit",$N673=$N674),$Q674,IF(AND($Z673="Débit",$N673=$N672),$Q672)),IF(OR(AND(OR($E673&lt;&gt;"",$L673=""),$M673&lt;&gt;0),$A673=""),IFERROR(VLOOKUP($E673,Selection!$E:$F,2,false)),IFERROR(VLOOKUP(SUBSTITUTE($I673,"-","",1),$K674:$Q1119,7,false),VLOOKUP($K673,$K674:$Q1119,7,false))))</f>
        <v/>
      </c>
      <c r="R673" s="34" t="str">
        <f t="shared" si="2"/>
        <v/>
      </c>
      <c r="S673" s="37" t="str">
        <f t="shared" si="3"/>
        <v/>
      </c>
      <c r="T673" s="38" t="str">
        <f t="shared" si="4"/>
        <v/>
      </c>
      <c r="U673" s="28" t="str">
        <f t="shared" si="5"/>
        <v/>
      </c>
      <c r="V673" s="39" t="str">
        <f>IFERROR(__xludf.DUMMYFUNCTION(" IF(Account!$F673&lt;&gt;"""", SPLIT(Account!$F673, "" ""), """")"),"")</f>
        <v/>
      </c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</row>
    <row r="674">
      <c r="A674" s="341"/>
      <c r="B674" s="341"/>
      <c r="C674" s="341"/>
      <c r="D674" s="341"/>
      <c r="E674" s="341"/>
      <c r="F674" s="373"/>
      <c r="G674" s="341"/>
      <c r="H674" s="341"/>
      <c r="I674" s="341"/>
      <c r="J674" s="341"/>
      <c r="K674" s="341"/>
      <c r="L674" s="26" t="str">
        <f t="shared" si="1"/>
        <v/>
      </c>
      <c r="M674" s="28" t="str">
        <f>IFERROR(__xludf.DUMMYFUNCTION("IF(Account!$F674&lt;&gt;"""", VALUE(REGEXREPLACE($I674, ""\,"", ""."")), """")"),"")</f>
        <v/>
      </c>
      <c r="N674" s="31" t="str">
        <f>IF(Account!$F674&lt;&gt;"", DATEVALUE(MID($A674,4,3) &amp; LEFT($A674,3) &amp; RIGHT($A674,4)) + TIMEVALUE($B674), "")</f>
        <v/>
      </c>
      <c r="O674" s="33" t="str">
        <f>IF(Account!$F674&lt;&gt;"", DATEVALUE(MID($A674,4,3) &amp; LEFT($A674,3) &amp; RIGHT($A674,4)), "")</f>
        <v/>
      </c>
      <c r="P674" s="34" t="str">
        <f>IFERROR(VLOOKUP($Q674,Selection!$F:$G,2,false))</f>
        <v/>
      </c>
      <c r="Q674" s="36" t="str">
        <f>IF(AND($X674="change",$H674="EUR"),IF(AND($Z674="Crédit",$N674=$N675),$Q675,IF(AND($Z674="Débit",$N674=$N673),$Q673)),IF(OR(AND(OR($E674&lt;&gt;"",$L674=""),$M674&lt;&gt;0),$A674=""),IFERROR(VLOOKUP($E674,Selection!$E:$F,2,false)),IFERROR(VLOOKUP(SUBSTITUTE($I674,"-","",1),$K675:$Q1119,7,false),VLOOKUP($K674,$K675:$Q1119,7,false))))</f>
        <v/>
      </c>
      <c r="R674" s="34" t="str">
        <f t="shared" si="2"/>
        <v/>
      </c>
      <c r="S674" s="37" t="str">
        <f t="shared" si="3"/>
        <v/>
      </c>
      <c r="T674" s="38" t="str">
        <f t="shared" si="4"/>
        <v/>
      </c>
      <c r="U674" s="28" t="str">
        <f t="shared" si="5"/>
        <v/>
      </c>
      <c r="V674" s="39" t="str">
        <f>IFERROR(__xludf.DUMMYFUNCTION(" IF(Account!$F674&lt;&gt;"""", SPLIT(Account!$F674, "" ""), """")"),"")</f>
        <v/>
      </c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</row>
    <row r="675">
      <c r="A675" s="341"/>
      <c r="B675" s="341"/>
      <c r="C675" s="341"/>
      <c r="D675" s="341"/>
      <c r="E675" s="341"/>
      <c r="F675" s="373"/>
      <c r="G675" s="341"/>
      <c r="H675" s="341"/>
      <c r="I675" s="341"/>
      <c r="J675" s="341"/>
      <c r="K675" s="341"/>
      <c r="L675" s="26" t="str">
        <f t="shared" si="1"/>
        <v/>
      </c>
      <c r="M675" s="28" t="str">
        <f>IFERROR(__xludf.DUMMYFUNCTION("IF(Account!$F675&lt;&gt;"""", VALUE(REGEXREPLACE($I675, ""\,"", ""."")), """")"),"")</f>
        <v/>
      </c>
      <c r="N675" s="31" t="str">
        <f>IF(Account!$F675&lt;&gt;"", DATEVALUE(MID($A675,4,3) &amp; LEFT($A675,3) &amp; RIGHT($A675,4)) + TIMEVALUE($B675), "")</f>
        <v/>
      </c>
      <c r="O675" s="33" t="str">
        <f>IF(Account!$F675&lt;&gt;"", DATEVALUE(MID($A675,4,3) &amp; LEFT($A675,3) &amp; RIGHT($A675,4)), "")</f>
        <v/>
      </c>
      <c r="P675" s="34" t="str">
        <f>IFERROR(VLOOKUP($Q675,Selection!$F:$G,2,false))</f>
        <v/>
      </c>
      <c r="Q675" s="36" t="str">
        <f>IF(AND($X675="change",$H675="EUR"),IF(AND($Z675="Crédit",$N675=$N676),$Q676,IF(AND($Z675="Débit",$N675=$N674),$Q674)),IF(OR(AND(OR($E675&lt;&gt;"",$L675=""),$M675&lt;&gt;0),$A675=""),IFERROR(VLOOKUP($E675,Selection!$E:$F,2,false)),IFERROR(VLOOKUP(SUBSTITUTE($I675,"-","",1),$K676:$Q1119,7,false),VLOOKUP($K675,$K676:$Q1119,7,false))))</f>
        <v/>
      </c>
      <c r="R675" s="34" t="str">
        <f t="shared" si="2"/>
        <v/>
      </c>
      <c r="S675" s="37" t="str">
        <f t="shared" si="3"/>
        <v/>
      </c>
      <c r="T675" s="38" t="str">
        <f t="shared" si="4"/>
        <v/>
      </c>
      <c r="U675" s="28" t="str">
        <f t="shared" si="5"/>
        <v/>
      </c>
      <c r="V675" s="39" t="str">
        <f>IFERROR(__xludf.DUMMYFUNCTION(" IF(Account!$F675&lt;&gt;"""", SPLIT(Account!$F675, "" ""), """")"),"")</f>
        <v/>
      </c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</row>
    <row r="676">
      <c r="A676" s="341"/>
      <c r="B676" s="341"/>
      <c r="C676" s="341"/>
      <c r="D676" s="341"/>
      <c r="E676" s="341"/>
      <c r="F676" s="373"/>
      <c r="G676" s="341"/>
      <c r="H676" s="341"/>
      <c r="I676" s="341"/>
      <c r="J676" s="341"/>
      <c r="K676" s="341"/>
      <c r="L676" s="26" t="str">
        <f t="shared" si="1"/>
        <v/>
      </c>
      <c r="M676" s="28" t="str">
        <f>IFERROR(__xludf.DUMMYFUNCTION("IF(Account!$F676&lt;&gt;"""", VALUE(REGEXREPLACE($I676, ""\,"", ""."")), """")"),"")</f>
        <v/>
      </c>
      <c r="N676" s="31" t="str">
        <f>IF(Account!$F676&lt;&gt;"", DATEVALUE(MID($A676,4,3) &amp; LEFT($A676,3) &amp; RIGHT($A676,4)) + TIMEVALUE($B676), "")</f>
        <v/>
      </c>
      <c r="O676" s="33" t="str">
        <f>IF(Account!$F676&lt;&gt;"", DATEVALUE(MID($A676,4,3) &amp; LEFT($A676,3) &amp; RIGHT($A676,4)), "")</f>
        <v/>
      </c>
      <c r="P676" s="34" t="str">
        <f>IFERROR(VLOOKUP($Q676,Selection!$F:$G,2,false))</f>
        <v/>
      </c>
      <c r="Q676" s="36" t="str">
        <f>IF(AND($X676="change",$H676="EUR"),IF(AND($Z676="Crédit",$N676=$N677),$Q677,IF(AND($Z676="Débit",$N676=$N675),$Q675)),IF(OR(AND(OR($E676&lt;&gt;"",$L676=""),$M676&lt;&gt;0),$A676=""),IFERROR(VLOOKUP($E676,Selection!$E:$F,2,false)),IFERROR(VLOOKUP(SUBSTITUTE($I676,"-","",1),$K677:$Q1119,7,false),VLOOKUP($K676,$K677:$Q1119,7,false))))</f>
        <v/>
      </c>
      <c r="R676" s="34" t="str">
        <f t="shared" si="2"/>
        <v/>
      </c>
      <c r="S676" s="37" t="str">
        <f t="shared" si="3"/>
        <v/>
      </c>
      <c r="T676" s="38" t="str">
        <f t="shared" si="4"/>
        <v/>
      </c>
      <c r="U676" s="28" t="str">
        <f t="shared" si="5"/>
        <v/>
      </c>
      <c r="V676" s="39" t="str">
        <f>IFERROR(__xludf.DUMMYFUNCTION(" IF(Account!$F676&lt;&gt;"""", SPLIT(Account!$F676, "" ""), """")"),"")</f>
        <v/>
      </c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</row>
    <row r="677">
      <c r="A677" s="341"/>
      <c r="B677" s="341"/>
      <c r="C677" s="341"/>
      <c r="D677" s="341"/>
      <c r="E677" s="341"/>
      <c r="F677" s="373"/>
      <c r="G677" s="341"/>
      <c r="H677" s="341"/>
      <c r="I677" s="341"/>
      <c r="J677" s="341"/>
      <c r="K677" s="341"/>
      <c r="L677" s="26" t="str">
        <f t="shared" si="1"/>
        <v/>
      </c>
      <c r="M677" s="28" t="str">
        <f>IFERROR(__xludf.DUMMYFUNCTION("IF(Account!$F677&lt;&gt;"""", VALUE(REGEXREPLACE($I677, ""\,"", ""."")), """")"),"")</f>
        <v/>
      </c>
      <c r="N677" s="31" t="str">
        <f>IF(Account!$F677&lt;&gt;"", DATEVALUE(MID($A677,4,3) &amp; LEFT($A677,3) &amp; RIGHT($A677,4)) + TIMEVALUE($B677), "")</f>
        <v/>
      </c>
      <c r="O677" s="33" t="str">
        <f>IF(Account!$F677&lt;&gt;"", DATEVALUE(MID($A677,4,3) &amp; LEFT($A677,3) &amp; RIGHT($A677,4)), "")</f>
        <v/>
      </c>
      <c r="P677" s="34" t="str">
        <f>IFERROR(VLOOKUP($Q677,Selection!$F:$G,2,false))</f>
        <v/>
      </c>
      <c r="Q677" s="36" t="str">
        <f>IF(AND($X677="change",$H677="EUR"),IF(AND($Z677="Crédit",$N677=$N678),$Q678,IF(AND($Z677="Débit",$N677=$N676),$Q676)),IF(OR(AND(OR($E677&lt;&gt;"",$L677=""),$M677&lt;&gt;0),$A677=""),IFERROR(VLOOKUP($E677,Selection!$E:$F,2,false)),IFERROR(VLOOKUP(SUBSTITUTE($I677,"-","",1),$K678:$Q1119,7,false),VLOOKUP($K677,$K678:$Q1119,7,false))))</f>
        <v/>
      </c>
      <c r="R677" s="34" t="str">
        <f t="shared" si="2"/>
        <v/>
      </c>
      <c r="S677" s="37" t="str">
        <f t="shared" si="3"/>
        <v/>
      </c>
      <c r="T677" s="38" t="str">
        <f t="shared" si="4"/>
        <v/>
      </c>
      <c r="U677" s="28" t="str">
        <f t="shared" si="5"/>
        <v/>
      </c>
      <c r="V677" s="39" t="str">
        <f>IFERROR(__xludf.DUMMYFUNCTION(" IF(Account!$F677&lt;&gt;"""", SPLIT(Account!$F677, "" ""), """")"),"")</f>
        <v/>
      </c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</row>
    <row r="678">
      <c r="A678" s="341"/>
      <c r="B678" s="341"/>
      <c r="C678" s="341"/>
      <c r="D678" s="341"/>
      <c r="E678" s="341"/>
      <c r="F678" s="373"/>
      <c r="G678" s="341"/>
      <c r="H678" s="341"/>
      <c r="I678" s="341"/>
      <c r="J678" s="341"/>
      <c r="K678" s="341"/>
      <c r="L678" s="26" t="str">
        <f t="shared" si="1"/>
        <v/>
      </c>
      <c r="M678" s="28" t="str">
        <f>IFERROR(__xludf.DUMMYFUNCTION("IF(Account!$F678&lt;&gt;"""", VALUE(REGEXREPLACE($I678, ""\,"", ""."")), """")"),"")</f>
        <v/>
      </c>
      <c r="N678" s="31" t="str">
        <f>IF(Account!$F678&lt;&gt;"", DATEVALUE(MID($A678,4,3) &amp; LEFT($A678,3) &amp; RIGHT($A678,4)) + TIMEVALUE($B678), "")</f>
        <v/>
      </c>
      <c r="O678" s="33" t="str">
        <f>IF(Account!$F678&lt;&gt;"", DATEVALUE(MID($A678,4,3) &amp; LEFT($A678,3) &amp; RIGHT($A678,4)), "")</f>
        <v/>
      </c>
      <c r="P678" s="34" t="str">
        <f>IFERROR(VLOOKUP($Q678,Selection!$F:$G,2,false))</f>
        <v/>
      </c>
      <c r="Q678" s="36" t="str">
        <f>IF(AND($X678="change",$H678="EUR"),IF(AND($Z678="Crédit",$N678=$N679),$Q679,IF(AND($Z678="Débit",$N678=$N677),$Q677)),IF(OR(AND(OR($E678&lt;&gt;"",$L678=""),$M678&lt;&gt;0),$A678=""),IFERROR(VLOOKUP($E678,Selection!$E:$F,2,false)),IFERROR(VLOOKUP(SUBSTITUTE($I678,"-","",1),$K679:$Q1119,7,false),VLOOKUP($K678,$K679:$Q1119,7,false))))</f>
        <v/>
      </c>
      <c r="R678" s="34" t="str">
        <f t="shared" si="2"/>
        <v/>
      </c>
      <c r="S678" s="37" t="str">
        <f t="shared" si="3"/>
        <v/>
      </c>
      <c r="T678" s="38" t="str">
        <f t="shared" si="4"/>
        <v/>
      </c>
      <c r="U678" s="28" t="str">
        <f t="shared" si="5"/>
        <v/>
      </c>
      <c r="V678" s="39" t="str">
        <f>IFERROR(__xludf.DUMMYFUNCTION(" IF(Account!$F678&lt;&gt;"""", SPLIT(Account!$F678, "" ""), """")"),"")</f>
        <v/>
      </c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</row>
    <row r="679">
      <c r="A679" s="341"/>
      <c r="B679" s="341"/>
      <c r="C679" s="341"/>
      <c r="D679" s="341"/>
      <c r="E679" s="341"/>
      <c r="F679" s="373"/>
      <c r="G679" s="341"/>
      <c r="H679" s="341"/>
      <c r="I679" s="341"/>
      <c r="J679" s="341"/>
      <c r="K679" s="341"/>
      <c r="L679" s="26" t="str">
        <f t="shared" si="1"/>
        <v/>
      </c>
      <c r="M679" s="28" t="str">
        <f>IFERROR(__xludf.DUMMYFUNCTION("IF(Account!$F679&lt;&gt;"""", VALUE(REGEXREPLACE($I679, ""\,"", ""."")), """")"),"")</f>
        <v/>
      </c>
      <c r="N679" s="31" t="str">
        <f>IF(Account!$F679&lt;&gt;"", DATEVALUE(MID($A679,4,3) &amp; LEFT($A679,3) &amp; RIGHT($A679,4)) + TIMEVALUE($B679), "")</f>
        <v/>
      </c>
      <c r="O679" s="33" t="str">
        <f>IF(Account!$F679&lt;&gt;"", DATEVALUE(MID($A679,4,3) &amp; LEFT($A679,3) &amp; RIGHT($A679,4)), "")</f>
        <v/>
      </c>
      <c r="P679" s="34" t="str">
        <f>IFERROR(VLOOKUP($Q679,Selection!$F:$G,2,false))</f>
        <v/>
      </c>
      <c r="Q679" s="36" t="str">
        <f>IF(AND($X679="change",$H679="EUR"),IF(AND($Z679="Crédit",$N679=$N680),$Q680,IF(AND($Z679="Débit",$N679=$N678),$Q678)),IF(OR(AND(OR($E679&lt;&gt;"",$L679=""),$M679&lt;&gt;0),$A679=""),IFERROR(VLOOKUP($E679,Selection!$E:$F,2,false)),IFERROR(VLOOKUP(SUBSTITUTE($I679,"-","",1),$K680:$Q1119,7,false),VLOOKUP($K679,$K680:$Q1119,7,false))))</f>
        <v/>
      </c>
      <c r="R679" s="34" t="str">
        <f t="shared" si="2"/>
        <v/>
      </c>
      <c r="S679" s="37" t="str">
        <f t="shared" si="3"/>
        <v/>
      </c>
      <c r="T679" s="38" t="str">
        <f t="shared" si="4"/>
        <v/>
      </c>
      <c r="U679" s="28" t="str">
        <f t="shared" si="5"/>
        <v/>
      </c>
      <c r="V679" s="39" t="str">
        <f>IFERROR(__xludf.DUMMYFUNCTION(" IF(Account!$F679&lt;&gt;"""", SPLIT(Account!$F679, "" ""), """")"),"")</f>
        <v/>
      </c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</row>
    <row r="680">
      <c r="A680" s="341"/>
      <c r="B680" s="341"/>
      <c r="C680" s="341"/>
      <c r="D680" s="341"/>
      <c r="E680" s="341"/>
      <c r="F680" s="373"/>
      <c r="G680" s="341"/>
      <c r="H680" s="341"/>
      <c r="I680" s="341"/>
      <c r="J680" s="341"/>
      <c r="K680" s="341"/>
      <c r="L680" s="26" t="str">
        <f t="shared" si="1"/>
        <v/>
      </c>
      <c r="M680" s="28" t="str">
        <f>IFERROR(__xludf.DUMMYFUNCTION("IF(Account!$F680&lt;&gt;"""", VALUE(REGEXREPLACE($I680, ""\,"", ""."")), """")"),"")</f>
        <v/>
      </c>
      <c r="N680" s="31" t="str">
        <f>IF(Account!$F680&lt;&gt;"", DATEVALUE(MID($A680,4,3) &amp; LEFT($A680,3) &amp; RIGHT($A680,4)) + TIMEVALUE($B680), "")</f>
        <v/>
      </c>
      <c r="O680" s="33" t="str">
        <f>IF(Account!$F680&lt;&gt;"", DATEVALUE(MID($A680,4,3) &amp; LEFT($A680,3) &amp; RIGHT($A680,4)), "")</f>
        <v/>
      </c>
      <c r="P680" s="34" t="str">
        <f>IFERROR(VLOOKUP($Q680,Selection!$F:$G,2,false))</f>
        <v/>
      </c>
      <c r="Q680" s="36" t="str">
        <f>IF(AND($X680="change",$H680="EUR"),IF(AND($Z680="Crédit",$N680=$N681),$Q681,IF(AND($Z680="Débit",$N680=$N679),$Q679)),IF(OR(AND(OR($E680&lt;&gt;"",$L680=""),$M680&lt;&gt;0),$A680=""),IFERROR(VLOOKUP($E680,Selection!$E:$F,2,false)),IFERROR(VLOOKUP(SUBSTITUTE($I680,"-","",1),$K681:$Q1119,7,false),VLOOKUP($K680,$K681:$Q1119,7,false))))</f>
        <v/>
      </c>
      <c r="R680" s="34" t="str">
        <f t="shared" si="2"/>
        <v/>
      </c>
      <c r="S680" s="37" t="str">
        <f t="shared" si="3"/>
        <v/>
      </c>
      <c r="T680" s="38" t="str">
        <f t="shared" si="4"/>
        <v/>
      </c>
      <c r="U680" s="28" t="str">
        <f t="shared" si="5"/>
        <v/>
      </c>
      <c r="V680" s="39" t="str">
        <f>IFERROR(__xludf.DUMMYFUNCTION(" IF(Account!$F680&lt;&gt;"""", SPLIT(Account!$F680, "" ""), """")"),"")</f>
        <v/>
      </c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</row>
    <row r="681">
      <c r="A681" s="341"/>
      <c r="B681" s="341"/>
      <c r="C681" s="341"/>
      <c r="D681" s="341"/>
      <c r="E681" s="341"/>
      <c r="F681" s="373"/>
      <c r="G681" s="341"/>
      <c r="H681" s="341"/>
      <c r="I681" s="341"/>
      <c r="J681" s="341"/>
      <c r="K681" s="341"/>
      <c r="L681" s="26" t="str">
        <f t="shared" si="1"/>
        <v/>
      </c>
      <c r="M681" s="28" t="str">
        <f>IFERROR(__xludf.DUMMYFUNCTION("IF(Account!$F681&lt;&gt;"""", VALUE(REGEXREPLACE($I681, ""\,"", ""."")), """")"),"")</f>
        <v/>
      </c>
      <c r="N681" s="31" t="str">
        <f>IF(Account!$F681&lt;&gt;"", DATEVALUE(MID($A681,4,3) &amp; LEFT($A681,3) &amp; RIGHT($A681,4)) + TIMEVALUE($B681), "")</f>
        <v/>
      </c>
      <c r="O681" s="33" t="str">
        <f>IF(Account!$F681&lt;&gt;"", DATEVALUE(MID($A681,4,3) &amp; LEFT($A681,3) &amp; RIGHT($A681,4)), "")</f>
        <v/>
      </c>
      <c r="P681" s="34" t="str">
        <f>IFERROR(VLOOKUP($Q681,Selection!$F:$G,2,false))</f>
        <v/>
      </c>
      <c r="Q681" s="36" t="str">
        <f>IF(AND($X681="change",$H681="EUR"),IF(AND($Z681="Crédit",$N681=$N682),$Q682,IF(AND($Z681="Débit",$N681=$N680),$Q680)),IF(OR(AND(OR($E681&lt;&gt;"",$L681=""),$M681&lt;&gt;0),$A681=""),IFERROR(VLOOKUP($E681,Selection!$E:$F,2,false)),IFERROR(VLOOKUP(SUBSTITUTE($I681,"-","",1),$K682:$Q1119,7,false),VLOOKUP($K681,$K682:$Q1119,7,false))))</f>
        <v/>
      </c>
      <c r="R681" s="34" t="str">
        <f t="shared" si="2"/>
        <v/>
      </c>
      <c r="S681" s="37" t="str">
        <f t="shared" si="3"/>
        <v/>
      </c>
      <c r="T681" s="38" t="str">
        <f t="shared" si="4"/>
        <v/>
      </c>
      <c r="U681" s="28" t="str">
        <f t="shared" si="5"/>
        <v/>
      </c>
      <c r="V681" s="39" t="str">
        <f>IFERROR(__xludf.DUMMYFUNCTION(" IF(Account!$F681&lt;&gt;"""", SPLIT(Account!$F681, "" ""), """")"),"")</f>
        <v/>
      </c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</row>
    <row r="682">
      <c r="A682" s="341"/>
      <c r="B682" s="341"/>
      <c r="C682" s="341"/>
      <c r="D682" s="341"/>
      <c r="E682" s="341"/>
      <c r="F682" s="373"/>
      <c r="G682" s="341"/>
      <c r="H682" s="341"/>
      <c r="I682" s="341"/>
      <c r="J682" s="341"/>
      <c r="K682" s="341"/>
      <c r="L682" s="26" t="str">
        <f t="shared" si="1"/>
        <v/>
      </c>
      <c r="M682" s="28" t="str">
        <f>IFERROR(__xludf.DUMMYFUNCTION("IF(Account!$F682&lt;&gt;"""", VALUE(REGEXREPLACE($I682, ""\,"", ""."")), """")"),"")</f>
        <v/>
      </c>
      <c r="N682" s="31" t="str">
        <f>IF(Account!$F682&lt;&gt;"", DATEVALUE(MID($A682,4,3) &amp; LEFT($A682,3) &amp; RIGHT($A682,4)) + TIMEVALUE($B682), "")</f>
        <v/>
      </c>
      <c r="O682" s="33" t="str">
        <f>IF(Account!$F682&lt;&gt;"", DATEVALUE(MID($A682,4,3) &amp; LEFT($A682,3) &amp; RIGHT($A682,4)), "")</f>
        <v/>
      </c>
      <c r="P682" s="34" t="str">
        <f>IFERROR(VLOOKUP($Q682,Selection!$F:$G,2,false))</f>
        <v/>
      </c>
      <c r="Q682" s="36" t="str">
        <f>IF(AND($X682="change",$H682="EUR"),IF(AND($Z682="Crédit",$N682=$N683),$Q683,IF(AND($Z682="Débit",$N682=$N681),$Q681)),IF(OR(AND(OR($E682&lt;&gt;"",$L682=""),$M682&lt;&gt;0),$A682=""),IFERROR(VLOOKUP($E682,Selection!$E:$F,2,false)),IFERROR(VLOOKUP(SUBSTITUTE($I682,"-","",1),$K683:$Q1119,7,false),VLOOKUP($K682,$K683:$Q1119,7,false))))</f>
        <v/>
      </c>
      <c r="R682" s="34" t="str">
        <f t="shared" si="2"/>
        <v/>
      </c>
      <c r="S682" s="37" t="str">
        <f t="shared" si="3"/>
        <v/>
      </c>
      <c r="T682" s="38" t="str">
        <f t="shared" si="4"/>
        <v/>
      </c>
      <c r="U682" s="28" t="str">
        <f t="shared" si="5"/>
        <v/>
      </c>
      <c r="V682" s="39" t="str">
        <f>IFERROR(__xludf.DUMMYFUNCTION(" IF(Account!$F682&lt;&gt;"""", SPLIT(Account!$F682, "" ""), """")"),"")</f>
        <v/>
      </c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</row>
    <row r="683">
      <c r="A683" s="341"/>
      <c r="B683" s="341"/>
      <c r="C683" s="341"/>
      <c r="D683" s="341"/>
      <c r="E683" s="341"/>
      <c r="F683" s="373"/>
      <c r="G683" s="341"/>
      <c r="H683" s="341"/>
      <c r="I683" s="341"/>
      <c r="J683" s="341"/>
      <c r="K683" s="341"/>
      <c r="L683" s="26" t="str">
        <f t="shared" si="1"/>
        <v/>
      </c>
      <c r="M683" s="28" t="str">
        <f>IFERROR(__xludf.DUMMYFUNCTION("IF(Account!$F683&lt;&gt;"""", VALUE(REGEXREPLACE($I683, ""\,"", ""."")), """")"),"")</f>
        <v/>
      </c>
      <c r="N683" s="31" t="str">
        <f>IF(Account!$F683&lt;&gt;"", DATEVALUE(MID($A683,4,3) &amp; LEFT($A683,3) &amp; RIGHT($A683,4)) + TIMEVALUE($B683), "")</f>
        <v/>
      </c>
      <c r="O683" s="33" t="str">
        <f>IF(Account!$F683&lt;&gt;"", DATEVALUE(MID($A683,4,3) &amp; LEFT($A683,3) &amp; RIGHT($A683,4)), "")</f>
        <v/>
      </c>
      <c r="P683" s="34" t="str">
        <f>IFERROR(VLOOKUP($Q683,Selection!$F:$G,2,false))</f>
        <v/>
      </c>
      <c r="Q683" s="36" t="str">
        <f>IF(AND($X683="change",$H683="EUR"),IF(AND($Z683="Crédit",$N683=$N684),$Q684,IF(AND($Z683="Débit",$N683=$N682),$Q682)),IF(OR(AND(OR($E683&lt;&gt;"",$L683=""),$M683&lt;&gt;0),$A683=""),IFERROR(VLOOKUP($E683,Selection!$E:$F,2,false)),IFERROR(VLOOKUP(SUBSTITUTE($I683,"-","",1),$K684:$Q1119,7,false),VLOOKUP($K683,$K684:$Q1119,7,false))))</f>
        <v/>
      </c>
      <c r="R683" s="34" t="str">
        <f t="shared" si="2"/>
        <v/>
      </c>
      <c r="S683" s="37" t="str">
        <f t="shared" si="3"/>
        <v/>
      </c>
      <c r="T683" s="38" t="str">
        <f t="shared" si="4"/>
        <v/>
      </c>
      <c r="U683" s="28" t="str">
        <f t="shared" si="5"/>
        <v/>
      </c>
      <c r="V683" s="39" t="str">
        <f>IFERROR(__xludf.DUMMYFUNCTION(" IF(Account!$F683&lt;&gt;"""", SPLIT(Account!$F683, "" ""), """")"),"")</f>
        <v/>
      </c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</row>
    <row r="684">
      <c r="A684" s="341"/>
      <c r="B684" s="341"/>
      <c r="C684" s="341"/>
      <c r="D684" s="341"/>
      <c r="E684" s="341"/>
      <c r="F684" s="373"/>
      <c r="G684" s="341"/>
      <c r="H684" s="341"/>
      <c r="I684" s="341"/>
      <c r="J684" s="341"/>
      <c r="K684" s="341"/>
      <c r="L684" s="26" t="str">
        <f t="shared" si="1"/>
        <v/>
      </c>
      <c r="M684" s="28" t="str">
        <f>IFERROR(__xludf.DUMMYFUNCTION("IF(Account!$F684&lt;&gt;"""", VALUE(REGEXREPLACE($I684, ""\,"", ""."")), """")"),"")</f>
        <v/>
      </c>
      <c r="N684" s="31" t="str">
        <f>IF(Account!$F684&lt;&gt;"", DATEVALUE(MID($A684,4,3) &amp; LEFT($A684,3) &amp; RIGHT($A684,4)) + TIMEVALUE($B684), "")</f>
        <v/>
      </c>
      <c r="O684" s="33" t="str">
        <f>IF(Account!$F684&lt;&gt;"", DATEVALUE(MID($A684,4,3) &amp; LEFT($A684,3) &amp; RIGHT($A684,4)), "")</f>
        <v/>
      </c>
      <c r="P684" s="34" t="str">
        <f>IFERROR(VLOOKUP($Q684,Selection!$F:$G,2,false))</f>
        <v/>
      </c>
      <c r="Q684" s="36" t="str">
        <f>IF(AND($X684="change",$H684="EUR"),IF(AND($Z684="Crédit",$N684=$N685),$Q685,IF(AND($Z684="Débit",$N684=$N683),$Q683)),IF(OR(AND(OR($E684&lt;&gt;"",$L684=""),$M684&lt;&gt;0),$A684=""),IFERROR(VLOOKUP($E684,Selection!$E:$F,2,false)),IFERROR(VLOOKUP(SUBSTITUTE($I684,"-","",1),$K685:$Q1119,7,false),VLOOKUP($K684,$K685:$Q1119,7,false))))</f>
        <v/>
      </c>
      <c r="R684" s="34" t="str">
        <f t="shared" si="2"/>
        <v/>
      </c>
      <c r="S684" s="37" t="str">
        <f t="shared" si="3"/>
        <v/>
      </c>
      <c r="T684" s="38" t="str">
        <f t="shared" si="4"/>
        <v/>
      </c>
      <c r="U684" s="28" t="str">
        <f t="shared" si="5"/>
        <v/>
      </c>
      <c r="V684" s="39" t="str">
        <f>IFERROR(__xludf.DUMMYFUNCTION(" IF(Account!$F684&lt;&gt;"""", SPLIT(Account!$F684, "" ""), """")"),"")</f>
        <v/>
      </c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</row>
    <row r="685">
      <c r="A685" s="341"/>
      <c r="B685" s="341"/>
      <c r="C685" s="341"/>
      <c r="D685" s="341"/>
      <c r="E685" s="341"/>
      <c r="F685" s="373"/>
      <c r="G685" s="341"/>
      <c r="H685" s="341"/>
      <c r="I685" s="341"/>
      <c r="J685" s="341"/>
      <c r="K685" s="341"/>
      <c r="L685" s="26" t="str">
        <f t="shared" si="1"/>
        <v/>
      </c>
      <c r="M685" s="28" t="str">
        <f>IFERROR(__xludf.DUMMYFUNCTION("IF(Account!$F685&lt;&gt;"""", VALUE(REGEXREPLACE($I685, ""\,"", ""."")), """")"),"")</f>
        <v/>
      </c>
      <c r="N685" s="31" t="str">
        <f>IF(Account!$F685&lt;&gt;"", DATEVALUE(MID($A685,4,3) &amp; LEFT($A685,3) &amp; RIGHT($A685,4)) + TIMEVALUE($B685), "")</f>
        <v/>
      </c>
      <c r="O685" s="33" t="str">
        <f>IF(Account!$F685&lt;&gt;"", DATEVALUE(MID($A685,4,3) &amp; LEFT($A685,3) &amp; RIGHT($A685,4)), "")</f>
        <v/>
      </c>
      <c r="P685" s="34" t="str">
        <f>IFERROR(VLOOKUP($Q685,Selection!$F:$G,2,false))</f>
        <v/>
      </c>
      <c r="Q685" s="36" t="str">
        <f>IF(AND($X685="change",$H685="EUR"),IF(AND($Z685="Crédit",$N685=$N686),$Q686,IF(AND($Z685="Débit",$N685=$N684),$Q684)),IF(OR(AND(OR($E685&lt;&gt;"",$L685=""),$M685&lt;&gt;0),$A685=""),IFERROR(VLOOKUP($E685,Selection!$E:$F,2,false)),IFERROR(VLOOKUP(SUBSTITUTE($I685,"-","",1),$K686:$Q1119,7,false),VLOOKUP($K685,$K686:$Q1119,7,false))))</f>
        <v/>
      </c>
      <c r="R685" s="34" t="str">
        <f t="shared" si="2"/>
        <v/>
      </c>
      <c r="S685" s="37" t="str">
        <f t="shared" si="3"/>
        <v/>
      </c>
      <c r="T685" s="38" t="str">
        <f t="shared" si="4"/>
        <v/>
      </c>
      <c r="U685" s="28" t="str">
        <f t="shared" si="5"/>
        <v/>
      </c>
      <c r="V685" s="39" t="str">
        <f>IFERROR(__xludf.DUMMYFUNCTION(" IF(Account!$F685&lt;&gt;"""", SPLIT(Account!$F685, "" ""), """")"),"")</f>
        <v/>
      </c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</row>
    <row r="686">
      <c r="A686" s="341"/>
      <c r="B686" s="341"/>
      <c r="C686" s="341"/>
      <c r="D686" s="341"/>
      <c r="E686" s="341"/>
      <c r="F686" s="373"/>
      <c r="G686" s="341"/>
      <c r="H686" s="341"/>
      <c r="I686" s="341"/>
      <c r="J686" s="341"/>
      <c r="K686" s="341"/>
      <c r="L686" s="26" t="str">
        <f t="shared" si="1"/>
        <v/>
      </c>
      <c r="M686" s="28" t="str">
        <f>IFERROR(__xludf.DUMMYFUNCTION("IF(Account!$F686&lt;&gt;"""", VALUE(REGEXREPLACE($I686, ""\,"", ""."")), """")"),"")</f>
        <v/>
      </c>
      <c r="N686" s="31" t="str">
        <f>IF(Account!$F686&lt;&gt;"", DATEVALUE(MID($A686,4,3) &amp; LEFT($A686,3) &amp; RIGHT($A686,4)) + TIMEVALUE($B686), "")</f>
        <v/>
      </c>
      <c r="O686" s="33" t="str">
        <f>IF(Account!$F686&lt;&gt;"", DATEVALUE(MID($A686,4,3) &amp; LEFT($A686,3) &amp; RIGHT($A686,4)), "")</f>
        <v/>
      </c>
      <c r="P686" s="34" t="str">
        <f>IFERROR(VLOOKUP($Q686,Selection!$F:$G,2,false))</f>
        <v/>
      </c>
      <c r="Q686" s="36" t="str">
        <f>IF(AND($X686="change",$H686="EUR"),IF(AND($Z686="Crédit",$N686=$N687),$Q687,IF(AND($Z686="Débit",$N686=$N685),$Q685)),IF(OR(AND(OR($E686&lt;&gt;"",$L686=""),$M686&lt;&gt;0),$A686=""),IFERROR(VLOOKUP($E686,Selection!$E:$F,2,false)),IFERROR(VLOOKUP(SUBSTITUTE($I686,"-","",1),$K687:$Q1119,7,false),VLOOKUP($K686,$K687:$Q1119,7,false))))</f>
        <v/>
      </c>
      <c r="R686" s="34" t="str">
        <f t="shared" si="2"/>
        <v/>
      </c>
      <c r="S686" s="37" t="str">
        <f t="shared" si="3"/>
        <v/>
      </c>
      <c r="T686" s="38" t="str">
        <f t="shared" si="4"/>
        <v/>
      </c>
      <c r="U686" s="28" t="str">
        <f t="shared" si="5"/>
        <v/>
      </c>
      <c r="V686" s="39" t="str">
        <f>IFERROR(__xludf.DUMMYFUNCTION(" IF(Account!$F686&lt;&gt;"""", SPLIT(Account!$F686, "" ""), """")"),"")</f>
        <v/>
      </c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</row>
    <row r="687">
      <c r="A687" s="341"/>
      <c r="B687" s="341"/>
      <c r="C687" s="341"/>
      <c r="D687" s="341"/>
      <c r="E687" s="341"/>
      <c r="F687" s="373"/>
      <c r="G687" s="341"/>
      <c r="H687" s="341"/>
      <c r="I687" s="341"/>
      <c r="J687" s="341"/>
      <c r="K687" s="341"/>
      <c r="L687" s="26" t="str">
        <f t="shared" si="1"/>
        <v/>
      </c>
      <c r="M687" s="28" t="str">
        <f>IFERROR(__xludf.DUMMYFUNCTION("IF(Account!$F687&lt;&gt;"""", VALUE(REGEXREPLACE($I687, ""\,"", ""."")), """")"),"")</f>
        <v/>
      </c>
      <c r="N687" s="31" t="str">
        <f>IF(Account!$F687&lt;&gt;"", DATEVALUE(MID($A687,4,3) &amp; LEFT($A687,3) &amp; RIGHT($A687,4)) + TIMEVALUE($B687), "")</f>
        <v/>
      </c>
      <c r="O687" s="33" t="str">
        <f>IF(Account!$F687&lt;&gt;"", DATEVALUE(MID($A687,4,3) &amp; LEFT($A687,3) &amp; RIGHT($A687,4)), "")</f>
        <v/>
      </c>
      <c r="P687" s="34" t="str">
        <f>IFERROR(VLOOKUP($Q687,Selection!$F:$G,2,false))</f>
        <v/>
      </c>
      <c r="Q687" s="36" t="str">
        <f>IF(AND($X687="change",$H687="EUR"),IF(AND($Z687="Crédit",$N687=$N688),$Q688,IF(AND($Z687="Débit",$N687=$N686),$Q686)),IF(OR(AND(OR($E687&lt;&gt;"",$L687=""),$M687&lt;&gt;0),$A687=""),IFERROR(VLOOKUP($E687,Selection!$E:$F,2,false)),IFERROR(VLOOKUP(SUBSTITUTE($I687,"-","",1),$K688:$Q1119,7,false),VLOOKUP($K687,$K688:$Q1119,7,false))))</f>
        <v/>
      </c>
      <c r="R687" s="34" t="str">
        <f t="shared" si="2"/>
        <v/>
      </c>
      <c r="S687" s="37" t="str">
        <f t="shared" si="3"/>
        <v/>
      </c>
      <c r="T687" s="38" t="str">
        <f t="shared" si="4"/>
        <v/>
      </c>
      <c r="U687" s="28" t="str">
        <f t="shared" si="5"/>
        <v/>
      </c>
      <c r="V687" s="39" t="str">
        <f>IFERROR(__xludf.DUMMYFUNCTION(" IF(Account!$F687&lt;&gt;"""", SPLIT(Account!$F687, "" ""), """")"),"")</f>
        <v/>
      </c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</row>
    <row r="688">
      <c r="A688" s="341"/>
      <c r="B688" s="341"/>
      <c r="C688" s="341"/>
      <c r="D688" s="341"/>
      <c r="E688" s="341"/>
      <c r="F688" s="373"/>
      <c r="G688" s="341"/>
      <c r="H688" s="341"/>
      <c r="I688" s="341"/>
      <c r="J688" s="341"/>
      <c r="K688" s="341"/>
      <c r="L688" s="26" t="str">
        <f t="shared" si="1"/>
        <v/>
      </c>
      <c r="M688" s="28" t="str">
        <f>IFERROR(__xludf.DUMMYFUNCTION("IF(Account!$F688&lt;&gt;"""", VALUE(REGEXREPLACE($I688, ""\,"", ""."")), """")"),"")</f>
        <v/>
      </c>
      <c r="N688" s="31" t="str">
        <f>IF(Account!$F688&lt;&gt;"", DATEVALUE(MID($A688,4,3) &amp; LEFT($A688,3) &amp; RIGHT($A688,4)) + TIMEVALUE($B688), "")</f>
        <v/>
      </c>
      <c r="O688" s="33" t="str">
        <f>IF(Account!$F688&lt;&gt;"", DATEVALUE(MID($A688,4,3) &amp; LEFT($A688,3) &amp; RIGHT($A688,4)), "")</f>
        <v/>
      </c>
      <c r="P688" s="34" t="str">
        <f>IFERROR(VLOOKUP($Q688,Selection!$F:$G,2,false))</f>
        <v/>
      </c>
      <c r="Q688" s="36" t="str">
        <f>IF(AND($X688="change",$H688="EUR"),IF(AND($Z688="Crédit",$N688=$N689),$Q689,IF(AND($Z688="Débit",$N688=$N687),$Q687)),IF(OR(AND(OR($E688&lt;&gt;"",$L688=""),$M688&lt;&gt;0),$A688=""),IFERROR(VLOOKUP($E688,Selection!$E:$F,2,false)),IFERROR(VLOOKUP(SUBSTITUTE($I688,"-","",1),$K689:$Q1119,7,false),VLOOKUP($K688,$K689:$Q1119,7,false))))</f>
        <v/>
      </c>
      <c r="R688" s="34" t="str">
        <f t="shared" si="2"/>
        <v/>
      </c>
      <c r="S688" s="37" t="str">
        <f t="shared" si="3"/>
        <v/>
      </c>
      <c r="T688" s="38" t="str">
        <f t="shared" si="4"/>
        <v/>
      </c>
      <c r="U688" s="28" t="str">
        <f t="shared" si="5"/>
        <v/>
      </c>
      <c r="V688" s="39" t="str">
        <f>IFERROR(__xludf.DUMMYFUNCTION(" IF(Account!$F688&lt;&gt;"""", SPLIT(Account!$F688, "" ""), """")"),"")</f>
        <v/>
      </c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</row>
    <row r="689">
      <c r="A689" s="341"/>
      <c r="B689" s="341"/>
      <c r="C689" s="341"/>
      <c r="D689" s="341"/>
      <c r="E689" s="341"/>
      <c r="F689" s="373"/>
      <c r="G689" s="341"/>
      <c r="H689" s="341"/>
      <c r="I689" s="341"/>
      <c r="J689" s="341"/>
      <c r="K689" s="341"/>
      <c r="L689" s="26" t="str">
        <f t="shared" si="1"/>
        <v/>
      </c>
      <c r="M689" s="28" t="str">
        <f>IFERROR(__xludf.DUMMYFUNCTION("IF(Account!$F689&lt;&gt;"""", VALUE(REGEXREPLACE($I689, ""\,"", ""."")), """")"),"")</f>
        <v/>
      </c>
      <c r="N689" s="31" t="str">
        <f>IF(Account!$F689&lt;&gt;"", DATEVALUE(MID($A689,4,3) &amp; LEFT($A689,3) &amp; RIGHT($A689,4)) + TIMEVALUE($B689), "")</f>
        <v/>
      </c>
      <c r="O689" s="33" t="str">
        <f>IF(Account!$F689&lt;&gt;"", DATEVALUE(MID($A689,4,3) &amp; LEFT($A689,3) &amp; RIGHT($A689,4)), "")</f>
        <v/>
      </c>
      <c r="P689" s="34" t="str">
        <f>IFERROR(VLOOKUP($Q689,Selection!$F:$G,2,false))</f>
        <v/>
      </c>
      <c r="Q689" s="36" t="str">
        <f>IF(AND($X689="change",$H689="EUR"),IF(AND($Z689="Crédit",$N689=$N690),$Q690,IF(AND($Z689="Débit",$N689=$N688),$Q688)),IF(OR(AND(OR($E689&lt;&gt;"",$L689=""),$M689&lt;&gt;0),$A689=""),IFERROR(VLOOKUP($E689,Selection!$E:$F,2,false)),IFERROR(VLOOKUP(SUBSTITUTE($I689,"-","",1),$K690:$Q1119,7,false),VLOOKUP($K689,$K690:$Q1119,7,false))))</f>
        <v/>
      </c>
      <c r="R689" s="34" t="str">
        <f t="shared" si="2"/>
        <v/>
      </c>
      <c r="S689" s="37" t="str">
        <f t="shared" si="3"/>
        <v/>
      </c>
      <c r="T689" s="38" t="str">
        <f t="shared" si="4"/>
        <v/>
      </c>
      <c r="U689" s="28" t="str">
        <f t="shared" si="5"/>
        <v/>
      </c>
      <c r="V689" s="39" t="str">
        <f>IFERROR(__xludf.DUMMYFUNCTION(" IF(Account!$F689&lt;&gt;"""", SPLIT(Account!$F689, "" ""), """")"),"")</f>
        <v/>
      </c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</row>
    <row r="690">
      <c r="A690" s="341"/>
      <c r="B690" s="341"/>
      <c r="C690" s="341"/>
      <c r="D690" s="341"/>
      <c r="E690" s="341"/>
      <c r="F690" s="373"/>
      <c r="G690" s="341"/>
      <c r="H690" s="341"/>
      <c r="I690" s="341"/>
      <c r="J690" s="341"/>
      <c r="K690" s="341"/>
      <c r="L690" s="26" t="str">
        <f t="shared" si="1"/>
        <v/>
      </c>
      <c r="M690" s="28" t="str">
        <f>IFERROR(__xludf.DUMMYFUNCTION("IF(Account!$F690&lt;&gt;"""", VALUE(REGEXREPLACE($I690, ""\,"", ""."")), """")"),"")</f>
        <v/>
      </c>
      <c r="N690" s="31" t="str">
        <f>IF(Account!$F690&lt;&gt;"", DATEVALUE(MID($A690,4,3) &amp; LEFT($A690,3) &amp; RIGHT($A690,4)) + TIMEVALUE($B690), "")</f>
        <v/>
      </c>
      <c r="O690" s="33" t="str">
        <f>IF(Account!$F690&lt;&gt;"", DATEVALUE(MID($A690,4,3) &amp; LEFT($A690,3) &amp; RIGHT($A690,4)), "")</f>
        <v/>
      </c>
      <c r="P690" s="34" t="str">
        <f>IFERROR(VLOOKUP($Q690,Selection!$F:$G,2,false))</f>
        <v/>
      </c>
      <c r="Q690" s="36" t="str">
        <f>IF(AND($X690="change",$H690="EUR"),IF(AND($Z690="Crédit",$N690=$N691),$Q691,IF(AND($Z690="Débit",$N690=$N689),$Q689)),IF(OR(AND(OR($E690&lt;&gt;"",$L690=""),$M690&lt;&gt;0),$A690=""),IFERROR(VLOOKUP($E690,Selection!$E:$F,2,false)),IFERROR(VLOOKUP(SUBSTITUTE($I690,"-","",1),$K691:$Q1119,7,false),VLOOKUP($K690,$K691:$Q1119,7,false))))</f>
        <v/>
      </c>
      <c r="R690" s="34" t="str">
        <f t="shared" si="2"/>
        <v/>
      </c>
      <c r="S690" s="37" t="str">
        <f t="shared" si="3"/>
        <v/>
      </c>
      <c r="T690" s="38" t="str">
        <f t="shared" si="4"/>
        <v/>
      </c>
      <c r="U690" s="28" t="str">
        <f t="shared" si="5"/>
        <v/>
      </c>
      <c r="V690" s="39" t="str">
        <f>IFERROR(__xludf.DUMMYFUNCTION(" IF(Account!$F690&lt;&gt;"""", SPLIT(Account!$F690, "" ""), """")"),"")</f>
        <v/>
      </c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</row>
    <row r="691">
      <c r="A691" s="341"/>
      <c r="B691" s="341"/>
      <c r="C691" s="341"/>
      <c r="D691" s="341"/>
      <c r="E691" s="341"/>
      <c r="F691" s="373"/>
      <c r="G691" s="341"/>
      <c r="H691" s="341"/>
      <c r="I691" s="341"/>
      <c r="J691" s="341"/>
      <c r="K691" s="341"/>
      <c r="L691" s="26" t="str">
        <f t="shared" si="1"/>
        <v/>
      </c>
      <c r="M691" s="28" t="str">
        <f>IFERROR(__xludf.DUMMYFUNCTION("IF(Account!$F691&lt;&gt;"""", VALUE(REGEXREPLACE($I691, ""\,"", ""."")), """")"),"")</f>
        <v/>
      </c>
      <c r="N691" s="31" t="str">
        <f>IF(Account!$F691&lt;&gt;"", DATEVALUE(MID($A691,4,3) &amp; LEFT($A691,3) &amp; RIGHT($A691,4)) + TIMEVALUE($B691), "")</f>
        <v/>
      </c>
      <c r="O691" s="33" t="str">
        <f>IF(Account!$F691&lt;&gt;"", DATEVALUE(MID($A691,4,3) &amp; LEFT($A691,3) &amp; RIGHT($A691,4)), "")</f>
        <v/>
      </c>
      <c r="P691" s="34" t="str">
        <f>IFERROR(VLOOKUP($Q691,Selection!$F:$G,2,false))</f>
        <v/>
      </c>
      <c r="Q691" s="36" t="str">
        <f>IF(AND($X691="change",$H691="EUR"),IF(AND($Z691="Crédit",$N691=$N692),$Q692,IF(AND($Z691="Débit",$N691=$N690),$Q690)),IF(OR(AND(OR($E691&lt;&gt;"",$L691=""),$M691&lt;&gt;0),$A691=""),IFERROR(VLOOKUP($E691,Selection!$E:$F,2,false)),IFERROR(VLOOKUP(SUBSTITUTE($I691,"-","",1),$K692:$Q1119,7,false),VLOOKUP($K691,$K692:$Q1119,7,false))))</f>
        <v/>
      </c>
      <c r="R691" s="34" t="str">
        <f t="shared" si="2"/>
        <v/>
      </c>
      <c r="S691" s="37" t="str">
        <f t="shared" si="3"/>
        <v/>
      </c>
      <c r="T691" s="38" t="str">
        <f t="shared" si="4"/>
        <v/>
      </c>
      <c r="U691" s="28" t="str">
        <f t="shared" si="5"/>
        <v/>
      </c>
      <c r="V691" s="39" t="str">
        <f>IFERROR(__xludf.DUMMYFUNCTION(" IF(Account!$F691&lt;&gt;"""", SPLIT(Account!$F691, "" ""), """")"),"")</f>
        <v/>
      </c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</row>
    <row r="692">
      <c r="A692" s="341"/>
      <c r="B692" s="341"/>
      <c r="C692" s="341"/>
      <c r="D692" s="341"/>
      <c r="E692" s="341"/>
      <c r="F692" s="373"/>
      <c r="G692" s="341"/>
      <c r="H692" s="341"/>
      <c r="I692" s="341"/>
      <c r="J692" s="341"/>
      <c r="K692" s="341"/>
      <c r="L692" s="26" t="str">
        <f t="shared" si="1"/>
        <v/>
      </c>
      <c r="M692" s="28" t="str">
        <f>IFERROR(__xludf.DUMMYFUNCTION("IF(Account!$F692&lt;&gt;"""", VALUE(REGEXREPLACE($I692, ""\,"", ""."")), """")"),"")</f>
        <v/>
      </c>
      <c r="N692" s="31" t="str">
        <f>IF(Account!$F692&lt;&gt;"", DATEVALUE(MID($A692,4,3) &amp; LEFT($A692,3) &amp; RIGHT($A692,4)) + TIMEVALUE($B692), "")</f>
        <v/>
      </c>
      <c r="O692" s="33" t="str">
        <f>IF(Account!$F692&lt;&gt;"", DATEVALUE(MID($A692,4,3) &amp; LEFT($A692,3) &amp; RIGHT($A692,4)), "")</f>
        <v/>
      </c>
      <c r="P692" s="34" t="str">
        <f>IFERROR(VLOOKUP($Q692,Selection!$F:$G,2,false))</f>
        <v/>
      </c>
      <c r="Q692" s="36" t="str">
        <f>IF(AND($X692="change",$H692="EUR"),IF(AND($Z692="Crédit",$N692=$N693),$Q693,IF(AND($Z692="Débit",$N692=$N691),$Q691)),IF(OR(AND(OR($E692&lt;&gt;"",$L692=""),$M692&lt;&gt;0),$A692=""),IFERROR(VLOOKUP($E692,Selection!$E:$F,2,false)),IFERROR(VLOOKUP(SUBSTITUTE($I692,"-","",1),$K693:$Q1119,7,false),VLOOKUP($K692,$K693:$Q1119,7,false))))</f>
        <v/>
      </c>
      <c r="R692" s="34" t="str">
        <f t="shared" si="2"/>
        <v/>
      </c>
      <c r="S692" s="37" t="str">
        <f t="shared" si="3"/>
        <v/>
      </c>
      <c r="T692" s="38" t="str">
        <f t="shared" si="4"/>
        <v/>
      </c>
      <c r="U692" s="28" t="str">
        <f t="shared" si="5"/>
        <v/>
      </c>
      <c r="V692" s="39" t="str">
        <f>IFERROR(__xludf.DUMMYFUNCTION(" IF(Account!$F692&lt;&gt;"""", SPLIT(Account!$F692, "" ""), """")"),"")</f>
        <v/>
      </c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</row>
    <row r="693">
      <c r="A693" s="341"/>
      <c r="B693" s="341"/>
      <c r="C693" s="341"/>
      <c r="D693" s="341"/>
      <c r="E693" s="341"/>
      <c r="F693" s="373"/>
      <c r="G693" s="341"/>
      <c r="H693" s="341"/>
      <c r="I693" s="341"/>
      <c r="J693" s="341"/>
      <c r="K693" s="341"/>
      <c r="L693" s="26" t="str">
        <f t="shared" si="1"/>
        <v/>
      </c>
      <c r="M693" s="28" t="str">
        <f>IFERROR(__xludf.DUMMYFUNCTION("IF(Account!$F693&lt;&gt;"""", VALUE(REGEXREPLACE($I693, ""\,"", ""."")), """")"),"")</f>
        <v/>
      </c>
      <c r="N693" s="31" t="str">
        <f>IF(Account!$F693&lt;&gt;"", DATEVALUE(MID($A693,4,3) &amp; LEFT($A693,3) &amp; RIGHT($A693,4)) + TIMEVALUE($B693), "")</f>
        <v/>
      </c>
      <c r="O693" s="33" t="str">
        <f>IF(Account!$F693&lt;&gt;"", DATEVALUE(MID($A693,4,3) &amp; LEFT($A693,3) &amp; RIGHT($A693,4)), "")</f>
        <v/>
      </c>
      <c r="P693" s="34" t="str">
        <f>IFERROR(VLOOKUP($Q693,Selection!$F:$G,2,false))</f>
        <v/>
      </c>
      <c r="Q693" s="36" t="str">
        <f>IF(AND($X693="change",$H693="EUR"),IF(AND($Z693="Crédit",$N693=$N694),$Q694,IF(AND($Z693="Débit",$N693=$N692),$Q692)),IF(OR(AND(OR($E693&lt;&gt;"",$L693=""),$M693&lt;&gt;0),$A693=""),IFERROR(VLOOKUP($E693,Selection!$E:$F,2,false)),IFERROR(VLOOKUP(SUBSTITUTE($I693,"-","",1),$K694:$Q1119,7,false),VLOOKUP($K693,$K694:$Q1119,7,false))))</f>
        <v/>
      </c>
      <c r="R693" s="34" t="str">
        <f t="shared" si="2"/>
        <v/>
      </c>
      <c r="S693" s="37" t="str">
        <f t="shared" si="3"/>
        <v/>
      </c>
      <c r="T693" s="38" t="str">
        <f t="shared" si="4"/>
        <v/>
      </c>
      <c r="U693" s="28" t="str">
        <f t="shared" si="5"/>
        <v/>
      </c>
      <c r="V693" s="39" t="str">
        <f>IFERROR(__xludf.DUMMYFUNCTION(" IF(Account!$F693&lt;&gt;"""", SPLIT(Account!$F693, "" ""), """")"),"")</f>
        <v/>
      </c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</row>
    <row r="694">
      <c r="A694" s="341"/>
      <c r="B694" s="341"/>
      <c r="C694" s="341"/>
      <c r="D694" s="341"/>
      <c r="E694" s="341"/>
      <c r="F694" s="373"/>
      <c r="G694" s="341"/>
      <c r="H694" s="341"/>
      <c r="I694" s="341"/>
      <c r="J694" s="341"/>
      <c r="K694" s="341"/>
      <c r="L694" s="26" t="str">
        <f t="shared" si="1"/>
        <v/>
      </c>
      <c r="M694" s="28" t="str">
        <f>IFERROR(__xludf.DUMMYFUNCTION("IF(Account!$F694&lt;&gt;"""", VALUE(REGEXREPLACE($I694, ""\,"", ""."")), """")"),"")</f>
        <v/>
      </c>
      <c r="N694" s="31" t="str">
        <f>IF(Account!$F694&lt;&gt;"", DATEVALUE(MID($A694,4,3) &amp; LEFT($A694,3) &amp; RIGHT($A694,4)) + TIMEVALUE($B694), "")</f>
        <v/>
      </c>
      <c r="O694" s="33" t="str">
        <f>IF(Account!$F694&lt;&gt;"", DATEVALUE(MID($A694,4,3) &amp; LEFT($A694,3) &amp; RIGHT($A694,4)), "")</f>
        <v/>
      </c>
      <c r="P694" s="34" t="str">
        <f>IFERROR(VLOOKUP($Q694,Selection!$F:$G,2,false))</f>
        <v/>
      </c>
      <c r="Q694" s="36" t="str">
        <f>IF(AND($X694="change",$H694="EUR"),IF(AND($Z694="Crédit",$N694=$N695),$Q695,IF(AND($Z694="Débit",$N694=$N693),$Q693)),IF(OR(AND(OR($E694&lt;&gt;"",$L694=""),$M694&lt;&gt;0),$A694=""),IFERROR(VLOOKUP($E694,Selection!$E:$F,2,false)),IFERROR(VLOOKUP(SUBSTITUTE($I694,"-","",1),$K695:$Q1119,7,false),VLOOKUP($K694,$K695:$Q1119,7,false))))</f>
        <v/>
      </c>
      <c r="R694" s="34" t="str">
        <f t="shared" si="2"/>
        <v/>
      </c>
      <c r="S694" s="37" t="str">
        <f t="shared" si="3"/>
        <v/>
      </c>
      <c r="T694" s="38" t="str">
        <f t="shared" si="4"/>
        <v/>
      </c>
      <c r="U694" s="28" t="str">
        <f t="shared" si="5"/>
        <v/>
      </c>
      <c r="V694" s="39" t="str">
        <f>IFERROR(__xludf.DUMMYFUNCTION(" IF(Account!$F694&lt;&gt;"""", SPLIT(Account!$F694, "" ""), """")"),"")</f>
        <v/>
      </c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</row>
    <row r="695">
      <c r="A695" s="341"/>
      <c r="B695" s="341"/>
      <c r="C695" s="341"/>
      <c r="D695" s="341"/>
      <c r="E695" s="341"/>
      <c r="F695" s="373"/>
      <c r="G695" s="341"/>
      <c r="H695" s="341"/>
      <c r="I695" s="341"/>
      <c r="J695" s="341"/>
      <c r="K695" s="341"/>
      <c r="L695" s="26" t="str">
        <f t="shared" si="1"/>
        <v/>
      </c>
      <c r="M695" s="28" t="str">
        <f>IFERROR(__xludf.DUMMYFUNCTION("IF(Account!$F695&lt;&gt;"""", VALUE(REGEXREPLACE($I695, ""\,"", ""."")), """")"),"")</f>
        <v/>
      </c>
      <c r="N695" s="31" t="str">
        <f>IF(Account!$F695&lt;&gt;"", DATEVALUE(MID($A695,4,3) &amp; LEFT($A695,3) &amp; RIGHT($A695,4)) + TIMEVALUE($B695), "")</f>
        <v/>
      </c>
      <c r="O695" s="33" t="str">
        <f>IF(Account!$F695&lt;&gt;"", DATEVALUE(MID($A695,4,3) &amp; LEFT($A695,3) &amp; RIGHT($A695,4)), "")</f>
        <v/>
      </c>
      <c r="P695" s="34" t="str">
        <f>IFERROR(VLOOKUP($Q695,Selection!$F:$G,2,false))</f>
        <v/>
      </c>
      <c r="Q695" s="36" t="str">
        <f>IF(AND($X695="change",$H695="EUR"),IF(AND($Z695="Crédit",$N695=$N696),$Q696,IF(AND($Z695="Débit",$N695=$N694),$Q694)),IF(OR(AND(OR($E695&lt;&gt;"",$L695=""),$M695&lt;&gt;0),$A695=""),IFERROR(VLOOKUP($E695,Selection!$E:$F,2,false)),IFERROR(VLOOKUP(SUBSTITUTE($I695,"-","",1),$K696:$Q1119,7,false),VLOOKUP($K695,$K696:$Q1119,7,false))))</f>
        <v/>
      </c>
      <c r="R695" s="34" t="str">
        <f t="shared" si="2"/>
        <v/>
      </c>
      <c r="S695" s="37" t="str">
        <f t="shared" si="3"/>
        <v/>
      </c>
      <c r="T695" s="38" t="str">
        <f t="shared" si="4"/>
        <v/>
      </c>
      <c r="U695" s="28" t="str">
        <f t="shared" si="5"/>
        <v/>
      </c>
      <c r="V695" s="39" t="str">
        <f>IFERROR(__xludf.DUMMYFUNCTION(" IF(Account!$F695&lt;&gt;"""", SPLIT(Account!$F695, "" ""), """")"),"")</f>
        <v/>
      </c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</row>
    <row r="696">
      <c r="A696" s="341"/>
      <c r="B696" s="341"/>
      <c r="C696" s="341"/>
      <c r="D696" s="341"/>
      <c r="E696" s="341"/>
      <c r="F696" s="373"/>
      <c r="G696" s="341"/>
      <c r="H696" s="341"/>
      <c r="I696" s="341"/>
      <c r="J696" s="341"/>
      <c r="K696" s="341"/>
      <c r="L696" s="26" t="str">
        <f t="shared" si="1"/>
        <v/>
      </c>
      <c r="M696" s="28" t="str">
        <f>IFERROR(__xludf.DUMMYFUNCTION("IF(Account!$F696&lt;&gt;"""", VALUE(REGEXREPLACE($I696, ""\,"", ""."")), """")"),"")</f>
        <v/>
      </c>
      <c r="N696" s="31" t="str">
        <f>IF(Account!$F696&lt;&gt;"", DATEVALUE(MID($A696,4,3) &amp; LEFT($A696,3) &amp; RIGHT($A696,4)) + TIMEVALUE($B696), "")</f>
        <v/>
      </c>
      <c r="O696" s="33" t="str">
        <f>IF(Account!$F696&lt;&gt;"", DATEVALUE(MID($A696,4,3) &amp; LEFT($A696,3) &amp; RIGHT($A696,4)), "")</f>
        <v/>
      </c>
      <c r="P696" s="34" t="str">
        <f>IFERROR(VLOOKUP($Q696,Selection!$F:$G,2,false))</f>
        <v/>
      </c>
      <c r="Q696" s="36" t="str">
        <f>IF(AND($X696="change",$H696="EUR"),IF(AND($Z696="Crédit",$N696=$N697),$Q697,IF(AND($Z696="Débit",$N696=$N695),$Q695)),IF(OR(AND(OR($E696&lt;&gt;"",$L696=""),$M696&lt;&gt;0),$A696=""),IFERROR(VLOOKUP($E696,Selection!$E:$F,2,false)),IFERROR(VLOOKUP(SUBSTITUTE($I696,"-","",1),$K697:$Q1119,7,false),VLOOKUP($K696,$K697:$Q1119,7,false))))</f>
        <v/>
      </c>
      <c r="R696" s="34" t="str">
        <f t="shared" si="2"/>
        <v/>
      </c>
      <c r="S696" s="37" t="str">
        <f t="shared" si="3"/>
        <v/>
      </c>
      <c r="T696" s="38" t="str">
        <f t="shared" si="4"/>
        <v/>
      </c>
      <c r="U696" s="28" t="str">
        <f t="shared" si="5"/>
        <v/>
      </c>
      <c r="V696" s="39" t="str">
        <f>IFERROR(__xludf.DUMMYFUNCTION(" IF(Account!$F696&lt;&gt;"""", SPLIT(Account!$F696, "" ""), """")"),"")</f>
        <v/>
      </c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</row>
    <row r="697">
      <c r="A697" s="341"/>
      <c r="B697" s="341"/>
      <c r="C697" s="341"/>
      <c r="D697" s="341"/>
      <c r="E697" s="341"/>
      <c r="F697" s="373"/>
      <c r="G697" s="341"/>
      <c r="H697" s="341"/>
      <c r="I697" s="341"/>
      <c r="J697" s="341"/>
      <c r="K697" s="341"/>
      <c r="L697" s="26" t="str">
        <f t="shared" si="1"/>
        <v/>
      </c>
      <c r="M697" s="28" t="str">
        <f>IFERROR(__xludf.DUMMYFUNCTION("IF(Account!$F697&lt;&gt;"""", VALUE(REGEXREPLACE($I697, ""\,"", ""."")), """")"),"")</f>
        <v/>
      </c>
      <c r="N697" s="31" t="str">
        <f>IF(Account!$F697&lt;&gt;"", DATEVALUE(MID($A697,4,3) &amp; LEFT($A697,3) &amp; RIGHT($A697,4)) + TIMEVALUE($B697), "")</f>
        <v/>
      </c>
      <c r="O697" s="33" t="str">
        <f>IF(Account!$F697&lt;&gt;"", DATEVALUE(MID($A697,4,3) &amp; LEFT($A697,3) &amp; RIGHT($A697,4)), "")</f>
        <v/>
      </c>
      <c r="P697" s="34" t="str">
        <f>IFERROR(VLOOKUP($Q697,Selection!$F:$G,2,false))</f>
        <v/>
      </c>
      <c r="Q697" s="36" t="str">
        <f>IF(AND($X697="change",$H697="EUR"),IF(AND($Z697="Crédit",$N697=$N698),$Q698,IF(AND($Z697="Débit",$N697=$N696),$Q696)),IF(OR(AND(OR($E697&lt;&gt;"",$L697=""),$M697&lt;&gt;0),$A697=""),IFERROR(VLOOKUP($E697,Selection!$E:$F,2,false)),IFERROR(VLOOKUP(SUBSTITUTE($I697,"-","",1),$K698:$Q1119,7,false),VLOOKUP($K697,$K698:$Q1119,7,false))))</f>
        <v/>
      </c>
      <c r="R697" s="34" t="str">
        <f t="shared" si="2"/>
        <v/>
      </c>
      <c r="S697" s="37" t="str">
        <f t="shared" si="3"/>
        <v/>
      </c>
      <c r="T697" s="38" t="str">
        <f t="shared" si="4"/>
        <v/>
      </c>
      <c r="U697" s="28" t="str">
        <f t="shared" si="5"/>
        <v/>
      </c>
      <c r="V697" s="39" t="str">
        <f>IFERROR(__xludf.DUMMYFUNCTION(" IF(Account!$F697&lt;&gt;"""", SPLIT(Account!$F697, "" ""), """")"),"")</f>
        <v/>
      </c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</row>
    <row r="698">
      <c r="A698" s="341"/>
      <c r="B698" s="341"/>
      <c r="C698" s="341"/>
      <c r="D698" s="341"/>
      <c r="E698" s="341"/>
      <c r="F698" s="373"/>
      <c r="G698" s="341"/>
      <c r="H698" s="341"/>
      <c r="I698" s="341"/>
      <c r="J698" s="341"/>
      <c r="K698" s="341"/>
      <c r="L698" s="26" t="str">
        <f t="shared" si="1"/>
        <v/>
      </c>
      <c r="M698" s="28" t="str">
        <f>IFERROR(__xludf.DUMMYFUNCTION("IF(Account!$F698&lt;&gt;"""", VALUE(REGEXREPLACE($I698, ""\,"", ""."")), """")"),"")</f>
        <v/>
      </c>
      <c r="N698" s="31" t="str">
        <f>IF(Account!$F698&lt;&gt;"", DATEVALUE(MID($A698,4,3) &amp; LEFT($A698,3) &amp; RIGHT($A698,4)) + TIMEVALUE($B698), "")</f>
        <v/>
      </c>
      <c r="O698" s="33" t="str">
        <f>IF(Account!$F698&lt;&gt;"", DATEVALUE(MID($A698,4,3) &amp; LEFT($A698,3) &amp; RIGHT($A698,4)), "")</f>
        <v/>
      </c>
      <c r="P698" s="34" t="str">
        <f>IFERROR(VLOOKUP($Q698,Selection!$F:$G,2,false))</f>
        <v/>
      </c>
      <c r="Q698" s="36" t="str">
        <f>IF(AND($X698="change",$H698="EUR"),IF(AND($Z698="Crédit",$N698=$N699),$Q699,IF(AND($Z698="Débit",$N698=$N697),$Q697)),IF(OR(AND(OR($E698&lt;&gt;"",$L698=""),$M698&lt;&gt;0),$A698=""),IFERROR(VLOOKUP($E698,Selection!$E:$F,2,false)),IFERROR(VLOOKUP(SUBSTITUTE($I698,"-","",1),$K699:$Q1119,7,false),VLOOKUP($K698,$K699:$Q1119,7,false))))</f>
        <v/>
      </c>
      <c r="R698" s="34" t="str">
        <f t="shared" si="2"/>
        <v/>
      </c>
      <c r="S698" s="37" t="str">
        <f t="shared" si="3"/>
        <v/>
      </c>
      <c r="T698" s="38" t="str">
        <f t="shared" si="4"/>
        <v/>
      </c>
      <c r="U698" s="28" t="str">
        <f t="shared" si="5"/>
        <v/>
      </c>
      <c r="V698" s="39" t="str">
        <f>IFERROR(__xludf.DUMMYFUNCTION(" IF(Account!$F698&lt;&gt;"""", SPLIT(Account!$F698, "" ""), """")"),"")</f>
        <v/>
      </c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</row>
    <row r="699">
      <c r="A699" s="341"/>
      <c r="B699" s="341"/>
      <c r="C699" s="341"/>
      <c r="D699" s="341"/>
      <c r="E699" s="341"/>
      <c r="F699" s="373"/>
      <c r="G699" s="341"/>
      <c r="H699" s="341"/>
      <c r="I699" s="341"/>
      <c r="J699" s="341"/>
      <c r="K699" s="341"/>
      <c r="L699" s="26" t="str">
        <f t="shared" si="1"/>
        <v/>
      </c>
      <c r="M699" s="28" t="str">
        <f>IFERROR(__xludf.DUMMYFUNCTION("IF(Account!$F699&lt;&gt;"""", VALUE(REGEXREPLACE($I699, ""\,"", ""."")), """")"),"")</f>
        <v/>
      </c>
      <c r="N699" s="31" t="str">
        <f>IF(Account!$F699&lt;&gt;"", DATEVALUE(MID($A699,4,3) &amp; LEFT($A699,3) &amp; RIGHT($A699,4)) + TIMEVALUE($B699), "")</f>
        <v/>
      </c>
      <c r="O699" s="33" t="str">
        <f>IF(Account!$F699&lt;&gt;"", DATEVALUE(MID($A699,4,3) &amp; LEFT($A699,3) &amp; RIGHT($A699,4)), "")</f>
        <v/>
      </c>
      <c r="P699" s="34" t="str">
        <f>IFERROR(VLOOKUP($Q699,Selection!$F:$G,2,false))</f>
        <v/>
      </c>
      <c r="Q699" s="36" t="str">
        <f>IF(AND($X699="change",$H699="EUR"),IF(AND($Z699="Crédit",$N699=$N700),$Q700,IF(AND($Z699="Débit",$N699=$N698),$Q698)),IF(OR(AND(OR($E699&lt;&gt;"",$L699=""),$M699&lt;&gt;0),$A699=""),IFERROR(VLOOKUP($E699,Selection!$E:$F,2,false)),IFERROR(VLOOKUP(SUBSTITUTE($I699,"-","",1),$K700:$Q1119,7,false),VLOOKUP($K699,$K700:$Q1119,7,false))))</f>
        <v/>
      </c>
      <c r="R699" s="34" t="str">
        <f t="shared" si="2"/>
        <v/>
      </c>
      <c r="S699" s="37" t="str">
        <f t="shared" si="3"/>
        <v/>
      </c>
      <c r="T699" s="38" t="str">
        <f t="shared" si="4"/>
        <v/>
      </c>
      <c r="U699" s="28" t="str">
        <f t="shared" si="5"/>
        <v/>
      </c>
      <c r="V699" s="39" t="str">
        <f>IFERROR(__xludf.DUMMYFUNCTION(" IF(Account!$F699&lt;&gt;"""", SPLIT(Account!$F699, "" ""), """")"),"")</f>
        <v/>
      </c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</row>
    <row r="700">
      <c r="A700" s="341"/>
      <c r="B700" s="341"/>
      <c r="C700" s="341"/>
      <c r="D700" s="341"/>
      <c r="E700" s="341"/>
      <c r="F700" s="373"/>
      <c r="G700" s="341"/>
      <c r="H700" s="341"/>
      <c r="I700" s="341"/>
      <c r="J700" s="341"/>
      <c r="K700" s="341"/>
      <c r="L700" s="26" t="str">
        <f t="shared" si="1"/>
        <v/>
      </c>
      <c r="M700" s="28" t="str">
        <f>IFERROR(__xludf.DUMMYFUNCTION("IF(Account!$F700&lt;&gt;"""", VALUE(REGEXREPLACE($I700, ""\,"", ""."")), """")"),"")</f>
        <v/>
      </c>
      <c r="N700" s="31" t="str">
        <f>IF(Account!$F700&lt;&gt;"", DATEVALUE(MID($A700,4,3) &amp; LEFT($A700,3) &amp; RIGHT($A700,4)) + TIMEVALUE($B700), "")</f>
        <v/>
      </c>
      <c r="O700" s="33" t="str">
        <f>IF(Account!$F700&lt;&gt;"", DATEVALUE(MID($A700,4,3) &amp; LEFT($A700,3) &amp; RIGHT($A700,4)), "")</f>
        <v/>
      </c>
      <c r="P700" s="34" t="str">
        <f>IFERROR(VLOOKUP($Q700,Selection!$F:$G,2,false))</f>
        <v/>
      </c>
      <c r="Q700" s="36" t="str">
        <f>IF(AND($X700="change",$H700="EUR"),IF(AND($Z700="Crédit",$N700=$N701),$Q701,IF(AND($Z700="Débit",$N700=$N699),$Q699)),IF(OR(AND(OR($E700&lt;&gt;"",$L700=""),$M700&lt;&gt;0),$A700=""),IFERROR(VLOOKUP($E700,Selection!$E:$F,2,false)),IFERROR(VLOOKUP(SUBSTITUTE($I700,"-","",1),$K701:$Q1119,7,false),VLOOKUP($K700,$K701:$Q1119,7,false))))</f>
        <v/>
      </c>
      <c r="R700" s="34" t="str">
        <f t="shared" si="2"/>
        <v/>
      </c>
      <c r="S700" s="37" t="str">
        <f t="shared" si="3"/>
        <v/>
      </c>
      <c r="T700" s="38" t="str">
        <f t="shared" si="4"/>
        <v/>
      </c>
      <c r="U700" s="28" t="str">
        <f t="shared" si="5"/>
        <v/>
      </c>
      <c r="V700" s="39" t="str">
        <f>IFERROR(__xludf.DUMMYFUNCTION(" IF(Account!$F700&lt;&gt;"""", SPLIT(Account!$F700, "" ""), """")"),"")</f>
        <v/>
      </c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</row>
    <row r="701">
      <c r="A701" s="341"/>
      <c r="B701" s="341"/>
      <c r="C701" s="341"/>
      <c r="D701" s="341"/>
      <c r="E701" s="341"/>
      <c r="F701" s="373"/>
      <c r="G701" s="341"/>
      <c r="H701" s="341"/>
      <c r="I701" s="341"/>
      <c r="J701" s="341"/>
      <c r="K701" s="341"/>
      <c r="L701" s="26" t="str">
        <f t="shared" si="1"/>
        <v/>
      </c>
      <c r="M701" s="28" t="str">
        <f>IFERROR(__xludf.DUMMYFUNCTION("IF(Account!$F701&lt;&gt;"""", VALUE(REGEXREPLACE($I701, ""\,"", ""."")), """")"),"")</f>
        <v/>
      </c>
      <c r="N701" s="31" t="str">
        <f>IF(Account!$F701&lt;&gt;"", DATEVALUE(MID($A701,4,3) &amp; LEFT($A701,3) &amp; RIGHT($A701,4)) + TIMEVALUE($B701), "")</f>
        <v/>
      </c>
      <c r="O701" s="33" t="str">
        <f>IF(Account!$F701&lt;&gt;"", DATEVALUE(MID($A701,4,3) &amp; LEFT($A701,3) &amp; RIGHT($A701,4)), "")</f>
        <v/>
      </c>
      <c r="P701" s="34" t="str">
        <f>IFERROR(VLOOKUP($Q701,Selection!$F:$G,2,false))</f>
        <v/>
      </c>
      <c r="Q701" s="36" t="str">
        <f>IF(AND($X701="change",$H701="EUR"),IF(AND($Z701="Crédit",$N701=$N702),$Q702,IF(AND($Z701="Débit",$N701=$N700),$Q700)),IF(OR(AND(OR($E701&lt;&gt;"",$L701=""),$M701&lt;&gt;0),$A701=""),IFERROR(VLOOKUP($E701,Selection!$E:$F,2,false)),IFERROR(VLOOKUP(SUBSTITUTE($I701,"-","",1),$K702:$Q1119,7,false),VLOOKUP($K701,$K702:$Q1119,7,false))))</f>
        <v/>
      </c>
      <c r="R701" s="34" t="str">
        <f t="shared" si="2"/>
        <v/>
      </c>
      <c r="S701" s="37" t="str">
        <f t="shared" si="3"/>
        <v/>
      </c>
      <c r="T701" s="38" t="str">
        <f t="shared" si="4"/>
        <v/>
      </c>
      <c r="U701" s="28" t="str">
        <f t="shared" si="5"/>
        <v/>
      </c>
      <c r="V701" s="39" t="str">
        <f>IFERROR(__xludf.DUMMYFUNCTION(" IF(Account!$F701&lt;&gt;"""", SPLIT(Account!$F701, "" ""), """")"),"")</f>
        <v/>
      </c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</row>
    <row r="702">
      <c r="A702" s="341"/>
      <c r="B702" s="341"/>
      <c r="C702" s="341"/>
      <c r="D702" s="341"/>
      <c r="E702" s="341"/>
      <c r="F702" s="373"/>
      <c r="G702" s="341"/>
      <c r="H702" s="341"/>
      <c r="I702" s="341"/>
      <c r="J702" s="341"/>
      <c r="K702" s="341"/>
      <c r="L702" s="26" t="str">
        <f t="shared" si="1"/>
        <v/>
      </c>
      <c r="M702" s="28" t="str">
        <f>IFERROR(__xludf.DUMMYFUNCTION("IF(Account!$F702&lt;&gt;"""", VALUE(REGEXREPLACE($I702, ""\,"", ""."")), """")"),"")</f>
        <v/>
      </c>
      <c r="N702" s="31" t="str">
        <f>IF(Account!$F702&lt;&gt;"", DATEVALUE(MID($A702,4,3) &amp; LEFT($A702,3) &amp; RIGHT($A702,4)) + TIMEVALUE($B702), "")</f>
        <v/>
      </c>
      <c r="O702" s="33" t="str">
        <f>IF(Account!$F702&lt;&gt;"", DATEVALUE(MID($A702,4,3) &amp; LEFT($A702,3) &amp; RIGHT($A702,4)), "")</f>
        <v/>
      </c>
      <c r="P702" s="34" t="str">
        <f>IFERROR(VLOOKUP($Q702,Selection!$F:$G,2,false))</f>
        <v/>
      </c>
      <c r="Q702" s="36" t="str">
        <f>IF(AND($X702="change",$H702="EUR"),IF(AND($Z702="Crédit",$N702=$N703),$Q703,IF(AND($Z702="Débit",$N702=$N701),$Q701)),IF(OR(AND(OR($E702&lt;&gt;"",$L702=""),$M702&lt;&gt;0),$A702=""),IFERROR(VLOOKUP($E702,Selection!$E:$F,2,false)),IFERROR(VLOOKUP(SUBSTITUTE($I702,"-","",1),$K703:$Q1119,7,false),VLOOKUP($K702,$K703:$Q1119,7,false))))</f>
        <v/>
      </c>
      <c r="R702" s="34" t="str">
        <f t="shared" si="2"/>
        <v/>
      </c>
      <c r="S702" s="37" t="str">
        <f t="shared" si="3"/>
        <v/>
      </c>
      <c r="T702" s="38" t="str">
        <f t="shared" si="4"/>
        <v/>
      </c>
      <c r="U702" s="28" t="str">
        <f t="shared" si="5"/>
        <v/>
      </c>
      <c r="V702" s="39" t="str">
        <f>IFERROR(__xludf.DUMMYFUNCTION(" IF(Account!$F702&lt;&gt;"""", SPLIT(Account!$F702, "" ""), """")"),"")</f>
        <v/>
      </c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</row>
    <row r="703">
      <c r="A703" s="341"/>
      <c r="B703" s="341"/>
      <c r="C703" s="341"/>
      <c r="D703" s="341"/>
      <c r="E703" s="341"/>
      <c r="F703" s="373"/>
      <c r="G703" s="341"/>
      <c r="H703" s="341"/>
      <c r="I703" s="341"/>
      <c r="J703" s="341"/>
      <c r="K703" s="341"/>
      <c r="L703" s="26" t="str">
        <f t="shared" si="1"/>
        <v/>
      </c>
      <c r="M703" s="28" t="str">
        <f>IFERROR(__xludf.DUMMYFUNCTION("IF(Account!$F703&lt;&gt;"""", VALUE(REGEXREPLACE($I703, ""\,"", ""."")), """")"),"")</f>
        <v/>
      </c>
      <c r="N703" s="31" t="str">
        <f>IF(Account!$F703&lt;&gt;"", DATEVALUE(MID($A703,4,3) &amp; LEFT($A703,3) &amp; RIGHT($A703,4)) + TIMEVALUE($B703), "")</f>
        <v/>
      </c>
      <c r="O703" s="33" t="str">
        <f>IF(Account!$F703&lt;&gt;"", DATEVALUE(MID($A703,4,3) &amp; LEFT($A703,3) &amp; RIGHT($A703,4)), "")</f>
        <v/>
      </c>
      <c r="P703" s="34" t="str">
        <f>IFERROR(VLOOKUP($Q703,Selection!$F:$G,2,false))</f>
        <v/>
      </c>
      <c r="Q703" s="36" t="str">
        <f>IF(AND($X703="change",$H703="EUR"),IF(AND($Z703="Crédit",$N703=$N704),$Q704,IF(AND($Z703="Débit",$N703=$N702),$Q702)),IF(OR(AND(OR($E703&lt;&gt;"",$L703=""),$M703&lt;&gt;0),$A703=""),IFERROR(VLOOKUP($E703,Selection!$E:$F,2,false)),IFERROR(VLOOKUP(SUBSTITUTE($I703,"-","",1),$K704:$Q1119,7,false),VLOOKUP($K703,$K704:$Q1119,7,false))))</f>
        <v/>
      </c>
      <c r="R703" s="34" t="str">
        <f t="shared" si="2"/>
        <v/>
      </c>
      <c r="S703" s="37" t="str">
        <f t="shared" si="3"/>
        <v/>
      </c>
      <c r="T703" s="38" t="str">
        <f t="shared" si="4"/>
        <v/>
      </c>
      <c r="U703" s="28" t="str">
        <f t="shared" si="5"/>
        <v/>
      </c>
      <c r="V703" s="39" t="str">
        <f>IFERROR(__xludf.DUMMYFUNCTION(" IF(Account!$F703&lt;&gt;"""", SPLIT(Account!$F703, "" ""), """")"),"")</f>
        <v/>
      </c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</row>
    <row r="704">
      <c r="A704" s="341"/>
      <c r="B704" s="341"/>
      <c r="C704" s="341"/>
      <c r="D704" s="341"/>
      <c r="E704" s="341"/>
      <c r="F704" s="373"/>
      <c r="G704" s="341"/>
      <c r="H704" s="341"/>
      <c r="I704" s="341"/>
      <c r="J704" s="341"/>
      <c r="K704" s="341"/>
      <c r="L704" s="26" t="str">
        <f t="shared" si="1"/>
        <v/>
      </c>
      <c r="M704" s="28" t="str">
        <f>IFERROR(__xludf.DUMMYFUNCTION("IF(Account!$F704&lt;&gt;"""", VALUE(REGEXREPLACE($I704, ""\,"", ""."")), """")"),"")</f>
        <v/>
      </c>
      <c r="N704" s="31" t="str">
        <f>IF(Account!$F704&lt;&gt;"", DATEVALUE(MID($A704,4,3) &amp; LEFT($A704,3) &amp; RIGHT($A704,4)) + TIMEVALUE($B704), "")</f>
        <v/>
      </c>
      <c r="O704" s="33" t="str">
        <f>IF(Account!$F704&lt;&gt;"", DATEVALUE(MID($A704,4,3) &amp; LEFT($A704,3) &amp; RIGHT($A704,4)), "")</f>
        <v/>
      </c>
      <c r="P704" s="34" t="str">
        <f>IFERROR(VLOOKUP($Q704,Selection!$F:$G,2,false))</f>
        <v/>
      </c>
      <c r="Q704" s="36" t="str">
        <f>IF(AND($X704="change",$H704="EUR"),IF(AND($Z704="Crédit",$N704=$N705),$Q705,IF(AND($Z704="Débit",$N704=$N703),$Q703)),IF(OR(AND(OR($E704&lt;&gt;"",$L704=""),$M704&lt;&gt;0),$A704=""),IFERROR(VLOOKUP($E704,Selection!$E:$F,2,false)),IFERROR(VLOOKUP(SUBSTITUTE($I704,"-","",1),$K705:$Q1119,7,false),VLOOKUP($K704,$K705:$Q1119,7,false))))</f>
        <v/>
      </c>
      <c r="R704" s="34" t="str">
        <f t="shared" si="2"/>
        <v/>
      </c>
      <c r="S704" s="37" t="str">
        <f t="shared" si="3"/>
        <v/>
      </c>
      <c r="T704" s="38" t="str">
        <f t="shared" si="4"/>
        <v/>
      </c>
      <c r="U704" s="28" t="str">
        <f t="shared" si="5"/>
        <v/>
      </c>
      <c r="V704" s="39" t="str">
        <f>IFERROR(__xludf.DUMMYFUNCTION(" IF(Account!$F704&lt;&gt;"""", SPLIT(Account!$F704, "" ""), """")"),"")</f>
        <v/>
      </c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</row>
    <row r="705">
      <c r="A705" s="341"/>
      <c r="B705" s="341"/>
      <c r="C705" s="341"/>
      <c r="D705" s="341"/>
      <c r="E705" s="341"/>
      <c r="F705" s="373"/>
      <c r="G705" s="341"/>
      <c r="H705" s="341"/>
      <c r="I705" s="341"/>
      <c r="J705" s="341"/>
      <c r="K705" s="341"/>
      <c r="L705" s="26" t="str">
        <f t="shared" si="1"/>
        <v/>
      </c>
      <c r="M705" s="28" t="str">
        <f>IFERROR(__xludf.DUMMYFUNCTION("IF(Account!$F705&lt;&gt;"""", VALUE(REGEXREPLACE($I705, ""\,"", ""."")), """")"),"")</f>
        <v/>
      </c>
      <c r="N705" s="31" t="str">
        <f>IF(Account!$F705&lt;&gt;"", DATEVALUE(MID($A705,4,3) &amp; LEFT($A705,3) &amp; RIGHT($A705,4)) + TIMEVALUE($B705), "")</f>
        <v/>
      </c>
      <c r="O705" s="33" t="str">
        <f>IF(Account!$F705&lt;&gt;"", DATEVALUE(MID($A705,4,3) &amp; LEFT($A705,3) &amp; RIGHT($A705,4)), "")</f>
        <v/>
      </c>
      <c r="P705" s="34" t="str">
        <f>IFERROR(VLOOKUP($Q705,Selection!$F:$G,2,false))</f>
        <v/>
      </c>
      <c r="Q705" s="36" t="str">
        <f>IF(AND($X705="change",$H705="EUR"),IF(AND($Z705="Crédit",$N705=$N706),$Q706,IF(AND($Z705="Débit",$N705=$N704),$Q704)),IF(OR(AND(OR($E705&lt;&gt;"",$L705=""),$M705&lt;&gt;0),$A705=""),IFERROR(VLOOKUP($E705,Selection!$E:$F,2,false)),IFERROR(VLOOKUP(SUBSTITUTE($I705,"-","",1),$K706:$Q1119,7,false),VLOOKUP($K705,$K706:$Q1119,7,false))))</f>
        <v/>
      </c>
      <c r="R705" s="34" t="str">
        <f t="shared" si="2"/>
        <v/>
      </c>
      <c r="S705" s="37" t="str">
        <f t="shared" si="3"/>
        <v/>
      </c>
      <c r="T705" s="38" t="str">
        <f t="shared" si="4"/>
        <v/>
      </c>
      <c r="U705" s="28" t="str">
        <f t="shared" si="5"/>
        <v/>
      </c>
      <c r="V705" s="39" t="str">
        <f>IFERROR(__xludf.DUMMYFUNCTION(" IF(Account!$F705&lt;&gt;"""", SPLIT(Account!$F705, "" ""), """")"),"")</f>
        <v/>
      </c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</row>
    <row r="706">
      <c r="A706" s="341"/>
      <c r="B706" s="341"/>
      <c r="C706" s="341"/>
      <c r="D706" s="341"/>
      <c r="E706" s="341"/>
      <c r="F706" s="373"/>
      <c r="G706" s="341"/>
      <c r="H706" s="341"/>
      <c r="I706" s="341"/>
      <c r="J706" s="341"/>
      <c r="K706" s="341"/>
      <c r="L706" s="26" t="str">
        <f t="shared" si="1"/>
        <v/>
      </c>
      <c r="M706" s="28" t="str">
        <f>IFERROR(__xludf.DUMMYFUNCTION("IF(Account!$F706&lt;&gt;"""", VALUE(REGEXREPLACE($I706, ""\,"", ""."")), """")"),"")</f>
        <v/>
      </c>
      <c r="N706" s="31" t="str">
        <f>IF(Account!$F706&lt;&gt;"", DATEVALUE(MID($A706,4,3) &amp; LEFT($A706,3) &amp; RIGHT($A706,4)) + TIMEVALUE($B706), "")</f>
        <v/>
      </c>
      <c r="O706" s="33" t="str">
        <f>IF(Account!$F706&lt;&gt;"", DATEVALUE(MID($A706,4,3) &amp; LEFT($A706,3) &amp; RIGHT($A706,4)), "")</f>
        <v/>
      </c>
      <c r="P706" s="34" t="str">
        <f>IFERROR(VLOOKUP($Q706,Selection!$F:$G,2,false))</f>
        <v/>
      </c>
      <c r="Q706" s="36" t="str">
        <f>IF(AND($X706="change",$H706="EUR"),IF(AND($Z706="Crédit",$N706=$N707),$Q707,IF(AND($Z706="Débit",$N706=$N705),$Q705)),IF(OR(AND(OR($E706&lt;&gt;"",$L706=""),$M706&lt;&gt;0),$A706=""),IFERROR(VLOOKUP($E706,Selection!$E:$F,2,false)),IFERROR(VLOOKUP(SUBSTITUTE($I706,"-","",1),$K707:$Q1119,7,false),VLOOKUP($K706,$K707:$Q1119,7,false))))</f>
        <v/>
      </c>
      <c r="R706" s="34" t="str">
        <f t="shared" si="2"/>
        <v/>
      </c>
      <c r="S706" s="37" t="str">
        <f t="shared" si="3"/>
        <v/>
      </c>
      <c r="T706" s="38" t="str">
        <f t="shared" si="4"/>
        <v/>
      </c>
      <c r="U706" s="28" t="str">
        <f t="shared" si="5"/>
        <v/>
      </c>
      <c r="V706" s="39" t="str">
        <f>IFERROR(__xludf.DUMMYFUNCTION(" IF(Account!$F706&lt;&gt;"""", SPLIT(Account!$F706, "" ""), """")"),"")</f>
        <v/>
      </c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</row>
    <row r="707">
      <c r="A707" s="341"/>
      <c r="B707" s="341"/>
      <c r="C707" s="341"/>
      <c r="D707" s="341"/>
      <c r="E707" s="341"/>
      <c r="F707" s="373"/>
      <c r="G707" s="341"/>
      <c r="H707" s="341"/>
      <c r="I707" s="341"/>
      <c r="J707" s="341"/>
      <c r="K707" s="341"/>
      <c r="L707" s="26" t="str">
        <f t="shared" si="1"/>
        <v/>
      </c>
      <c r="M707" s="28" t="str">
        <f>IFERROR(__xludf.DUMMYFUNCTION("IF(Account!$F707&lt;&gt;"""", VALUE(REGEXREPLACE($I707, ""\,"", ""."")), """")"),"")</f>
        <v/>
      </c>
      <c r="N707" s="31" t="str">
        <f>IF(Account!$F707&lt;&gt;"", DATEVALUE(MID($A707,4,3) &amp; LEFT($A707,3) &amp; RIGHT($A707,4)) + TIMEVALUE($B707), "")</f>
        <v/>
      </c>
      <c r="O707" s="33" t="str">
        <f>IF(Account!$F707&lt;&gt;"", DATEVALUE(MID($A707,4,3) &amp; LEFT($A707,3) &amp; RIGHT($A707,4)), "")</f>
        <v/>
      </c>
      <c r="P707" s="34" t="str">
        <f>IFERROR(VLOOKUP($Q707,Selection!$F:$G,2,false))</f>
        <v/>
      </c>
      <c r="Q707" s="36" t="str">
        <f>IF(AND($X707="change",$H707="EUR"),IF(AND($Z707="Crédit",$N707=$N708),$Q708,IF(AND($Z707="Débit",$N707=$N706),$Q706)),IF(OR(AND(OR($E707&lt;&gt;"",$L707=""),$M707&lt;&gt;0),$A707=""),IFERROR(VLOOKUP($E707,Selection!$E:$F,2,false)),IFERROR(VLOOKUP(SUBSTITUTE($I707,"-","",1),$K708:$Q1119,7,false),VLOOKUP($K707,$K708:$Q1119,7,false))))</f>
        <v/>
      </c>
      <c r="R707" s="34" t="str">
        <f t="shared" si="2"/>
        <v/>
      </c>
      <c r="S707" s="37" t="str">
        <f t="shared" si="3"/>
        <v/>
      </c>
      <c r="T707" s="38" t="str">
        <f t="shared" si="4"/>
        <v/>
      </c>
      <c r="U707" s="28" t="str">
        <f t="shared" si="5"/>
        <v/>
      </c>
      <c r="V707" s="39" t="str">
        <f>IFERROR(__xludf.DUMMYFUNCTION(" IF(Account!$F707&lt;&gt;"""", SPLIT(Account!$F707, "" ""), """")"),"")</f>
        <v/>
      </c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</row>
    <row r="708">
      <c r="A708" s="341"/>
      <c r="B708" s="341"/>
      <c r="C708" s="341"/>
      <c r="D708" s="341"/>
      <c r="E708" s="341"/>
      <c r="F708" s="373"/>
      <c r="G708" s="341"/>
      <c r="H708" s="341"/>
      <c r="I708" s="341"/>
      <c r="J708" s="341"/>
      <c r="K708" s="341"/>
      <c r="L708" s="26" t="str">
        <f t="shared" si="1"/>
        <v/>
      </c>
      <c r="M708" s="28" t="str">
        <f>IFERROR(__xludf.DUMMYFUNCTION("IF(Account!$F708&lt;&gt;"""", VALUE(REGEXREPLACE($I708, ""\,"", ""."")), """")"),"")</f>
        <v/>
      </c>
      <c r="N708" s="31" t="str">
        <f>IF(Account!$F708&lt;&gt;"", DATEVALUE(MID($A708,4,3) &amp; LEFT($A708,3) &amp; RIGHT($A708,4)) + TIMEVALUE($B708), "")</f>
        <v/>
      </c>
      <c r="O708" s="33" t="str">
        <f>IF(Account!$F708&lt;&gt;"", DATEVALUE(MID($A708,4,3) &amp; LEFT($A708,3) &amp; RIGHT($A708,4)), "")</f>
        <v/>
      </c>
      <c r="P708" s="34" t="str">
        <f>IFERROR(VLOOKUP($Q708,Selection!$F:$G,2,false))</f>
        <v/>
      </c>
      <c r="Q708" s="36" t="str">
        <f>IF(AND($X708="change",$H708="EUR"),IF(AND($Z708="Crédit",$N708=$N709),$Q709,IF(AND($Z708="Débit",$N708=$N707),$Q707)),IF(OR(AND(OR($E708&lt;&gt;"",$L708=""),$M708&lt;&gt;0),$A708=""),IFERROR(VLOOKUP($E708,Selection!$E:$F,2,false)),IFERROR(VLOOKUP(SUBSTITUTE($I708,"-","",1),$K709:$Q1119,7,false),VLOOKUP($K708,$K709:$Q1119,7,false))))</f>
        <v/>
      </c>
      <c r="R708" s="34" t="str">
        <f t="shared" si="2"/>
        <v/>
      </c>
      <c r="S708" s="37" t="str">
        <f t="shared" si="3"/>
        <v/>
      </c>
      <c r="T708" s="38" t="str">
        <f t="shared" si="4"/>
        <v/>
      </c>
      <c r="U708" s="28" t="str">
        <f t="shared" si="5"/>
        <v/>
      </c>
      <c r="V708" s="39" t="str">
        <f>IFERROR(__xludf.DUMMYFUNCTION(" IF(Account!$F708&lt;&gt;"""", SPLIT(Account!$F708, "" ""), """")"),"")</f>
        <v/>
      </c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</row>
    <row r="709">
      <c r="A709" s="341"/>
      <c r="B709" s="341"/>
      <c r="C709" s="341"/>
      <c r="D709" s="341"/>
      <c r="E709" s="341"/>
      <c r="F709" s="373"/>
      <c r="G709" s="341"/>
      <c r="H709" s="341"/>
      <c r="I709" s="341"/>
      <c r="J709" s="341"/>
      <c r="K709" s="341"/>
      <c r="L709" s="26" t="str">
        <f t="shared" si="1"/>
        <v/>
      </c>
      <c r="M709" s="28" t="str">
        <f>IFERROR(__xludf.DUMMYFUNCTION("IF(Account!$F709&lt;&gt;"""", VALUE(REGEXREPLACE($I709, ""\,"", ""."")), """")"),"")</f>
        <v/>
      </c>
      <c r="N709" s="31" t="str">
        <f>IF(Account!$F709&lt;&gt;"", DATEVALUE(MID($A709,4,3) &amp; LEFT($A709,3) &amp; RIGHT($A709,4)) + TIMEVALUE($B709), "")</f>
        <v/>
      </c>
      <c r="O709" s="33" t="str">
        <f>IF(Account!$F709&lt;&gt;"", DATEVALUE(MID($A709,4,3) &amp; LEFT($A709,3) &amp; RIGHT($A709,4)), "")</f>
        <v/>
      </c>
      <c r="P709" s="34" t="str">
        <f>IFERROR(VLOOKUP($Q709,Selection!$F:$G,2,false))</f>
        <v/>
      </c>
      <c r="Q709" s="36" t="str">
        <f>IF(AND($X709="change",$H709="EUR"),IF(AND($Z709="Crédit",$N709=$N710),$Q710,IF(AND($Z709="Débit",$N709=$N708),$Q708)),IF(OR(AND(OR($E709&lt;&gt;"",$L709=""),$M709&lt;&gt;0),$A709=""),IFERROR(VLOOKUP($E709,Selection!$E:$F,2,false)),IFERROR(VLOOKUP(SUBSTITUTE($I709,"-","",1),$K710:$Q1119,7,false),VLOOKUP($K709,$K710:$Q1119,7,false))))</f>
        <v/>
      </c>
      <c r="R709" s="34" t="str">
        <f t="shared" si="2"/>
        <v/>
      </c>
      <c r="S709" s="37" t="str">
        <f t="shared" si="3"/>
        <v/>
      </c>
      <c r="T709" s="38" t="str">
        <f t="shared" si="4"/>
        <v/>
      </c>
      <c r="U709" s="28" t="str">
        <f t="shared" si="5"/>
        <v/>
      </c>
      <c r="V709" s="39" t="str">
        <f>IFERROR(__xludf.DUMMYFUNCTION(" IF(Account!$F709&lt;&gt;"""", SPLIT(Account!$F709, "" ""), """")"),"")</f>
        <v/>
      </c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</row>
    <row r="710">
      <c r="A710" s="341"/>
      <c r="B710" s="341"/>
      <c r="C710" s="341"/>
      <c r="D710" s="341"/>
      <c r="E710" s="341"/>
      <c r="F710" s="373"/>
      <c r="G710" s="341"/>
      <c r="H710" s="341"/>
      <c r="I710" s="341"/>
      <c r="J710" s="341"/>
      <c r="K710" s="341"/>
      <c r="L710" s="26" t="str">
        <f t="shared" si="1"/>
        <v/>
      </c>
      <c r="M710" s="28" t="str">
        <f>IFERROR(__xludf.DUMMYFUNCTION("IF(Account!$F710&lt;&gt;"""", VALUE(REGEXREPLACE($I710, ""\,"", ""."")), """")"),"")</f>
        <v/>
      </c>
      <c r="N710" s="31" t="str">
        <f>IF(Account!$F710&lt;&gt;"", DATEVALUE(MID($A710,4,3) &amp; LEFT($A710,3) &amp; RIGHT($A710,4)) + TIMEVALUE($B710), "")</f>
        <v/>
      </c>
      <c r="O710" s="33" t="str">
        <f>IF(Account!$F710&lt;&gt;"", DATEVALUE(MID($A710,4,3) &amp; LEFT($A710,3) &amp; RIGHT($A710,4)), "")</f>
        <v/>
      </c>
      <c r="P710" s="34" t="str">
        <f>IFERROR(VLOOKUP($Q710,Selection!$F:$G,2,false))</f>
        <v/>
      </c>
      <c r="Q710" s="36" t="str">
        <f>IF(AND($X710="change",$H710="EUR"),IF(AND($Z710="Crédit",$N710=$N711),$Q711,IF(AND($Z710="Débit",$N710=$N709),$Q709)),IF(OR(AND(OR($E710&lt;&gt;"",$L710=""),$M710&lt;&gt;0),$A710=""),IFERROR(VLOOKUP($E710,Selection!$E:$F,2,false)),IFERROR(VLOOKUP(SUBSTITUTE($I710,"-","",1),$K711:$Q1119,7,false),VLOOKUP($K710,$K711:$Q1119,7,false))))</f>
        <v/>
      </c>
      <c r="R710" s="34" t="str">
        <f t="shared" si="2"/>
        <v/>
      </c>
      <c r="S710" s="37" t="str">
        <f t="shared" si="3"/>
        <v/>
      </c>
      <c r="T710" s="38" t="str">
        <f t="shared" si="4"/>
        <v/>
      </c>
      <c r="U710" s="28" t="str">
        <f t="shared" si="5"/>
        <v/>
      </c>
      <c r="V710" s="39" t="str">
        <f>IFERROR(__xludf.DUMMYFUNCTION(" IF(Account!$F710&lt;&gt;"""", SPLIT(Account!$F710, "" ""), """")"),"")</f>
        <v/>
      </c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</row>
    <row r="711">
      <c r="A711" s="341"/>
      <c r="B711" s="341"/>
      <c r="C711" s="341"/>
      <c r="D711" s="341"/>
      <c r="E711" s="341"/>
      <c r="F711" s="373"/>
      <c r="G711" s="341"/>
      <c r="H711" s="341"/>
      <c r="I711" s="341"/>
      <c r="J711" s="341"/>
      <c r="K711" s="341"/>
      <c r="L711" s="26" t="str">
        <f t="shared" si="1"/>
        <v/>
      </c>
      <c r="M711" s="28" t="str">
        <f>IFERROR(__xludf.DUMMYFUNCTION("IF(Account!$F711&lt;&gt;"""", VALUE(REGEXREPLACE($I711, ""\,"", ""."")), """")"),"")</f>
        <v/>
      </c>
      <c r="N711" s="31" t="str">
        <f>IF(Account!$F711&lt;&gt;"", DATEVALUE(MID($A711,4,3) &amp; LEFT($A711,3) &amp; RIGHT($A711,4)) + TIMEVALUE($B711), "")</f>
        <v/>
      </c>
      <c r="O711" s="33" t="str">
        <f>IF(Account!$F711&lt;&gt;"", DATEVALUE(MID($A711,4,3) &amp; LEFT($A711,3) &amp; RIGHT($A711,4)), "")</f>
        <v/>
      </c>
      <c r="P711" s="34" t="str">
        <f>IFERROR(VLOOKUP($Q711,Selection!$F:$G,2,false))</f>
        <v/>
      </c>
      <c r="Q711" s="36" t="str">
        <f>IF(AND($X711="change",$H711="EUR"),IF(AND($Z711="Crédit",$N711=$N712),$Q712,IF(AND($Z711="Débit",$N711=$N710),$Q710)),IF(OR(AND(OR($E711&lt;&gt;"",$L711=""),$M711&lt;&gt;0),$A711=""),IFERROR(VLOOKUP($E711,Selection!$E:$F,2,false)),IFERROR(VLOOKUP(SUBSTITUTE($I711,"-","",1),$K712:$Q1119,7,false),VLOOKUP($K711,$K712:$Q1119,7,false))))</f>
        <v/>
      </c>
      <c r="R711" s="34" t="str">
        <f t="shared" si="2"/>
        <v/>
      </c>
      <c r="S711" s="37" t="str">
        <f t="shared" si="3"/>
        <v/>
      </c>
      <c r="T711" s="38" t="str">
        <f t="shared" si="4"/>
        <v/>
      </c>
      <c r="U711" s="28" t="str">
        <f t="shared" si="5"/>
        <v/>
      </c>
      <c r="V711" s="39" t="str">
        <f>IFERROR(__xludf.DUMMYFUNCTION(" IF(Account!$F711&lt;&gt;"""", SPLIT(Account!$F711, "" ""), """")"),"")</f>
        <v/>
      </c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</row>
    <row r="712">
      <c r="A712" s="341"/>
      <c r="B712" s="341"/>
      <c r="C712" s="341"/>
      <c r="D712" s="341"/>
      <c r="E712" s="341"/>
      <c r="F712" s="373"/>
      <c r="G712" s="341"/>
      <c r="H712" s="341"/>
      <c r="I712" s="341"/>
      <c r="J712" s="341"/>
      <c r="K712" s="341"/>
      <c r="L712" s="26" t="str">
        <f t="shared" si="1"/>
        <v/>
      </c>
      <c r="M712" s="28" t="str">
        <f>IFERROR(__xludf.DUMMYFUNCTION("IF(Account!$F712&lt;&gt;"""", VALUE(REGEXREPLACE($I712, ""\,"", ""."")), """")"),"")</f>
        <v/>
      </c>
      <c r="N712" s="31" t="str">
        <f>IF(Account!$F712&lt;&gt;"", DATEVALUE(MID($A712,4,3) &amp; LEFT($A712,3) &amp; RIGHT($A712,4)) + TIMEVALUE($B712), "")</f>
        <v/>
      </c>
      <c r="O712" s="33" t="str">
        <f>IF(Account!$F712&lt;&gt;"", DATEVALUE(MID($A712,4,3) &amp; LEFT($A712,3) &amp; RIGHT($A712,4)), "")</f>
        <v/>
      </c>
      <c r="P712" s="34" t="str">
        <f>IFERROR(VLOOKUP($Q712,Selection!$F:$G,2,false))</f>
        <v/>
      </c>
      <c r="Q712" s="36" t="str">
        <f>IF(AND($X712="change",$H712="EUR"),IF(AND($Z712="Crédit",$N712=$N713),$Q713,IF(AND($Z712="Débit",$N712=$N711),$Q711)),IF(OR(AND(OR($E712&lt;&gt;"",$L712=""),$M712&lt;&gt;0),$A712=""),IFERROR(VLOOKUP($E712,Selection!$E:$F,2,false)),IFERROR(VLOOKUP(SUBSTITUTE($I712,"-","",1),$K713:$Q1119,7,false),VLOOKUP($K712,$K713:$Q1119,7,false))))</f>
        <v/>
      </c>
      <c r="R712" s="34" t="str">
        <f t="shared" si="2"/>
        <v/>
      </c>
      <c r="S712" s="37" t="str">
        <f t="shared" si="3"/>
        <v/>
      </c>
      <c r="T712" s="38" t="str">
        <f t="shared" si="4"/>
        <v/>
      </c>
      <c r="U712" s="28" t="str">
        <f t="shared" si="5"/>
        <v/>
      </c>
      <c r="V712" s="39" t="str">
        <f>IFERROR(__xludf.DUMMYFUNCTION(" IF(Account!$F712&lt;&gt;"""", SPLIT(Account!$F712, "" ""), """")"),"")</f>
        <v/>
      </c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</row>
    <row r="713">
      <c r="A713" s="341"/>
      <c r="B713" s="341"/>
      <c r="C713" s="341"/>
      <c r="D713" s="341"/>
      <c r="E713" s="341"/>
      <c r="F713" s="373"/>
      <c r="G713" s="341"/>
      <c r="H713" s="341"/>
      <c r="I713" s="341"/>
      <c r="J713" s="341"/>
      <c r="K713" s="341"/>
      <c r="L713" s="26" t="str">
        <f t="shared" si="1"/>
        <v/>
      </c>
      <c r="M713" s="28" t="str">
        <f>IFERROR(__xludf.DUMMYFUNCTION("IF(Account!$F713&lt;&gt;"""", VALUE(REGEXREPLACE($I713, ""\,"", ""."")), """")"),"")</f>
        <v/>
      </c>
      <c r="N713" s="31" t="str">
        <f>IF(Account!$F713&lt;&gt;"", DATEVALUE(MID($A713,4,3) &amp; LEFT($A713,3) &amp; RIGHT($A713,4)) + TIMEVALUE($B713), "")</f>
        <v/>
      </c>
      <c r="O713" s="33" t="str">
        <f>IF(Account!$F713&lt;&gt;"", DATEVALUE(MID($A713,4,3) &amp; LEFT($A713,3) &amp; RIGHT($A713,4)), "")</f>
        <v/>
      </c>
      <c r="P713" s="34" t="str">
        <f>IFERROR(VLOOKUP($Q713,Selection!$F:$G,2,false))</f>
        <v/>
      </c>
      <c r="Q713" s="36" t="str">
        <f>IF(AND($X713="change",$H713="EUR"),IF(AND($Z713="Crédit",$N713=$N714),$Q714,IF(AND($Z713="Débit",$N713=$N712),$Q712)),IF(OR(AND(OR($E713&lt;&gt;"",$L713=""),$M713&lt;&gt;0),$A713=""),IFERROR(VLOOKUP($E713,Selection!$E:$F,2,false)),IFERROR(VLOOKUP(SUBSTITUTE($I713,"-","",1),$K714:$Q1119,7,false),VLOOKUP($K713,$K714:$Q1119,7,false))))</f>
        <v/>
      </c>
      <c r="R713" s="34" t="str">
        <f t="shared" si="2"/>
        <v/>
      </c>
      <c r="S713" s="37" t="str">
        <f t="shared" si="3"/>
        <v/>
      </c>
      <c r="T713" s="38" t="str">
        <f t="shared" si="4"/>
        <v/>
      </c>
      <c r="U713" s="28" t="str">
        <f t="shared" si="5"/>
        <v/>
      </c>
      <c r="V713" s="39" t="str">
        <f>IFERROR(__xludf.DUMMYFUNCTION(" IF(Account!$F713&lt;&gt;"""", SPLIT(Account!$F713, "" ""), """")"),"")</f>
        <v/>
      </c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</row>
    <row r="714">
      <c r="A714" s="341"/>
      <c r="B714" s="341"/>
      <c r="C714" s="341"/>
      <c r="D714" s="341"/>
      <c r="E714" s="341"/>
      <c r="F714" s="373"/>
      <c r="G714" s="341"/>
      <c r="H714" s="341"/>
      <c r="I714" s="341"/>
      <c r="J714" s="341"/>
      <c r="K714" s="341"/>
      <c r="L714" s="26" t="str">
        <f t="shared" si="1"/>
        <v/>
      </c>
      <c r="M714" s="28" t="str">
        <f>IFERROR(__xludf.DUMMYFUNCTION("IF(Account!$F714&lt;&gt;"""", VALUE(REGEXREPLACE($I714, ""\,"", ""."")), """")"),"")</f>
        <v/>
      </c>
      <c r="N714" s="31" t="str">
        <f>IF(Account!$F714&lt;&gt;"", DATEVALUE(MID($A714,4,3) &amp; LEFT($A714,3) &amp; RIGHT($A714,4)) + TIMEVALUE($B714), "")</f>
        <v/>
      </c>
      <c r="O714" s="33" t="str">
        <f>IF(Account!$F714&lt;&gt;"", DATEVALUE(MID($A714,4,3) &amp; LEFT($A714,3) &amp; RIGHT($A714,4)), "")</f>
        <v/>
      </c>
      <c r="P714" s="34" t="str">
        <f>IFERROR(VLOOKUP($Q714,Selection!$F:$G,2,false))</f>
        <v/>
      </c>
      <c r="Q714" s="36" t="str">
        <f>IF(AND($X714="change",$H714="EUR"),IF(AND($Z714="Crédit",$N714=$N715),$Q715,IF(AND($Z714="Débit",$N714=$N713),$Q713)),IF(OR(AND(OR($E714&lt;&gt;"",$L714=""),$M714&lt;&gt;0),$A714=""),IFERROR(VLOOKUP($E714,Selection!$E:$F,2,false)),IFERROR(VLOOKUP(SUBSTITUTE($I714,"-","",1),$K715:$Q1119,7,false),VLOOKUP($K714,$K715:$Q1119,7,false))))</f>
        <v/>
      </c>
      <c r="R714" s="34" t="str">
        <f t="shared" si="2"/>
        <v/>
      </c>
      <c r="S714" s="37" t="str">
        <f t="shared" si="3"/>
        <v/>
      </c>
      <c r="T714" s="38" t="str">
        <f t="shared" si="4"/>
        <v/>
      </c>
      <c r="U714" s="28" t="str">
        <f t="shared" si="5"/>
        <v/>
      </c>
      <c r="V714" s="39" t="str">
        <f>IFERROR(__xludf.DUMMYFUNCTION(" IF(Account!$F714&lt;&gt;"""", SPLIT(Account!$F714, "" ""), """")"),"")</f>
        <v/>
      </c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</row>
    <row r="715">
      <c r="A715" s="341"/>
      <c r="B715" s="341"/>
      <c r="C715" s="341"/>
      <c r="D715" s="341"/>
      <c r="E715" s="341"/>
      <c r="F715" s="373"/>
      <c r="G715" s="341"/>
      <c r="H715" s="341"/>
      <c r="I715" s="341"/>
      <c r="J715" s="341"/>
      <c r="K715" s="341"/>
      <c r="L715" s="26" t="str">
        <f t="shared" si="1"/>
        <v/>
      </c>
      <c r="M715" s="28" t="str">
        <f>IFERROR(__xludf.DUMMYFUNCTION("IF(Account!$F715&lt;&gt;"""", VALUE(REGEXREPLACE($I715, ""\,"", ""."")), """")"),"")</f>
        <v/>
      </c>
      <c r="N715" s="31" t="str">
        <f>IF(Account!$F715&lt;&gt;"", DATEVALUE(MID($A715,4,3) &amp; LEFT($A715,3) &amp; RIGHT($A715,4)) + TIMEVALUE($B715), "")</f>
        <v/>
      </c>
      <c r="O715" s="33" t="str">
        <f>IF(Account!$F715&lt;&gt;"", DATEVALUE(MID($A715,4,3) &amp; LEFT($A715,3) &amp; RIGHT($A715,4)), "")</f>
        <v/>
      </c>
      <c r="P715" s="34" t="str">
        <f>IFERROR(VLOOKUP($Q715,Selection!$F:$G,2,false))</f>
        <v/>
      </c>
      <c r="Q715" s="36" t="str">
        <f>IF(AND($X715="change",$H715="EUR"),IF(AND($Z715="Crédit",$N715=$N716),$Q716,IF(AND($Z715="Débit",$N715=$N714),$Q714)),IF(OR(AND(OR($E715&lt;&gt;"",$L715=""),$M715&lt;&gt;0),$A715=""),IFERROR(VLOOKUP($E715,Selection!$E:$F,2,false)),IFERROR(VLOOKUP(SUBSTITUTE($I715,"-","",1),$K716:$Q1119,7,false),VLOOKUP($K715,$K716:$Q1119,7,false))))</f>
        <v/>
      </c>
      <c r="R715" s="34" t="str">
        <f t="shared" si="2"/>
        <v/>
      </c>
      <c r="S715" s="37" t="str">
        <f t="shared" si="3"/>
        <v/>
      </c>
      <c r="T715" s="38" t="str">
        <f t="shared" si="4"/>
        <v/>
      </c>
      <c r="U715" s="28" t="str">
        <f t="shared" si="5"/>
        <v/>
      </c>
      <c r="V715" s="39" t="str">
        <f>IFERROR(__xludf.DUMMYFUNCTION(" IF(Account!$F715&lt;&gt;"""", SPLIT(Account!$F715, "" ""), """")"),"")</f>
        <v/>
      </c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</row>
    <row r="716">
      <c r="A716" s="341"/>
      <c r="B716" s="341"/>
      <c r="C716" s="341"/>
      <c r="D716" s="341"/>
      <c r="E716" s="341"/>
      <c r="F716" s="373"/>
      <c r="G716" s="341"/>
      <c r="H716" s="341"/>
      <c r="I716" s="341"/>
      <c r="J716" s="341"/>
      <c r="K716" s="341"/>
      <c r="L716" s="26" t="str">
        <f t="shared" si="1"/>
        <v/>
      </c>
      <c r="M716" s="28" t="str">
        <f>IFERROR(__xludf.DUMMYFUNCTION("IF(Account!$F716&lt;&gt;"""", VALUE(REGEXREPLACE($I716, ""\,"", ""."")), """")"),"")</f>
        <v/>
      </c>
      <c r="N716" s="31" t="str">
        <f>IF(Account!$F716&lt;&gt;"", DATEVALUE(MID($A716,4,3) &amp; LEFT($A716,3) &amp; RIGHT($A716,4)) + TIMEVALUE($B716), "")</f>
        <v/>
      </c>
      <c r="O716" s="33" t="str">
        <f>IF(Account!$F716&lt;&gt;"", DATEVALUE(MID($A716,4,3) &amp; LEFT($A716,3) &amp; RIGHT($A716,4)), "")</f>
        <v/>
      </c>
      <c r="P716" s="34" t="str">
        <f>IFERROR(VLOOKUP($Q716,Selection!$F:$G,2,false))</f>
        <v/>
      </c>
      <c r="Q716" s="36" t="str">
        <f>IF(AND($X716="change",$H716="EUR"),IF(AND($Z716="Crédit",$N716=$N717),$Q717,IF(AND($Z716="Débit",$N716=$N715),$Q715)),IF(OR(AND(OR($E716&lt;&gt;"",$L716=""),$M716&lt;&gt;0),$A716=""),IFERROR(VLOOKUP($E716,Selection!$E:$F,2,false)),IFERROR(VLOOKUP(SUBSTITUTE($I716,"-","",1),$K717:$Q1119,7,false),VLOOKUP($K716,$K717:$Q1119,7,false))))</f>
        <v/>
      </c>
      <c r="R716" s="34" t="str">
        <f t="shared" si="2"/>
        <v/>
      </c>
      <c r="S716" s="37" t="str">
        <f t="shared" si="3"/>
        <v/>
      </c>
      <c r="T716" s="38" t="str">
        <f t="shared" si="4"/>
        <v/>
      </c>
      <c r="U716" s="28" t="str">
        <f t="shared" si="5"/>
        <v/>
      </c>
      <c r="V716" s="39" t="str">
        <f>IFERROR(__xludf.DUMMYFUNCTION(" IF(Account!$F716&lt;&gt;"""", SPLIT(Account!$F716, "" ""), """")"),"")</f>
        <v/>
      </c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</row>
    <row r="717">
      <c r="A717" s="341"/>
      <c r="B717" s="341"/>
      <c r="C717" s="341"/>
      <c r="D717" s="341"/>
      <c r="E717" s="341"/>
      <c r="F717" s="373"/>
      <c r="G717" s="341"/>
      <c r="H717" s="341"/>
      <c r="I717" s="341"/>
      <c r="J717" s="341"/>
      <c r="K717" s="341"/>
      <c r="L717" s="26" t="str">
        <f t="shared" si="1"/>
        <v/>
      </c>
      <c r="M717" s="28" t="str">
        <f>IFERROR(__xludf.DUMMYFUNCTION("IF(Account!$F717&lt;&gt;"""", VALUE(REGEXREPLACE($I717, ""\,"", ""."")), """")"),"")</f>
        <v/>
      </c>
      <c r="N717" s="31" t="str">
        <f>IF(Account!$F717&lt;&gt;"", DATEVALUE(MID($A717,4,3) &amp; LEFT($A717,3) &amp; RIGHT($A717,4)) + TIMEVALUE($B717), "")</f>
        <v/>
      </c>
      <c r="O717" s="33" t="str">
        <f>IF(Account!$F717&lt;&gt;"", DATEVALUE(MID($A717,4,3) &amp; LEFT($A717,3) &amp; RIGHT($A717,4)), "")</f>
        <v/>
      </c>
      <c r="P717" s="34" t="str">
        <f>IFERROR(VLOOKUP($Q717,Selection!$F:$G,2,false))</f>
        <v/>
      </c>
      <c r="Q717" s="36" t="str">
        <f>IF(AND($X717="change",$H717="EUR"),IF(AND($Z717="Crédit",$N717=$N718),$Q718,IF(AND($Z717="Débit",$N717=$N716),$Q716)),IF(OR(AND(OR($E717&lt;&gt;"",$L717=""),$M717&lt;&gt;0),$A717=""),IFERROR(VLOOKUP($E717,Selection!$E:$F,2,false)),IFERROR(VLOOKUP(SUBSTITUTE($I717,"-","",1),$K718:$Q1119,7,false),VLOOKUP($K717,$K718:$Q1119,7,false))))</f>
        <v/>
      </c>
      <c r="R717" s="34" t="str">
        <f t="shared" si="2"/>
        <v/>
      </c>
      <c r="S717" s="37" t="str">
        <f t="shared" si="3"/>
        <v/>
      </c>
      <c r="T717" s="38" t="str">
        <f t="shared" si="4"/>
        <v/>
      </c>
      <c r="U717" s="28" t="str">
        <f t="shared" si="5"/>
        <v/>
      </c>
      <c r="V717" s="39" t="str">
        <f>IFERROR(__xludf.DUMMYFUNCTION(" IF(Account!$F717&lt;&gt;"""", SPLIT(Account!$F717, "" ""), """")"),"")</f>
        <v/>
      </c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</row>
    <row r="718">
      <c r="A718" s="341"/>
      <c r="B718" s="341"/>
      <c r="C718" s="341"/>
      <c r="D718" s="341"/>
      <c r="E718" s="341"/>
      <c r="F718" s="373"/>
      <c r="G718" s="341"/>
      <c r="H718" s="341"/>
      <c r="I718" s="341"/>
      <c r="J718" s="341"/>
      <c r="K718" s="341"/>
      <c r="L718" s="26" t="str">
        <f t="shared" si="1"/>
        <v/>
      </c>
      <c r="M718" s="28" t="str">
        <f>IFERROR(__xludf.DUMMYFUNCTION("IF(Account!$F718&lt;&gt;"""", VALUE(REGEXREPLACE($I718, ""\,"", ""."")), """")"),"")</f>
        <v/>
      </c>
      <c r="N718" s="31" t="str">
        <f>IF(Account!$F718&lt;&gt;"", DATEVALUE(MID($A718,4,3) &amp; LEFT($A718,3) &amp; RIGHT($A718,4)) + TIMEVALUE($B718), "")</f>
        <v/>
      </c>
      <c r="O718" s="33" t="str">
        <f>IF(Account!$F718&lt;&gt;"", DATEVALUE(MID($A718,4,3) &amp; LEFT($A718,3) &amp; RIGHT($A718,4)), "")</f>
        <v/>
      </c>
      <c r="P718" s="34" t="str">
        <f>IFERROR(VLOOKUP($Q718,Selection!$F:$G,2,false))</f>
        <v/>
      </c>
      <c r="Q718" s="36" t="str">
        <f>IF(AND($X718="change",$H718="EUR"),IF(AND($Z718="Crédit",$N718=$N719),$Q719,IF(AND($Z718="Débit",$N718=$N717),$Q717)),IF(OR(AND(OR($E718&lt;&gt;"",$L718=""),$M718&lt;&gt;0),$A718=""),IFERROR(VLOOKUP($E718,Selection!$E:$F,2,false)),IFERROR(VLOOKUP(SUBSTITUTE($I718,"-","",1),$K719:$Q1119,7,false),VLOOKUP($K718,$K719:$Q1119,7,false))))</f>
        <v/>
      </c>
      <c r="R718" s="34" t="str">
        <f t="shared" si="2"/>
        <v/>
      </c>
      <c r="S718" s="37" t="str">
        <f t="shared" si="3"/>
        <v/>
      </c>
      <c r="T718" s="38" t="str">
        <f t="shared" si="4"/>
        <v/>
      </c>
      <c r="U718" s="28" t="str">
        <f t="shared" si="5"/>
        <v/>
      </c>
      <c r="V718" s="39" t="str">
        <f>IFERROR(__xludf.DUMMYFUNCTION(" IF(Account!$F718&lt;&gt;"""", SPLIT(Account!$F718, "" ""), """")"),"")</f>
        <v/>
      </c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</row>
    <row r="719">
      <c r="A719" s="341"/>
      <c r="B719" s="341"/>
      <c r="C719" s="341"/>
      <c r="D719" s="341"/>
      <c r="E719" s="341"/>
      <c r="F719" s="373"/>
      <c r="G719" s="341"/>
      <c r="H719" s="341"/>
      <c r="I719" s="341"/>
      <c r="J719" s="341"/>
      <c r="K719" s="341"/>
      <c r="L719" s="26" t="str">
        <f t="shared" si="1"/>
        <v/>
      </c>
      <c r="M719" s="28" t="str">
        <f>IFERROR(__xludf.DUMMYFUNCTION("IF(Account!$F719&lt;&gt;"""", VALUE(REGEXREPLACE($I719, ""\,"", ""."")), """")"),"")</f>
        <v/>
      </c>
      <c r="N719" s="31" t="str">
        <f>IF(Account!$F719&lt;&gt;"", DATEVALUE(MID($A719,4,3) &amp; LEFT($A719,3) &amp; RIGHT($A719,4)) + TIMEVALUE($B719), "")</f>
        <v/>
      </c>
      <c r="O719" s="33" t="str">
        <f>IF(Account!$F719&lt;&gt;"", DATEVALUE(MID($A719,4,3) &amp; LEFT($A719,3) &amp; RIGHT($A719,4)), "")</f>
        <v/>
      </c>
      <c r="P719" s="34" t="str">
        <f>IFERROR(VLOOKUP($Q719,Selection!$F:$G,2,false))</f>
        <v/>
      </c>
      <c r="Q719" s="36" t="str">
        <f>IF(AND($X719="change",$H719="EUR"),IF(AND($Z719="Crédit",$N719=$N720),$Q720,IF(AND($Z719="Débit",$N719=$N718),$Q718)),IF(OR(AND(OR($E719&lt;&gt;"",$L719=""),$M719&lt;&gt;0),$A719=""),IFERROR(VLOOKUP($E719,Selection!$E:$F,2,false)),IFERROR(VLOOKUP(SUBSTITUTE($I719,"-","",1),$K720:$Q1119,7,false),VLOOKUP($K719,$K720:$Q1119,7,false))))</f>
        <v/>
      </c>
      <c r="R719" s="34" t="str">
        <f t="shared" si="2"/>
        <v/>
      </c>
      <c r="S719" s="37" t="str">
        <f t="shared" si="3"/>
        <v/>
      </c>
      <c r="T719" s="38" t="str">
        <f t="shared" si="4"/>
        <v/>
      </c>
      <c r="U719" s="28" t="str">
        <f t="shared" si="5"/>
        <v/>
      </c>
      <c r="V719" s="39" t="str">
        <f>IFERROR(__xludf.DUMMYFUNCTION(" IF(Account!$F719&lt;&gt;"""", SPLIT(Account!$F719, "" ""), """")"),"")</f>
        <v/>
      </c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</row>
    <row r="720">
      <c r="A720" s="341"/>
      <c r="B720" s="341"/>
      <c r="C720" s="341"/>
      <c r="D720" s="341"/>
      <c r="E720" s="341"/>
      <c r="F720" s="373"/>
      <c r="G720" s="341"/>
      <c r="H720" s="341"/>
      <c r="I720" s="341"/>
      <c r="J720" s="341"/>
      <c r="K720" s="341"/>
      <c r="L720" s="26" t="str">
        <f t="shared" si="1"/>
        <v/>
      </c>
      <c r="M720" s="28" t="str">
        <f>IFERROR(__xludf.DUMMYFUNCTION("IF(Account!$F720&lt;&gt;"""", VALUE(REGEXREPLACE($I720, ""\,"", ""."")), """")"),"")</f>
        <v/>
      </c>
      <c r="N720" s="31" t="str">
        <f>IF(Account!$F720&lt;&gt;"", DATEVALUE(MID($A720,4,3) &amp; LEFT($A720,3) &amp; RIGHT($A720,4)) + TIMEVALUE($B720), "")</f>
        <v/>
      </c>
      <c r="O720" s="33" t="str">
        <f>IF(Account!$F720&lt;&gt;"", DATEVALUE(MID($A720,4,3) &amp; LEFT($A720,3) &amp; RIGHT($A720,4)), "")</f>
        <v/>
      </c>
      <c r="P720" s="34" t="str">
        <f>IFERROR(VLOOKUP($Q720,Selection!$F:$G,2,false))</f>
        <v/>
      </c>
      <c r="Q720" s="36" t="str">
        <f>IF(AND($X720="change",$H720="EUR"),IF(AND($Z720="Crédit",$N720=$N721),$Q721,IF(AND($Z720="Débit",$N720=$N719),$Q719)),IF(OR(AND(OR($E720&lt;&gt;"",$L720=""),$M720&lt;&gt;0),$A720=""),IFERROR(VLOOKUP($E720,Selection!$E:$F,2,false)),IFERROR(VLOOKUP(SUBSTITUTE($I720,"-","",1),$K721:$Q1119,7,false),VLOOKUP($K720,$K721:$Q1119,7,false))))</f>
        <v/>
      </c>
      <c r="R720" s="34" t="str">
        <f t="shared" si="2"/>
        <v/>
      </c>
      <c r="S720" s="37" t="str">
        <f t="shared" si="3"/>
        <v/>
      </c>
      <c r="T720" s="38" t="str">
        <f t="shared" si="4"/>
        <v/>
      </c>
      <c r="U720" s="28" t="str">
        <f t="shared" si="5"/>
        <v/>
      </c>
      <c r="V720" s="39" t="str">
        <f>IFERROR(__xludf.DUMMYFUNCTION(" IF(Account!$F720&lt;&gt;"""", SPLIT(Account!$F720, "" ""), """")"),"")</f>
        <v/>
      </c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</row>
    <row r="721">
      <c r="A721" s="341"/>
      <c r="B721" s="341"/>
      <c r="C721" s="341"/>
      <c r="D721" s="341"/>
      <c r="E721" s="341"/>
      <c r="F721" s="373"/>
      <c r="G721" s="341"/>
      <c r="H721" s="341"/>
      <c r="I721" s="341"/>
      <c r="J721" s="341"/>
      <c r="K721" s="341"/>
      <c r="L721" s="26" t="str">
        <f t="shared" si="1"/>
        <v/>
      </c>
      <c r="M721" s="28" t="str">
        <f>IFERROR(__xludf.DUMMYFUNCTION("IF(Account!$F721&lt;&gt;"""", VALUE(REGEXREPLACE($I721, ""\,"", ""."")), """")"),"")</f>
        <v/>
      </c>
      <c r="N721" s="31" t="str">
        <f>IF(Account!$F721&lt;&gt;"", DATEVALUE(MID($A721,4,3) &amp; LEFT($A721,3) &amp; RIGHT($A721,4)) + TIMEVALUE($B721), "")</f>
        <v/>
      </c>
      <c r="O721" s="33" t="str">
        <f>IF(Account!$F721&lt;&gt;"", DATEVALUE(MID($A721,4,3) &amp; LEFT($A721,3) &amp; RIGHT($A721,4)), "")</f>
        <v/>
      </c>
      <c r="P721" s="34" t="str">
        <f>IFERROR(VLOOKUP($Q721,Selection!$F:$G,2,false))</f>
        <v/>
      </c>
      <c r="Q721" s="36" t="str">
        <f>IF(AND($X721="change",$H721="EUR"),IF(AND($Z721="Crédit",$N721=$N722),$Q722,IF(AND($Z721="Débit",$N721=$N720),$Q720)),IF(OR(AND(OR($E721&lt;&gt;"",$L721=""),$M721&lt;&gt;0),$A721=""),IFERROR(VLOOKUP($E721,Selection!$E:$F,2,false)),IFERROR(VLOOKUP(SUBSTITUTE($I721,"-","",1),$K722:$Q1119,7,false),VLOOKUP($K721,$K722:$Q1119,7,false))))</f>
        <v/>
      </c>
      <c r="R721" s="34" t="str">
        <f t="shared" si="2"/>
        <v/>
      </c>
      <c r="S721" s="37" t="str">
        <f t="shared" si="3"/>
        <v/>
      </c>
      <c r="T721" s="38" t="str">
        <f t="shared" si="4"/>
        <v/>
      </c>
      <c r="U721" s="28" t="str">
        <f t="shared" si="5"/>
        <v/>
      </c>
      <c r="V721" s="39" t="str">
        <f>IFERROR(__xludf.DUMMYFUNCTION(" IF(Account!$F721&lt;&gt;"""", SPLIT(Account!$F721, "" ""), """")"),"")</f>
        <v/>
      </c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</row>
    <row r="722">
      <c r="A722" s="341"/>
      <c r="B722" s="341"/>
      <c r="C722" s="341"/>
      <c r="D722" s="341"/>
      <c r="E722" s="341"/>
      <c r="F722" s="373"/>
      <c r="G722" s="341"/>
      <c r="H722" s="341"/>
      <c r="I722" s="341"/>
      <c r="J722" s="341"/>
      <c r="K722" s="341"/>
      <c r="L722" s="26" t="str">
        <f t="shared" si="1"/>
        <v/>
      </c>
      <c r="M722" s="28" t="str">
        <f>IFERROR(__xludf.DUMMYFUNCTION("IF(Account!$F722&lt;&gt;"""", VALUE(REGEXREPLACE($I722, ""\,"", ""."")), """")"),"")</f>
        <v/>
      </c>
      <c r="N722" s="31" t="str">
        <f>IF(Account!$F722&lt;&gt;"", DATEVALUE(MID($A722,4,3) &amp; LEFT($A722,3) &amp; RIGHT($A722,4)) + TIMEVALUE($B722), "")</f>
        <v/>
      </c>
      <c r="O722" s="33" t="str">
        <f>IF(Account!$F722&lt;&gt;"", DATEVALUE(MID($A722,4,3) &amp; LEFT($A722,3) &amp; RIGHT($A722,4)), "")</f>
        <v/>
      </c>
      <c r="P722" s="34" t="str">
        <f>IFERROR(VLOOKUP($Q722,Selection!$F:$G,2,false))</f>
        <v/>
      </c>
      <c r="Q722" s="36" t="str">
        <f>IF(AND($X722="change",$H722="EUR"),IF(AND($Z722="Crédit",$N722=$N723),$Q723,IF(AND($Z722="Débit",$N722=$N721),$Q721)),IF(OR(AND(OR($E722&lt;&gt;"",$L722=""),$M722&lt;&gt;0),$A722=""),IFERROR(VLOOKUP($E722,Selection!$E:$F,2,false)),IFERROR(VLOOKUP(SUBSTITUTE($I722,"-","",1),$K723:$Q1119,7,false),VLOOKUP($K722,$K723:$Q1119,7,false))))</f>
        <v/>
      </c>
      <c r="R722" s="34" t="str">
        <f t="shared" si="2"/>
        <v/>
      </c>
      <c r="S722" s="37" t="str">
        <f t="shared" si="3"/>
        <v/>
      </c>
      <c r="T722" s="38" t="str">
        <f t="shared" si="4"/>
        <v/>
      </c>
      <c r="U722" s="28" t="str">
        <f t="shared" si="5"/>
        <v/>
      </c>
      <c r="V722" s="39" t="str">
        <f>IFERROR(__xludf.DUMMYFUNCTION(" IF(Account!$F722&lt;&gt;"""", SPLIT(Account!$F722, "" ""), """")"),"")</f>
        <v/>
      </c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</row>
    <row r="723">
      <c r="A723" s="341"/>
      <c r="B723" s="341"/>
      <c r="C723" s="341"/>
      <c r="D723" s="341"/>
      <c r="E723" s="341"/>
      <c r="F723" s="373"/>
      <c r="G723" s="341"/>
      <c r="H723" s="341"/>
      <c r="I723" s="341"/>
      <c r="J723" s="341"/>
      <c r="K723" s="341"/>
      <c r="L723" s="26" t="str">
        <f t="shared" si="1"/>
        <v/>
      </c>
      <c r="M723" s="28" t="str">
        <f>IFERROR(__xludf.DUMMYFUNCTION("IF(Account!$F723&lt;&gt;"""", VALUE(REGEXREPLACE($I723, ""\,"", ""."")), """")"),"")</f>
        <v/>
      </c>
      <c r="N723" s="31" t="str">
        <f>IF(Account!$F723&lt;&gt;"", DATEVALUE(MID($A723,4,3) &amp; LEFT($A723,3) &amp; RIGHT($A723,4)) + TIMEVALUE($B723), "")</f>
        <v/>
      </c>
      <c r="O723" s="33" t="str">
        <f>IF(Account!$F723&lt;&gt;"", DATEVALUE(MID($A723,4,3) &amp; LEFT($A723,3) &amp; RIGHT($A723,4)), "")</f>
        <v/>
      </c>
      <c r="P723" s="34" t="str">
        <f>IFERROR(VLOOKUP($Q723,Selection!$F:$G,2,false))</f>
        <v/>
      </c>
      <c r="Q723" s="36" t="str">
        <f>IF(AND($X723="change",$H723="EUR"),IF(AND($Z723="Crédit",$N723=$N724),$Q724,IF(AND($Z723="Débit",$N723=$N722),$Q722)),IF(OR(AND(OR($E723&lt;&gt;"",$L723=""),$M723&lt;&gt;0),$A723=""),IFERROR(VLOOKUP($E723,Selection!$E:$F,2,false)),IFERROR(VLOOKUP(SUBSTITUTE($I723,"-","",1),$K724:$Q1119,7,false),VLOOKUP($K723,$K724:$Q1119,7,false))))</f>
        <v/>
      </c>
      <c r="R723" s="34" t="str">
        <f t="shared" si="2"/>
        <v/>
      </c>
      <c r="S723" s="37" t="str">
        <f t="shared" si="3"/>
        <v/>
      </c>
      <c r="T723" s="38" t="str">
        <f t="shared" si="4"/>
        <v/>
      </c>
      <c r="U723" s="28" t="str">
        <f t="shared" si="5"/>
        <v/>
      </c>
      <c r="V723" s="39" t="str">
        <f>IFERROR(__xludf.DUMMYFUNCTION(" IF(Account!$F723&lt;&gt;"""", SPLIT(Account!$F723, "" ""), """")"),"")</f>
        <v/>
      </c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</row>
    <row r="724">
      <c r="A724" s="341"/>
      <c r="B724" s="341"/>
      <c r="C724" s="341"/>
      <c r="D724" s="341"/>
      <c r="E724" s="341"/>
      <c r="F724" s="373"/>
      <c r="G724" s="341"/>
      <c r="H724" s="341"/>
      <c r="I724" s="341"/>
      <c r="J724" s="341"/>
      <c r="K724" s="341"/>
      <c r="L724" s="26" t="str">
        <f t="shared" si="1"/>
        <v/>
      </c>
      <c r="M724" s="28" t="str">
        <f>IFERROR(__xludf.DUMMYFUNCTION("IF(Account!$F724&lt;&gt;"""", VALUE(REGEXREPLACE($I724, ""\,"", ""."")), """")"),"")</f>
        <v/>
      </c>
      <c r="N724" s="31" t="str">
        <f>IF(Account!$F724&lt;&gt;"", DATEVALUE(MID($A724,4,3) &amp; LEFT($A724,3) &amp; RIGHT($A724,4)) + TIMEVALUE($B724), "")</f>
        <v/>
      </c>
      <c r="O724" s="33" t="str">
        <f>IF(Account!$F724&lt;&gt;"", DATEVALUE(MID($A724,4,3) &amp; LEFT($A724,3) &amp; RIGHT($A724,4)), "")</f>
        <v/>
      </c>
      <c r="P724" s="34" t="str">
        <f>IFERROR(VLOOKUP($Q724,Selection!$F:$G,2,false))</f>
        <v/>
      </c>
      <c r="Q724" s="36" t="str">
        <f>IF(AND($X724="change",$H724="EUR"),IF(AND($Z724="Crédit",$N724=$N725),$Q725,IF(AND($Z724="Débit",$N724=$N723),$Q723)),IF(OR(AND(OR($E724&lt;&gt;"",$L724=""),$M724&lt;&gt;0),$A724=""),IFERROR(VLOOKUP($E724,Selection!$E:$F,2,false)),IFERROR(VLOOKUP(SUBSTITUTE($I724,"-","",1),$K725:$Q1119,7,false),VLOOKUP($K724,$K725:$Q1119,7,false))))</f>
        <v/>
      </c>
      <c r="R724" s="34" t="str">
        <f t="shared" si="2"/>
        <v/>
      </c>
      <c r="S724" s="37" t="str">
        <f t="shared" si="3"/>
        <v/>
      </c>
      <c r="T724" s="38" t="str">
        <f t="shared" si="4"/>
        <v/>
      </c>
      <c r="U724" s="28" t="str">
        <f t="shared" si="5"/>
        <v/>
      </c>
      <c r="V724" s="39" t="str">
        <f>IFERROR(__xludf.DUMMYFUNCTION(" IF(Account!$F724&lt;&gt;"""", SPLIT(Account!$F724, "" ""), """")"),"")</f>
        <v/>
      </c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</row>
    <row r="725">
      <c r="A725" s="341"/>
      <c r="B725" s="341"/>
      <c r="C725" s="341"/>
      <c r="D725" s="341"/>
      <c r="E725" s="341"/>
      <c r="F725" s="373"/>
      <c r="G725" s="341"/>
      <c r="H725" s="341"/>
      <c r="I725" s="341"/>
      <c r="J725" s="341"/>
      <c r="K725" s="341"/>
      <c r="L725" s="26" t="str">
        <f t="shared" si="1"/>
        <v/>
      </c>
      <c r="M725" s="28" t="str">
        <f>IFERROR(__xludf.DUMMYFUNCTION("IF(Account!$F725&lt;&gt;"""", VALUE(REGEXREPLACE($I725, ""\,"", ""."")), """")"),"")</f>
        <v/>
      </c>
      <c r="N725" s="31" t="str">
        <f>IF(Account!$F725&lt;&gt;"", DATEVALUE(MID($A725,4,3) &amp; LEFT($A725,3) &amp; RIGHT($A725,4)) + TIMEVALUE($B725), "")</f>
        <v/>
      </c>
      <c r="O725" s="33" t="str">
        <f>IF(Account!$F725&lt;&gt;"", DATEVALUE(MID($A725,4,3) &amp; LEFT($A725,3) &amp; RIGHT($A725,4)), "")</f>
        <v/>
      </c>
      <c r="P725" s="34" t="str">
        <f>IFERROR(VLOOKUP($Q725,Selection!$F:$G,2,false))</f>
        <v/>
      </c>
      <c r="Q725" s="36" t="str">
        <f>IF(AND($X725="change",$H725="EUR"),IF(AND($Z725="Crédit",$N725=$N726),$Q726,IF(AND($Z725="Débit",$N725=$N724),$Q724)),IF(OR(AND(OR($E725&lt;&gt;"",$L725=""),$M725&lt;&gt;0),$A725=""),IFERROR(VLOOKUP($E725,Selection!$E:$F,2,false)),IFERROR(VLOOKUP(SUBSTITUTE($I725,"-","",1),$K726:$Q1119,7,false),VLOOKUP($K725,$K726:$Q1119,7,false))))</f>
        <v/>
      </c>
      <c r="R725" s="34" t="str">
        <f t="shared" si="2"/>
        <v/>
      </c>
      <c r="S725" s="37" t="str">
        <f t="shared" si="3"/>
        <v/>
      </c>
      <c r="T725" s="38" t="str">
        <f t="shared" si="4"/>
        <v/>
      </c>
      <c r="U725" s="28" t="str">
        <f t="shared" si="5"/>
        <v/>
      </c>
      <c r="V725" s="39" t="str">
        <f>IFERROR(__xludf.DUMMYFUNCTION(" IF(Account!$F725&lt;&gt;"""", SPLIT(Account!$F725, "" ""), """")"),"")</f>
        <v/>
      </c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</row>
    <row r="726">
      <c r="A726" s="341"/>
      <c r="B726" s="341"/>
      <c r="C726" s="341"/>
      <c r="D726" s="341"/>
      <c r="E726" s="341"/>
      <c r="F726" s="373"/>
      <c r="G726" s="341"/>
      <c r="H726" s="341"/>
      <c r="I726" s="341"/>
      <c r="J726" s="341"/>
      <c r="K726" s="341"/>
      <c r="L726" s="26" t="str">
        <f t="shared" si="1"/>
        <v/>
      </c>
      <c r="M726" s="28" t="str">
        <f>IFERROR(__xludf.DUMMYFUNCTION("IF(Account!$F726&lt;&gt;"""", VALUE(REGEXREPLACE($I726, ""\,"", ""."")), """")"),"")</f>
        <v/>
      </c>
      <c r="N726" s="31" t="str">
        <f>IF(Account!$F726&lt;&gt;"", DATEVALUE(MID($A726,4,3) &amp; LEFT($A726,3) &amp; RIGHT($A726,4)) + TIMEVALUE($B726), "")</f>
        <v/>
      </c>
      <c r="O726" s="33" t="str">
        <f>IF(Account!$F726&lt;&gt;"", DATEVALUE(MID($A726,4,3) &amp; LEFT($A726,3) &amp; RIGHT($A726,4)), "")</f>
        <v/>
      </c>
      <c r="P726" s="34" t="str">
        <f>IFERROR(VLOOKUP($Q726,Selection!$F:$G,2,false))</f>
        <v/>
      </c>
      <c r="Q726" s="36" t="str">
        <f>IF(AND($X726="change",$H726="EUR"),IF(AND($Z726="Crédit",$N726=$N727),$Q727,IF(AND($Z726="Débit",$N726=$N725),$Q725)),IF(OR(AND(OR($E726&lt;&gt;"",$L726=""),$M726&lt;&gt;0),$A726=""),IFERROR(VLOOKUP($E726,Selection!$E:$F,2,false)),IFERROR(VLOOKUP(SUBSTITUTE($I726,"-","",1),$K727:$Q1119,7,false),VLOOKUP($K726,$K727:$Q1119,7,false))))</f>
        <v/>
      </c>
      <c r="R726" s="34" t="str">
        <f t="shared" si="2"/>
        <v/>
      </c>
      <c r="S726" s="37" t="str">
        <f t="shared" si="3"/>
        <v/>
      </c>
      <c r="T726" s="38" t="str">
        <f t="shared" si="4"/>
        <v/>
      </c>
      <c r="U726" s="28" t="str">
        <f t="shared" si="5"/>
        <v/>
      </c>
      <c r="V726" s="39" t="str">
        <f>IFERROR(__xludf.DUMMYFUNCTION(" IF(Account!$F726&lt;&gt;"""", SPLIT(Account!$F726, "" ""), """")"),"")</f>
        <v/>
      </c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</row>
    <row r="727">
      <c r="A727" s="341"/>
      <c r="B727" s="341"/>
      <c r="C727" s="341"/>
      <c r="D727" s="341"/>
      <c r="E727" s="341"/>
      <c r="F727" s="373"/>
      <c r="G727" s="341"/>
      <c r="H727" s="341"/>
      <c r="I727" s="341"/>
      <c r="J727" s="341"/>
      <c r="K727" s="341"/>
      <c r="L727" s="26" t="str">
        <f t="shared" si="1"/>
        <v/>
      </c>
      <c r="M727" s="28" t="str">
        <f>IFERROR(__xludf.DUMMYFUNCTION("IF(Account!$F727&lt;&gt;"""", VALUE(REGEXREPLACE($I727, ""\,"", ""."")), """")"),"")</f>
        <v/>
      </c>
      <c r="N727" s="31" t="str">
        <f>IF(Account!$F727&lt;&gt;"", DATEVALUE(MID($A727,4,3) &amp; LEFT($A727,3) &amp; RIGHT($A727,4)) + TIMEVALUE($B727), "")</f>
        <v/>
      </c>
      <c r="O727" s="33" t="str">
        <f>IF(Account!$F727&lt;&gt;"", DATEVALUE(MID($A727,4,3) &amp; LEFT($A727,3) &amp; RIGHT($A727,4)), "")</f>
        <v/>
      </c>
      <c r="P727" s="34" t="str">
        <f>IFERROR(VLOOKUP($Q727,Selection!$F:$G,2,false))</f>
        <v/>
      </c>
      <c r="Q727" s="36" t="str">
        <f>IF(AND($X727="change",$H727="EUR"),IF(AND($Z727="Crédit",$N727=$N728),$Q728,IF(AND($Z727="Débit",$N727=$N726),$Q726)),IF(OR(AND(OR($E727&lt;&gt;"",$L727=""),$M727&lt;&gt;0),$A727=""),IFERROR(VLOOKUP($E727,Selection!$E:$F,2,false)),IFERROR(VLOOKUP(SUBSTITUTE($I727,"-","",1),$K728:$Q1119,7,false),VLOOKUP($K727,$K728:$Q1119,7,false))))</f>
        <v/>
      </c>
      <c r="R727" s="34" t="str">
        <f t="shared" si="2"/>
        <v/>
      </c>
      <c r="S727" s="37" t="str">
        <f t="shared" si="3"/>
        <v/>
      </c>
      <c r="T727" s="38" t="str">
        <f t="shared" si="4"/>
        <v/>
      </c>
      <c r="U727" s="28" t="str">
        <f t="shared" si="5"/>
        <v/>
      </c>
      <c r="V727" s="39" t="str">
        <f>IFERROR(__xludf.DUMMYFUNCTION(" IF(Account!$F727&lt;&gt;"""", SPLIT(Account!$F727, "" ""), """")"),"")</f>
        <v/>
      </c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</row>
    <row r="728">
      <c r="A728" s="341"/>
      <c r="B728" s="341"/>
      <c r="C728" s="341"/>
      <c r="D728" s="341"/>
      <c r="E728" s="341"/>
      <c r="F728" s="373"/>
      <c r="G728" s="341"/>
      <c r="H728" s="341"/>
      <c r="I728" s="341"/>
      <c r="J728" s="341"/>
      <c r="K728" s="341"/>
      <c r="L728" s="26" t="str">
        <f t="shared" si="1"/>
        <v/>
      </c>
      <c r="M728" s="28" t="str">
        <f>IFERROR(__xludf.DUMMYFUNCTION("IF(Account!$F728&lt;&gt;"""", VALUE(REGEXREPLACE($I728, ""\,"", ""."")), """")"),"")</f>
        <v/>
      </c>
      <c r="N728" s="31" t="str">
        <f>IF(Account!$F728&lt;&gt;"", DATEVALUE(MID($A728,4,3) &amp; LEFT($A728,3) &amp; RIGHT($A728,4)) + TIMEVALUE($B728), "")</f>
        <v/>
      </c>
      <c r="O728" s="33" t="str">
        <f>IF(Account!$F728&lt;&gt;"", DATEVALUE(MID($A728,4,3) &amp; LEFT($A728,3) &amp; RIGHT($A728,4)), "")</f>
        <v/>
      </c>
      <c r="P728" s="34" t="str">
        <f>IFERROR(VLOOKUP($Q728,Selection!$F:$G,2,false))</f>
        <v/>
      </c>
      <c r="Q728" s="36" t="str">
        <f>IF(AND($X728="change",$H728="EUR"),IF(AND($Z728="Crédit",$N728=$N729),$Q729,IF(AND($Z728="Débit",$N728=$N727),$Q727)),IF(OR(AND(OR($E728&lt;&gt;"",$L728=""),$M728&lt;&gt;0),$A728=""),IFERROR(VLOOKUP($E728,Selection!$E:$F,2,false)),IFERROR(VLOOKUP(SUBSTITUTE($I728,"-","",1),$K729:$Q1119,7,false),VLOOKUP($K728,$K729:$Q1119,7,false))))</f>
        <v/>
      </c>
      <c r="R728" s="34" t="str">
        <f t="shared" si="2"/>
        <v/>
      </c>
      <c r="S728" s="37" t="str">
        <f t="shared" si="3"/>
        <v/>
      </c>
      <c r="T728" s="38" t="str">
        <f t="shared" si="4"/>
        <v/>
      </c>
      <c r="U728" s="28" t="str">
        <f t="shared" si="5"/>
        <v/>
      </c>
      <c r="V728" s="39" t="str">
        <f>IFERROR(__xludf.DUMMYFUNCTION(" IF(Account!$F728&lt;&gt;"""", SPLIT(Account!$F728, "" ""), """")"),"")</f>
        <v/>
      </c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</row>
    <row r="729">
      <c r="A729" s="341"/>
      <c r="B729" s="341"/>
      <c r="C729" s="341"/>
      <c r="D729" s="341"/>
      <c r="E729" s="341"/>
      <c r="F729" s="373"/>
      <c r="G729" s="341"/>
      <c r="H729" s="341"/>
      <c r="I729" s="341"/>
      <c r="J729" s="341"/>
      <c r="K729" s="341"/>
      <c r="L729" s="26" t="str">
        <f t="shared" si="1"/>
        <v/>
      </c>
      <c r="M729" s="28" t="str">
        <f>IFERROR(__xludf.DUMMYFUNCTION("IF(Account!$F729&lt;&gt;"""", VALUE(REGEXREPLACE($I729, ""\,"", ""."")), """")"),"")</f>
        <v/>
      </c>
      <c r="N729" s="31" t="str">
        <f>IF(Account!$F729&lt;&gt;"", DATEVALUE(MID($A729,4,3) &amp; LEFT($A729,3) &amp; RIGHT($A729,4)) + TIMEVALUE($B729), "")</f>
        <v/>
      </c>
      <c r="O729" s="33" t="str">
        <f>IF(Account!$F729&lt;&gt;"", DATEVALUE(MID($A729,4,3) &amp; LEFT($A729,3) &amp; RIGHT($A729,4)), "")</f>
        <v/>
      </c>
      <c r="P729" s="34" t="str">
        <f>IFERROR(VLOOKUP($Q729,Selection!$F:$G,2,false))</f>
        <v/>
      </c>
      <c r="Q729" s="36" t="str">
        <f>IF(AND($X729="change",$H729="EUR"),IF(AND($Z729="Crédit",$N729=$N730),$Q730,IF(AND($Z729="Débit",$N729=$N728),$Q728)),IF(OR(AND(OR($E729&lt;&gt;"",$L729=""),$M729&lt;&gt;0),$A729=""),IFERROR(VLOOKUP($E729,Selection!$E:$F,2,false)),IFERROR(VLOOKUP(SUBSTITUTE($I729,"-","",1),$K730:$Q1119,7,false),VLOOKUP($K729,$K730:$Q1119,7,false))))</f>
        <v/>
      </c>
      <c r="R729" s="34" t="str">
        <f t="shared" si="2"/>
        <v/>
      </c>
      <c r="S729" s="37" t="str">
        <f t="shared" si="3"/>
        <v/>
      </c>
      <c r="T729" s="38" t="str">
        <f t="shared" si="4"/>
        <v/>
      </c>
      <c r="U729" s="28" t="str">
        <f t="shared" si="5"/>
        <v/>
      </c>
      <c r="V729" s="39" t="str">
        <f>IFERROR(__xludf.DUMMYFUNCTION(" IF(Account!$F729&lt;&gt;"""", SPLIT(Account!$F729, "" ""), """")"),"")</f>
        <v/>
      </c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</row>
    <row r="730">
      <c r="A730" s="341"/>
      <c r="B730" s="341"/>
      <c r="C730" s="341"/>
      <c r="D730" s="341"/>
      <c r="E730" s="341"/>
      <c r="F730" s="373"/>
      <c r="G730" s="341"/>
      <c r="H730" s="341"/>
      <c r="I730" s="341"/>
      <c r="J730" s="341"/>
      <c r="K730" s="341"/>
      <c r="L730" s="26" t="str">
        <f t="shared" si="1"/>
        <v/>
      </c>
      <c r="M730" s="28" t="str">
        <f>IFERROR(__xludf.DUMMYFUNCTION("IF(Account!$F730&lt;&gt;"""", VALUE(REGEXREPLACE($I730, ""\,"", ""."")), """")"),"")</f>
        <v/>
      </c>
      <c r="N730" s="31" t="str">
        <f>IF(Account!$F730&lt;&gt;"", DATEVALUE(MID($A730,4,3) &amp; LEFT($A730,3) &amp; RIGHT($A730,4)) + TIMEVALUE($B730), "")</f>
        <v/>
      </c>
      <c r="O730" s="33" t="str">
        <f>IF(Account!$F730&lt;&gt;"", DATEVALUE(MID($A730,4,3) &amp; LEFT($A730,3) &amp; RIGHT($A730,4)), "")</f>
        <v/>
      </c>
      <c r="P730" s="34" t="str">
        <f>IFERROR(VLOOKUP($Q730,Selection!$F:$G,2,false))</f>
        <v/>
      </c>
      <c r="Q730" s="36" t="str">
        <f>IF(AND($X730="change",$H730="EUR"),IF(AND($Z730="Crédit",$N730=$N731),$Q731,IF(AND($Z730="Débit",$N730=$N729),$Q729)),IF(OR(AND(OR($E730&lt;&gt;"",$L730=""),$M730&lt;&gt;0),$A730=""),IFERROR(VLOOKUP($E730,Selection!$E:$F,2,false)),IFERROR(VLOOKUP(SUBSTITUTE($I730,"-","",1),$K731:$Q1119,7,false),VLOOKUP($K730,$K731:$Q1119,7,false))))</f>
        <v/>
      </c>
      <c r="R730" s="34" t="str">
        <f t="shared" si="2"/>
        <v/>
      </c>
      <c r="S730" s="37" t="str">
        <f t="shared" si="3"/>
        <v/>
      </c>
      <c r="T730" s="38" t="str">
        <f t="shared" si="4"/>
        <v/>
      </c>
      <c r="U730" s="28" t="str">
        <f t="shared" si="5"/>
        <v/>
      </c>
      <c r="V730" s="39" t="str">
        <f>IFERROR(__xludf.DUMMYFUNCTION(" IF(Account!$F730&lt;&gt;"""", SPLIT(Account!$F730, "" ""), """")"),"")</f>
        <v/>
      </c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</row>
    <row r="731">
      <c r="A731" s="341"/>
      <c r="B731" s="341"/>
      <c r="C731" s="341"/>
      <c r="D731" s="341"/>
      <c r="E731" s="341"/>
      <c r="F731" s="373"/>
      <c r="G731" s="341"/>
      <c r="H731" s="341"/>
      <c r="I731" s="341"/>
      <c r="J731" s="341"/>
      <c r="K731" s="341"/>
      <c r="L731" s="26" t="str">
        <f t="shared" si="1"/>
        <v/>
      </c>
      <c r="M731" s="28" t="str">
        <f>IFERROR(__xludf.DUMMYFUNCTION("IF(Account!$F731&lt;&gt;"""", VALUE(REGEXREPLACE($I731, ""\,"", ""."")), """")"),"")</f>
        <v/>
      </c>
      <c r="N731" s="31" t="str">
        <f>IF(Account!$F731&lt;&gt;"", DATEVALUE(MID($A731,4,3) &amp; LEFT($A731,3) &amp; RIGHT($A731,4)) + TIMEVALUE($B731), "")</f>
        <v/>
      </c>
      <c r="O731" s="33" t="str">
        <f>IF(Account!$F731&lt;&gt;"", DATEVALUE(MID($A731,4,3) &amp; LEFT($A731,3) &amp; RIGHT($A731,4)), "")</f>
        <v/>
      </c>
      <c r="P731" s="34" t="str">
        <f>IFERROR(VLOOKUP($Q731,Selection!$F:$G,2,false))</f>
        <v/>
      </c>
      <c r="Q731" s="36" t="str">
        <f>IF(AND($X731="change",$H731="EUR"),IF(AND($Z731="Crédit",$N731=$N732),$Q732,IF(AND($Z731="Débit",$N731=$N730),$Q730)),IF(OR(AND(OR($E731&lt;&gt;"",$L731=""),$M731&lt;&gt;0),$A731=""),IFERROR(VLOOKUP($E731,Selection!$E:$F,2,false)),IFERROR(VLOOKUP(SUBSTITUTE($I731,"-","",1),$K732:$Q1119,7,false),VLOOKUP($K731,$K732:$Q1119,7,false))))</f>
        <v/>
      </c>
      <c r="R731" s="34" t="str">
        <f t="shared" si="2"/>
        <v/>
      </c>
      <c r="S731" s="37" t="str">
        <f t="shared" si="3"/>
        <v/>
      </c>
      <c r="T731" s="38" t="str">
        <f t="shared" si="4"/>
        <v/>
      </c>
      <c r="U731" s="28" t="str">
        <f t="shared" si="5"/>
        <v/>
      </c>
      <c r="V731" s="39" t="str">
        <f>IFERROR(__xludf.DUMMYFUNCTION(" IF(Account!$F731&lt;&gt;"""", SPLIT(Account!$F731, "" ""), """")"),"")</f>
        <v/>
      </c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</row>
    <row r="732">
      <c r="A732" s="341"/>
      <c r="B732" s="341"/>
      <c r="C732" s="341"/>
      <c r="D732" s="341"/>
      <c r="E732" s="341"/>
      <c r="F732" s="373"/>
      <c r="G732" s="341"/>
      <c r="H732" s="341"/>
      <c r="I732" s="341"/>
      <c r="J732" s="341"/>
      <c r="K732" s="341"/>
      <c r="L732" s="26" t="str">
        <f t="shared" si="1"/>
        <v/>
      </c>
      <c r="M732" s="28" t="str">
        <f>IFERROR(__xludf.DUMMYFUNCTION("IF(Account!$F732&lt;&gt;"""", VALUE(REGEXREPLACE($I732, ""\,"", ""."")), """")"),"")</f>
        <v/>
      </c>
      <c r="N732" s="31" t="str">
        <f>IF(Account!$F732&lt;&gt;"", DATEVALUE(MID($A732,4,3) &amp; LEFT($A732,3) &amp; RIGHT($A732,4)) + TIMEVALUE($B732), "")</f>
        <v/>
      </c>
      <c r="O732" s="33" t="str">
        <f>IF(Account!$F732&lt;&gt;"", DATEVALUE(MID($A732,4,3) &amp; LEFT($A732,3) &amp; RIGHT($A732,4)), "")</f>
        <v/>
      </c>
      <c r="P732" s="34" t="str">
        <f>IFERROR(VLOOKUP($Q732,Selection!$F:$G,2,false))</f>
        <v/>
      </c>
      <c r="Q732" s="36" t="str">
        <f>IF(AND($X732="change",$H732="EUR"),IF(AND($Z732="Crédit",$N732=$N733),$Q733,IF(AND($Z732="Débit",$N732=$N731),$Q731)),IF(OR(AND(OR($E732&lt;&gt;"",$L732=""),$M732&lt;&gt;0),$A732=""),IFERROR(VLOOKUP($E732,Selection!$E:$F,2,false)),IFERROR(VLOOKUP(SUBSTITUTE($I732,"-","",1),$K733:$Q1119,7,false),VLOOKUP($K732,$K733:$Q1119,7,false))))</f>
        <v/>
      </c>
      <c r="R732" s="34" t="str">
        <f t="shared" si="2"/>
        <v/>
      </c>
      <c r="S732" s="37" t="str">
        <f t="shared" si="3"/>
        <v/>
      </c>
      <c r="T732" s="38" t="str">
        <f t="shared" si="4"/>
        <v/>
      </c>
      <c r="U732" s="28" t="str">
        <f t="shared" si="5"/>
        <v/>
      </c>
      <c r="V732" s="39" t="str">
        <f>IFERROR(__xludf.DUMMYFUNCTION(" IF(Account!$F732&lt;&gt;"""", SPLIT(Account!$F732, "" ""), """")"),"")</f>
        <v/>
      </c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</row>
    <row r="733">
      <c r="A733" s="341"/>
      <c r="B733" s="341"/>
      <c r="C733" s="341"/>
      <c r="D733" s="341"/>
      <c r="E733" s="341"/>
      <c r="F733" s="373"/>
      <c r="G733" s="341"/>
      <c r="H733" s="341"/>
      <c r="I733" s="341"/>
      <c r="J733" s="341"/>
      <c r="K733" s="341"/>
      <c r="L733" s="26" t="str">
        <f t="shared" si="1"/>
        <v/>
      </c>
      <c r="M733" s="28" t="str">
        <f>IFERROR(__xludf.DUMMYFUNCTION("IF(Account!$F733&lt;&gt;"""", VALUE(REGEXREPLACE($I733, ""\,"", ""."")), """")"),"")</f>
        <v/>
      </c>
      <c r="N733" s="31" t="str">
        <f>IF(Account!$F733&lt;&gt;"", DATEVALUE(MID($A733,4,3) &amp; LEFT($A733,3) &amp; RIGHT($A733,4)) + TIMEVALUE($B733), "")</f>
        <v/>
      </c>
      <c r="O733" s="33" t="str">
        <f>IF(Account!$F733&lt;&gt;"", DATEVALUE(MID($A733,4,3) &amp; LEFT($A733,3) &amp; RIGHT($A733,4)), "")</f>
        <v/>
      </c>
      <c r="P733" s="34" t="str">
        <f>IFERROR(VLOOKUP($Q733,Selection!$F:$G,2,false))</f>
        <v/>
      </c>
      <c r="Q733" s="36" t="str">
        <f>IF(AND($X733="change",$H733="EUR"),IF(AND($Z733="Crédit",$N733=$N734),$Q734,IF(AND($Z733="Débit",$N733=$N732),$Q732)),IF(OR(AND(OR($E733&lt;&gt;"",$L733=""),$M733&lt;&gt;0),$A733=""),IFERROR(VLOOKUP($E733,Selection!$E:$F,2,false)),IFERROR(VLOOKUP(SUBSTITUTE($I733,"-","",1),$K734:$Q1119,7,false),VLOOKUP($K733,$K734:$Q1119,7,false))))</f>
        <v/>
      </c>
      <c r="R733" s="34" t="str">
        <f t="shared" si="2"/>
        <v/>
      </c>
      <c r="S733" s="37" t="str">
        <f t="shared" si="3"/>
        <v/>
      </c>
      <c r="T733" s="38" t="str">
        <f t="shared" si="4"/>
        <v/>
      </c>
      <c r="U733" s="28" t="str">
        <f t="shared" si="5"/>
        <v/>
      </c>
      <c r="V733" s="39" t="str">
        <f>IFERROR(__xludf.DUMMYFUNCTION(" IF(Account!$F733&lt;&gt;"""", SPLIT(Account!$F733, "" ""), """")"),"")</f>
        <v/>
      </c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</row>
    <row r="734">
      <c r="A734" s="341"/>
      <c r="B734" s="341"/>
      <c r="C734" s="341"/>
      <c r="D734" s="341"/>
      <c r="E734" s="341"/>
      <c r="F734" s="373"/>
      <c r="G734" s="341"/>
      <c r="H734" s="341"/>
      <c r="I734" s="341"/>
      <c r="J734" s="341"/>
      <c r="K734" s="341"/>
      <c r="L734" s="26" t="str">
        <f t="shared" si="1"/>
        <v/>
      </c>
      <c r="M734" s="28" t="str">
        <f>IFERROR(__xludf.DUMMYFUNCTION("IF(Account!$F734&lt;&gt;"""", VALUE(REGEXREPLACE($I734, ""\,"", ""."")), """")"),"")</f>
        <v/>
      </c>
      <c r="N734" s="31" t="str">
        <f>IF(Account!$F734&lt;&gt;"", DATEVALUE(MID($A734,4,3) &amp; LEFT($A734,3) &amp; RIGHT($A734,4)) + TIMEVALUE($B734), "")</f>
        <v/>
      </c>
      <c r="O734" s="33" t="str">
        <f>IF(Account!$F734&lt;&gt;"", DATEVALUE(MID($A734,4,3) &amp; LEFT($A734,3) &amp; RIGHT($A734,4)), "")</f>
        <v/>
      </c>
      <c r="P734" s="34" t="str">
        <f>IFERROR(VLOOKUP($Q734,Selection!$F:$G,2,false))</f>
        <v/>
      </c>
      <c r="Q734" s="36" t="str">
        <f>IF(AND($X734="change",$H734="EUR"),IF(AND($Z734="Crédit",$N734=$N735),$Q735,IF(AND($Z734="Débit",$N734=$N733),$Q733)),IF(OR(AND(OR($E734&lt;&gt;"",$L734=""),$M734&lt;&gt;0),$A734=""),IFERROR(VLOOKUP($E734,Selection!$E:$F,2,false)),IFERROR(VLOOKUP(SUBSTITUTE($I734,"-","",1),$K735:$Q1119,7,false),VLOOKUP($K734,$K735:$Q1119,7,false))))</f>
        <v/>
      </c>
      <c r="R734" s="34" t="str">
        <f t="shared" si="2"/>
        <v/>
      </c>
      <c r="S734" s="37" t="str">
        <f t="shared" si="3"/>
        <v/>
      </c>
      <c r="T734" s="38" t="str">
        <f t="shared" si="4"/>
        <v/>
      </c>
      <c r="U734" s="28" t="str">
        <f t="shared" si="5"/>
        <v/>
      </c>
      <c r="V734" s="39" t="str">
        <f>IFERROR(__xludf.DUMMYFUNCTION(" IF(Account!$F734&lt;&gt;"""", SPLIT(Account!$F734, "" ""), """")"),"")</f>
        <v/>
      </c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</row>
    <row r="735">
      <c r="A735" s="341"/>
      <c r="B735" s="341"/>
      <c r="C735" s="341"/>
      <c r="D735" s="341"/>
      <c r="E735" s="341"/>
      <c r="F735" s="373"/>
      <c r="G735" s="341"/>
      <c r="H735" s="341"/>
      <c r="I735" s="341"/>
      <c r="J735" s="341"/>
      <c r="K735" s="341"/>
      <c r="L735" s="26" t="str">
        <f t="shared" si="1"/>
        <v/>
      </c>
      <c r="M735" s="28" t="str">
        <f>IFERROR(__xludf.DUMMYFUNCTION("IF(Account!$F735&lt;&gt;"""", VALUE(REGEXREPLACE($I735, ""\,"", ""."")), """")"),"")</f>
        <v/>
      </c>
      <c r="N735" s="31" t="str">
        <f>IF(Account!$F735&lt;&gt;"", DATEVALUE(MID($A735,4,3) &amp; LEFT($A735,3) &amp; RIGHT($A735,4)) + TIMEVALUE($B735), "")</f>
        <v/>
      </c>
      <c r="O735" s="33" t="str">
        <f>IF(Account!$F735&lt;&gt;"", DATEVALUE(MID($A735,4,3) &amp; LEFT($A735,3) &amp; RIGHT($A735,4)), "")</f>
        <v/>
      </c>
      <c r="P735" s="34" t="str">
        <f>IFERROR(VLOOKUP($Q735,Selection!$F:$G,2,false))</f>
        <v/>
      </c>
      <c r="Q735" s="36" t="str">
        <f>IF(AND($X735="change",$H735="EUR"),IF(AND($Z735="Crédit",$N735=$N736),$Q736,IF(AND($Z735="Débit",$N735=$N734),$Q734)),IF(OR(AND(OR($E735&lt;&gt;"",$L735=""),$M735&lt;&gt;0),$A735=""),IFERROR(VLOOKUP($E735,Selection!$E:$F,2,false)),IFERROR(VLOOKUP(SUBSTITUTE($I735,"-","",1),$K736:$Q1119,7,false),VLOOKUP($K735,$K736:$Q1119,7,false))))</f>
        <v/>
      </c>
      <c r="R735" s="34" t="str">
        <f t="shared" si="2"/>
        <v/>
      </c>
      <c r="S735" s="37" t="str">
        <f t="shared" si="3"/>
        <v/>
      </c>
      <c r="T735" s="38" t="str">
        <f t="shared" si="4"/>
        <v/>
      </c>
      <c r="U735" s="28" t="str">
        <f t="shared" si="5"/>
        <v/>
      </c>
      <c r="V735" s="39" t="str">
        <f>IFERROR(__xludf.DUMMYFUNCTION(" IF(Account!$F735&lt;&gt;"""", SPLIT(Account!$F735, "" ""), """")"),"")</f>
        <v/>
      </c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</row>
    <row r="736">
      <c r="A736" s="341"/>
      <c r="B736" s="341"/>
      <c r="C736" s="341"/>
      <c r="D736" s="341"/>
      <c r="E736" s="341"/>
      <c r="F736" s="373"/>
      <c r="G736" s="341"/>
      <c r="H736" s="341"/>
      <c r="I736" s="341"/>
      <c r="J736" s="341"/>
      <c r="K736" s="341"/>
      <c r="L736" s="26" t="str">
        <f t="shared" si="1"/>
        <v/>
      </c>
      <c r="M736" s="28" t="str">
        <f>IFERROR(__xludf.DUMMYFUNCTION("IF(Account!$F736&lt;&gt;"""", VALUE(REGEXREPLACE($I736, ""\,"", ""."")), """")"),"")</f>
        <v/>
      </c>
      <c r="N736" s="31" t="str">
        <f>IF(Account!$F736&lt;&gt;"", DATEVALUE(MID($A736,4,3) &amp; LEFT($A736,3) &amp; RIGHT($A736,4)) + TIMEVALUE($B736), "")</f>
        <v/>
      </c>
      <c r="O736" s="33" t="str">
        <f>IF(Account!$F736&lt;&gt;"", DATEVALUE(MID($A736,4,3) &amp; LEFT($A736,3) &amp; RIGHT($A736,4)), "")</f>
        <v/>
      </c>
      <c r="P736" s="34" t="str">
        <f>IFERROR(VLOOKUP($Q736,Selection!$F:$G,2,false))</f>
        <v/>
      </c>
      <c r="Q736" s="36" t="str">
        <f>IF(AND($X736="change",$H736="EUR"),IF(AND($Z736="Crédit",$N736=$N737),$Q737,IF(AND($Z736="Débit",$N736=$N735),$Q735)),IF(OR(AND(OR($E736&lt;&gt;"",$L736=""),$M736&lt;&gt;0),$A736=""),IFERROR(VLOOKUP($E736,Selection!$E:$F,2,false)),IFERROR(VLOOKUP(SUBSTITUTE($I736,"-","",1),$K737:$Q1119,7,false),VLOOKUP($K736,$K737:$Q1119,7,false))))</f>
        <v/>
      </c>
      <c r="R736" s="34" t="str">
        <f t="shared" si="2"/>
        <v/>
      </c>
      <c r="S736" s="37" t="str">
        <f t="shared" si="3"/>
        <v/>
      </c>
      <c r="T736" s="38" t="str">
        <f t="shared" si="4"/>
        <v/>
      </c>
      <c r="U736" s="28" t="str">
        <f t="shared" si="5"/>
        <v/>
      </c>
      <c r="V736" s="39" t="str">
        <f>IFERROR(__xludf.DUMMYFUNCTION(" IF(Account!$F736&lt;&gt;"""", SPLIT(Account!$F736, "" ""), """")"),"")</f>
        <v/>
      </c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</row>
    <row r="737">
      <c r="A737" s="341"/>
      <c r="B737" s="341"/>
      <c r="C737" s="341"/>
      <c r="D737" s="341"/>
      <c r="E737" s="341"/>
      <c r="F737" s="373"/>
      <c r="G737" s="341"/>
      <c r="H737" s="341"/>
      <c r="I737" s="341"/>
      <c r="J737" s="341"/>
      <c r="K737" s="341"/>
      <c r="L737" s="26" t="str">
        <f t="shared" si="1"/>
        <v/>
      </c>
      <c r="M737" s="28" t="str">
        <f>IFERROR(__xludf.DUMMYFUNCTION("IF(Account!$F737&lt;&gt;"""", VALUE(REGEXREPLACE($I737, ""\,"", ""."")), """")"),"")</f>
        <v/>
      </c>
      <c r="N737" s="31" t="str">
        <f>IF(Account!$F737&lt;&gt;"", DATEVALUE(MID($A737,4,3) &amp; LEFT($A737,3) &amp; RIGHT($A737,4)) + TIMEVALUE($B737), "")</f>
        <v/>
      </c>
      <c r="O737" s="33" t="str">
        <f>IF(Account!$F737&lt;&gt;"", DATEVALUE(MID($A737,4,3) &amp; LEFT($A737,3) &amp; RIGHT($A737,4)), "")</f>
        <v/>
      </c>
      <c r="P737" s="34" t="str">
        <f>IFERROR(VLOOKUP($Q737,Selection!$F:$G,2,false))</f>
        <v/>
      </c>
      <c r="Q737" s="36" t="str">
        <f>IF(AND($X737="change",$H737="EUR"),IF(AND($Z737="Crédit",$N737=$N738),$Q738,IF(AND($Z737="Débit",$N737=$N736),$Q736)),IF(OR(AND(OR($E737&lt;&gt;"",$L737=""),$M737&lt;&gt;0),$A737=""),IFERROR(VLOOKUP($E737,Selection!$E:$F,2,false)),IFERROR(VLOOKUP(SUBSTITUTE($I737,"-","",1),$K738:$Q1119,7,false),VLOOKUP($K737,$K738:$Q1119,7,false))))</f>
        <v/>
      </c>
      <c r="R737" s="34" t="str">
        <f t="shared" si="2"/>
        <v/>
      </c>
      <c r="S737" s="37" t="str">
        <f t="shared" si="3"/>
        <v/>
      </c>
      <c r="T737" s="38" t="str">
        <f t="shared" si="4"/>
        <v/>
      </c>
      <c r="U737" s="28" t="str">
        <f t="shared" si="5"/>
        <v/>
      </c>
      <c r="V737" s="39" t="str">
        <f>IFERROR(__xludf.DUMMYFUNCTION(" IF(Account!$F737&lt;&gt;"""", SPLIT(Account!$F737, "" ""), """")"),"")</f>
        <v/>
      </c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</row>
    <row r="738">
      <c r="A738" s="341"/>
      <c r="B738" s="341"/>
      <c r="C738" s="341"/>
      <c r="D738" s="341"/>
      <c r="E738" s="341"/>
      <c r="F738" s="373"/>
      <c r="G738" s="341"/>
      <c r="H738" s="341"/>
      <c r="I738" s="341"/>
      <c r="J738" s="341"/>
      <c r="K738" s="341"/>
      <c r="L738" s="26" t="str">
        <f t="shared" si="1"/>
        <v/>
      </c>
      <c r="M738" s="28" t="str">
        <f>IFERROR(__xludf.DUMMYFUNCTION("IF(Account!$F738&lt;&gt;"""", VALUE(REGEXREPLACE($I738, ""\,"", ""."")), """")"),"")</f>
        <v/>
      </c>
      <c r="N738" s="31" t="str">
        <f>IF(Account!$F738&lt;&gt;"", DATEVALUE(MID($A738,4,3) &amp; LEFT($A738,3) &amp; RIGHT($A738,4)) + TIMEVALUE($B738), "")</f>
        <v/>
      </c>
      <c r="O738" s="33" t="str">
        <f>IF(Account!$F738&lt;&gt;"", DATEVALUE(MID($A738,4,3) &amp; LEFT($A738,3) &amp; RIGHT($A738,4)), "")</f>
        <v/>
      </c>
      <c r="P738" s="34" t="str">
        <f>IFERROR(VLOOKUP($Q738,Selection!$F:$G,2,false))</f>
        <v/>
      </c>
      <c r="Q738" s="36" t="str">
        <f>IF(AND($X738="change",$H738="EUR"),IF(AND($Z738="Crédit",$N738=$N739),$Q739,IF(AND($Z738="Débit",$N738=$N737),$Q737)),IF(OR(AND(OR($E738&lt;&gt;"",$L738=""),$M738&lt;&gt;0),$A738=""),IFERROR(VLOOKUP($E738,Selection!$E:$F,2,false)),IFERROR(VLOOKUP(SUBSTITUTE($I738,"-","",1),$K739:$Q1119,7,false),VLOOKUP($K738,$K739:$Q1119,7,false))))</f>
        <v/>
      </c>
      <c r="R738" s="34" t="str">
        <f t="shared" si="2"/>
        <v/>
      </c>
      <c r="S738" s="37" t="str">
        <f t="shared" si="3"/>
        <v/>
      </c>
      <c r="T738" s="38" t="str">
        <f t="shared" si="4"/>
        <v/>
      </c>
      <c r="U738" s="28" t="str">
        <f t="shared" si="5"/>
        <v/>
      </c>
      <c r="V738" s="39" t="str">
        <f>IFERROR(__xludf.DUMMYFUNCTION(" IF(Account!$F738&lt;&gt;"""", SPLIT(Account!$F738, "" ""), """")"),"")</f>
        <v/>
      </c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</row>
    <row r="739">
      <c r="A739" s="341"/>
      <c r="B739" s="341"/>
      <c r="C739" s="341"/>
      <c r="D739" s="341"/>
      <c r="E739" s="341"/>
      <c r="F739" s="373"/>
      <c r="G739" s="341"/>
      <c r="H739" s="341"/>
      <c r="I739" s="341"/>
      <c r="J739" s="341"/>
      <c r="K739" s="341"/>
      <c r="L739" s="26" t="str">
        <f t="shared" si="1"/>
        <v/>
      </c>
      <c r="M739" s="28" t="str">
        <f>IFERROR(__xludf.DUMMYFUNCTION("IF(Account!$F739&lt;&gt;"""", VALUE(REGEXREPLACE($I739, ""\,"", ""."")), """")"),"")</f>
        <v/>
      </c>
      <c r="N739" s="31" t="str">
        <f>IF(Account!$F739&lt;&gt;"", DATEVALUE(MID($A739,4,3) &amp; LEFT($A739,3) &amp; RIGHT($A739,4)) + TIMEVALUE($B739), "")</f>
        <v/>
      </c>
      <c r="O739" s="33" t="str">
        <f>IF(Account!$F739&lt;&gt;"", DATEVALUE(MID($A739,4,3) &amp; LEFT($A739,3) &amp; RIGHT($A739,4)), "")</f>
        <v/>
      </c>
      <c r="P739" s="34" t="str">
        <f>IFERROR(VLOOKUP($Q739,Selection!$F:$G,2,false))</f>
        <v/>
      </c>
      <c r="Q739" s="36" t="str">
        <f>IF(AND($X739="change",$H739="EUR"),IF(AND($Z739="Crédit",$N739=$N740),$Q740,IF(AND($Z739="Débit",$N739=$N738),$Q738)),IF(OR(AND(OR($E739&lt;&gt;"",$L739=""),$M739&lt;&gt;0),$A739=""),IFERROR(VLOOKUP($E739,Selection!$E:$F,2,false)),IFERROR(VLOOKUP(SUBSTITUTE($I739,"-","",1),$K740:$Q1119,7,false),VLOOKUP($K739,$K740:$Q1119,7,false))))</f>
        <v/>
      </c>
      <c r="R739" s="34" t="str">
        <f t="shared" si="2"/>
        <v/>
      </c>
      <c r="S739" s="37" t="str">
        <f t="shared" si="3"/>
        <v/>
      </c>
      <c r="T739" s="38" t="str">
        <f t="shared" si="4"/>
        <v/>
      </c>
      <c r="U739" s="28" t="str">
        <f t="shared" si="5"/>
        <v/>
      </c>
      <c r="V739" s="39" t="str">
        <f>IFERROR(__xludf.DUMMYFUNCTION(" IF(Account!$F739&lt;&gt;"""", SPLIT(Account!$F739, "" ""), """")"),"")</f>
        <v/>
      </c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</row>
    <row r="740">
      <c r="A740" s="341"/>
      <c r="B740" s="341"/>
      <c r="C740" s="341"/>
      <c r="D740" s="341"/>
      <c r="E740" s="341"/>
      <c r="F740" s="373"/>
      <c r="G740" s="341"/>
      <c r="H740" s="341"/>
      <c r="I740" s="341"/>
      <c r="J740" s="341"/>
      <c r="K740" s="341"/>
      <c r="L740" s="26" t="str">
        <f t="shared" si="1"/>
        <v/>
      </c>
      <c r="M740" s="28" t="str">
        <f>IFERROR(__xludf.DUMMYFUNCTION("IF(Account!$F740&lt;&gt;"""", VALUE(REGEXREPLACE($I740, ""\,"", ""."")), """")"),"")</f>
        <v/>
      </c>
      <c r="N740" s="31" t="str">
        <f>IF(Account!$F740&lt;&gt;"", DATEVALUE(MID($A740,4,3) &amp; LEFT($A740,3) &amp; RIGHT($A740,4)) + TIMEVALUE($B740), "")</f>
        <v/>
      </c>
      <c r="O740" s="33" t="str">
        <f>IF(Account!$F740&lt;&gt;"", DATEVALUE(MID($A740,4,3) &amp; LEFT($A740,3) &amp; RIGHT($A740,4)), "")</f>
        <v/>
      </c>
      <c r="P740" s="34" t="str">
        <f>IFERROR(VLOOKUP($Q740,Selection!$F:$G,2,false))</f>
        <v/>
      </c>
      <c r="Q740" s="36" t="str">
        <f>IF(AND($X740="change",$H740="EUR"),IF(AND($Z740="Crédit",$N740=$N741),$Q741,IF(AND($Z740="Débit",$N740=$N739),$Q739)),IF(OR(AND(OR($E740&lt;&gt;"",$L740=""),$M740&lt;&gt;0),$A740=""),IFERROR(VLOOKUP($E740,Selection!$E:$F,2,false)),IFERROR(VLOOKUP(SUBSTITUTE($I740,"-","",1),$K741:$Q1119,7,false),VLOOKUP($K740,$K741:$Q1119,7,false))))</f>
        <v/>
      </c>
      <c r="R740" s="34" t="str">
        <f t="shared" si="2"/>
        <v/>
      </c>
      <c r="S740" s="37" t="str">
        <f t="shared" si="3"/>
        <v/>
      </c>
      <c r="T740" s="38" t="str">
        <f t="shared" si="4"/>
        <v/>
      </c>
      <c r="U740" s="28" t="str">
        <f t="shared" si="5"/>
        <v/>
      </c>
      <c r="V740" s="39" t="str">
        <f>IFERROR(__xludf.DUMMYFUNCTION(" IF(Account!$F740&lt;&gt;"""", SPLIT(Account!$F740, "" ""), """")"),"")</f>
        <v/>
      </c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</row>
    <row r="741">
      <c r="A741" s="341"/>
      <c r="B741" s="341"/>
      <c r="C741" s="341"/>
      <c r="D741" s="341"/>
      <c r="E741" s="341"/>
      <c r="F741" s="373"/>
      <c r="G741" s="341"/>
      <c r="H741" s="341"/>
      <c r="I741" s="341"/>
      <c r="J741" s="341"/>
      <c r="K741" s="341"/>
      <c r="L741" s="26" t="str">
        <f t="shared" si="1"/>
        <v/>
      </c>
      <c r="M741" s="28" t="str">
        <f>IFERROR(__xludf.DUMMYFUNCTION("IF(Account!$F741&lt;&gt;"""", VALUE(REGEXREPLACE($I741, ""\,"", ""."")), """")"),"")</f>
        <v/>
      </c>
      <c r="N741" s="31" t="str">
        <f>IF(Account!$F741&lt;&gt;"", DATEVALUE(MID($A741,4,3) &amp; LEFT($A741,3) &amp; RIGHT($A741,4)) + TIMEVALUE($B741), "")</f>
        <v/>
      </c>
      <c r="O741" s="33" t="str">
        <f>IF(Account!$F741&lt;&gt;"", DATEVALUE(MID($A741,4,3) &amp; LEFT($A741,3) &amp; RIGHT($A741,4)), "")</f>
        <v/>
      </c>
      <c r="P741" s="34" t="str">
        <f>IFERROR(VLOOKUP($Q741,Selection!$F:$G,2,false))</f>
        <v/>
      </c>
      <c r="Q741" s="36" t="str">
        <f>IF(AND($X741="change",$H741="EUR"),IF(AND($Z741="Crédit",$N741=$N742),$Q742,IF(AND($Z741="Débit",$N741=$N740),$Q740)),IF(OR(AND(OR($E741&lt;&gt;"",$L741=""),$M741&lt;&gt;0),$A741=""),IFERROR(VLOOKUP($E741,Selection!$E:$F,2,false)),IFERROR(VLOOKUP(SUBSTITUTE($I741,"-","",1),$K742:$Q1119,7,false),VLOOKUP($K741,$K742:$Q1119,7,false))))</f>
        <v/>
      </c>
      <c r="R741" s="34" t="str">
        <f t="shared" si="2"/>
        <v/>
      </c>
      <c r="S741" s="37" t="str">
        <f t="shared" si="3"/>
        <v/>
      </c>
      <c r="T741" s="38" t="str">
        <f t="shared" si="4"/>
        <v/>
      </c>
      <c r="U741" s="28" t="str">
        <f t="shared" si="5"/>
        <v/>
      </c>
      <c r="V741" s="39" t="str">
        <f>IFERROR(__xludf.DUMMYFUNCTION(" IF(Account!$F741&lt;&gt;"""", SPLIT(Account!$F741, "" ""), """")"),"")</f>
        <v/>
      </c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</row>
    <row r="742">
      <c r="A742" s="341"/>
      <c r="B742" s="341"/>
      <c r="C742" s="341"/>
      <c r="D742" s="341"/>
      <c r="E742" s="341"/>
      <c r="F742" s="373"/>
      <c r="G742" s="341"/>
      <c r="H742" s="341"/>
      <c r="I742" s="341"/>
      <c r="J742" s="341"/>
      <c r="K742" s="341"/>
      <c r="L742" s="26" t="str">
        <f t="shared" si="1"/>
        <v/>
      </c>
      <c r="M742" s="28" t="str">
        <f>IFERROR(__xludf.DUMMYFUNCTION("IF(Account!$F742&lt;&gt;"""", VALUE(REGEXREPLACE($I742, ""\,"", ""."")), """")"),"")</f>
        <v/>
      </c>
      <c r="N742" s="31" t="str">
        <f>IF(Account!$F742&lt;&gt;"", DATEVALUE(MID($A742,4,3) &amp; LEFT($A742,3) &amp; RIGHT($A742,4)) + TIMEVALUE($B742), "")</f>
        <v/>
      </c>
      <c r="O742" s="33" t="str">
        <f>IF(Account!$F742&lt;&gt;"", DATEVALUE(MID($A742,4,3) &amp; LEFT($A742,3) &amp; RIGHT($A742,4)), "")</f>
        <v/>
      </c>
      <c r="P742" s="34" t="str">
        <f>IFERROR(VLOOKUP($Q742,Selection!$F:$G,2,false))</f>
        <v/>
      </c>
      <c r="Q742" s="36" t="str">
        <f>IF(AND($X742="change",$H742="EUR"),IF(AND($Z742="Crédit",$N742=$N743),$Q743,IF(AND($Z742="Débit",$N742=$N741),$Q741)),IF(OR(AND(OR($E742&lt;&gt;"",$L742=""),$M742&lt;&gt;0),$A742=""),IFERROR(VLOOKUP($E742,Selection!$E:$F,2,false)),IFERROR(VLOOKUP(SUBSTITUTE($I742,"-","",1),$K743:$Q1119,7,false),VLOOKUP($K742,$K743:$Q1119,7,false))))</f>
        <v/>
      </c>
      <c r="R742" s="34" t="str">
        <f t="shared" si="2"/>
        <v/>
      </c>
      <c r="S742" s="37" t="str">
        <f t="shared" si="3"/>
        <v/>
      </c>
      <c r="T742" s="38" t="str">
        <f t="shared" si="4"/>
        <v/>
      </c>
      <c r="U742" s="28" t="str">
        <f t="shared" si="5"/>
        <v/>
      </c>
      <c r="V742" s="39" t="str">
        <f>IFERROR(__xludf.DUMMYFUNCTION(" IF(Account!$F742&lt;&gt;"""", SPLIT(Account!$F742, "" ""), """")"),"")</f>
        <v/>
      </c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>
      <c r="A743" s="341"/>
      <c r="B743" s="341"/>
      <c r="C743" s="341"/>
      <c r="D743" s="341"/>
      <c r="E743" s="341"/>
      <c r="F743" s="373"/>
      <c r="G743" s="341"/>
      <c r="H743" s="341"/>
      <c r="I743" s="341"/>
      <c r="J743" s="341"/>
      <c r="K743" s="341"/>
      <c r="L743" s="26" t="str">
        <f t="shared" si="1"/>
        <v/>
      </c>
      <c r="M743" s="28" t="str">
        <f>IFERROR(__xludf.DUMMYFUNCTION("IF(Account!$F743&lt;&gt;"""", VALUE(REGEXREPLACE($I743, ""\,"", ""."")), """")"),"")</f>
        <v/>
      </c>
      <c r="N743" s="31" t="str">
        <f>IF(Account!$F743&lt;&gt;"", DATEVALUE(MID($A743,4,3) &amp; LEFT($A743,3) &amp; RIGHT($A743,4)) + TIMEVALUE($B743), "")</f>
        <v/>
      </c>
      <c r="O743" s="33" t="str">
        <f>IF(Account!$F743&lt;&gt;"", DATEVALUE(MID($A743,4,3) &amp; LEFT($A743,3) &amp; RIGHT($A743,4)), "")</f>
        <v/>
      </c>
      <c r="P743" s="34" t="str">
        <f>IFERROR(VLOOKUP($Q743,Selection!$F:$G,2,false))</f>
        <v/>
      </c>
      <c r="Q743" s="36" t="str">
        <f>IF(AND($X743="change",$H743="EUR"),IF(AND($Z743="Crédit",$N743=$N744),$Q744,IF(AND($Z743="Débit",$N743=$N742),$Q742)),IF(OR(AND(OR($E743&lt;&gt;"",$L743=""),$M743&lt;&gt;0),$A743=""),IFERROR(VLOOKUP($E743,Selection!$E:$F,2,false)),IFERROR(VLOOKUP(SUBSTITUTE($I743,"-","",1),$K744:$Q1119,7,false),VLOOKUP($K743,$K744:$Q1119,7,false))))</f>
        <v/>
      </c>
      <c r="R743" s="34" t="str">
        <f t="shared" si="2"/>
        <v/>
      </c>
      <c r="S743" s="37" t="str">
        <f t="shared" si="3"/>
        <v/>
      </c>
      <c r="T743" s="38" t="str">
        <f t="shared" si="4"/>
        <v/>
      </c>
      <c r="U743" s="28" t="str">
        <f t="shared" si="5"/>
        <v/>
      </c>
      <c r="V743" s="39" t="str">
        <f>IFERROR(__xludf.DUMMYFUNCTION(" IF(Account!$F743&lt;&gt;"""", SPLIT(Account!$F743, "" ""), """")"),"")</f>
        <v/>
      </c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</row>
    <row r="744">
      <c r="A744" s="341"/>
      <c r="B744" s="341"/>
      <c r="C744" s="341"/>
      <c r="D744" s="341"/>
      <c r="E744" s="341"/>
      <c r="F744" s="373"/>
      <c r="G744" s="341"/>
      <c r="H744" s="341"/>
      <c r="I744" s="341"/>
      <c r="J744" s="341"/>
      <c r="K744" s="341"/>
      <c r="L744" s="26" t="str">
        <f t="shared" si="1"/>
        <v/>
      </c>
      <c r="M744" s="28" t="str">
        <f>IFERROR(__xludf.DUMMYFUNCTION("IF(Account!$F744&lt;&gt;"""", VALUE(REGEXREPLACE($I744, ""\,"", ""."")), """")"),"")</f>
        <v/>
      </c>
      <c r="N744" s="31" t="str">
        <f>IF(Account!$F744&lt;&gt;"", DATEVALUE(MID($A744,4,3) &amp; LEFT($A744,3) &amp; RIGHT($A744,4)) + TIMEVALUE($B744), "")</f>
        <v/>
      </c>
      <c r="O744" s="33" t="str">
        <f>IF(Account!$F744&lt;&gt;"", DATEVALUE(MID($A744,4,3) &amp; LEFT($A744,3) &amp; RIGHT($A744,4)), "")</f>
        <v/>
      </c>
      <c r="P744" s="34" t="str">
        <f>IFERROR(VLOOKUP($Q744,Selection!$F:$G,2,false))</f>
        <v/>
      </c>
      <c r="Q744" s="36" t="str">
        <f>IF(AND($X744="change",$H744="EUR"),IF(AND($Z744="Crédit",$N744=$N745),$Q745,IF(AND($Z744="Débit",$N744=$N743),$Q743)),IF(OR(AND(OR($E744&lt;&gt;"",$L744=""),$M744&lt;&gt;0),$A744=""),IFERROR(VLOOKUP($E744,Selection!$E:$F,2,false)),IFERROR(VLOOKUP(SUBSTITUTE($I744,"-","",1),$K745:$Q1119,7,false),VLOOKUP($K744,$K745:$Q1119,7,false))))</f>
        <v/>
      </c>
      <c r="R744" s="34" t="str">
        <f t="shared" si="2"/>
        <v/>
      </c>
      <c r="S744" s="37" t="str">
        <f t="shared" si="3"/>
        <v/>
      </c>
      <c r="T744" s="38" t="str">
        <f t="shared" si="4"/>
        <v/>
      </c>
      <c r="U744" s="28" t="str">
        <f t="shared" si="5"/>
        <v/>
      </c>
      <c r="V744" s="39" t="str">
        <f>IFERROR(__xludf.DUMMYFUNCTION(" IF(Account!$F744&lt;&gt;"""", SPLIT(Account!$F744, "" ""), """")"),"")</f>
        <v/>
      </c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</row>
    <row r="745">
      <c r="A745" s="341"/>
      <c r="B745" s="341"/>
      <c r="C745" s="341"/>
      <c r="D745" s="341"/>
      <c r="E745" s="341"/>
      <c r="F745" s="373"/>
      <c r="G745" s="341"/>
      <c r="H745" s="341"/>
      <c r="I745" s="341"/>
      <c r="J745" s="341"/>
      <c r="K745" s="341"/>
      <c r="L745" s="26" t="str">
        <f t="shared" si="1"/>
        <v/>
      </c>
      <c r="M745" s="28" t="str">
        <f>IFERROR(__xludf.DUMMYFUNCTION("IF(Account!$F745&lt;&gt;"""", VALUE(REGEXREPLACE($I745, ""\,"", ""."")), """")"),"")</f>
        <v/>
      </c>
      <c r="N745" s="31" t="str">
        <f>IF(Account!$F745&lt;&gt;"", DATEVALUE(MID($A745,4,3) &amp; LEFT($A745,3) &amp; RIGHT($A745,4)) + TIMEVALUE($B745), "")</f>
        <v/>
      </c>
      <c r="O745" s="33" t="str">
        <f>IF(Account!$F745&lt;&gt;"", DATEVALUE(MID($A745,4,3) &amp; LEFT($A745,3) &amp; RIGHT($A745,4)), "")</f>
        <v/>
      </c>
      <c r="P745" s="34" t="str">
        <f>IFERROR(VLOOKUP($Q745,Selection!$F:$G,2,false))</f>
        <v/>
      </c>
      <c r="Q745" s="36" t="str">
        <f>IF(AND($X745="change",$H745="EUR"),IF(AND($Z745="Crédit",$N745=$N746),$Q746,IF(AND($Z745="Débit",$N745=$N744),$Q744)),IF(OR(AND(OR($E745&lt;&gt;"",$L745=""),$M745&lt;&gt;0),$A745=""),IFERROR(VLOOKUP($E745,Selection!$E:$F,2,false)),IFERROR(VLOOKUP(SUBSTITUTE($I745,"-","",1),$K746:$Q1119,7,false),VLOOKUP($K745,$K746:$Q1119,7,false))))</f>
        <v/>
      </c>
      <c r="R745" s="34" t="str">
        <f t="shared" si="2"/>
        <v/>
      </c>
      <c r="S745" s="37" t="str">
        <f t="shared" si="3"/>
        <v/>
      </c>
      <c r="T745" s="38" t="str">
        <f t="shared" si="4"/>
        <v/>
      </c>
      <c r="U745" s="28" t="str">
        <f t="shared" si="5"/>
        <v/>
      </c>
      <c r="V745" s="39" t="str">
        <f>IFERROR(__xludf.DUMMYFUNCTION(" IF(Account!$F745&lt;&gt;"""", SPLIT(Account!$F745, "" ""), """")"),"")</f>
        <v/>
      </c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</row>
    <row r="746">
      <c r="A746" s="341"/>
      <c r="B746" s="341"/>
      <c r="C746" s="341"/>
      <c r="D746" s="341"/>
      <c r="E746" s="341"/>
      <c r="F746" s="373"/>
      <c r="G746" s="341"/>
      <c r="H746" s="341"/>
      <c r="I746" s="341"/>
      <c r="J746" s="341"/>
      <c r="K746" s="341"/>
      <c r="L746" s="26" t="str">
        <f t="shared" si="1"/>
        <v/>
      </c>
      <c r="M746" s="28" t="str">
        <f>IFERROR(__xludf.DUMMYFUNCTION("IF(Account!$F746&lt;&gt;"""", VALUE(REGEXREPLACE($I746, ""\,"", ""."")), """")"),"")</f>
        <v/>
      </c>
      <c r="N746" s="31" t="str">
        <f>IF(Account!$F746&lt;&gt;"", DATEVALUE(MID($A746,4,3) &amp; LEFT($A746,3) &amp; RIGHT($A746,4)) + TIMEVALUE($B746), "")</f>
        <v/>
      </c>
      <c r="O746" s="33" t="str">
        <f>IF(Account!$F746&lt;&gt;"", DATEVALUE(MID($A746,4,3) &amp; LEFT($A746,3) &amp; RIGHT($A746,4)), "")</f>
        <v/>
      </c>
      <c r="P746" s="34" t="str">
        <f>IFERROR(VLOOKUP($Q746,Selection!$F:$G,2,false))</f>
        <v/>
      </c>
      <c r="Q746" s="36" t="str">
        <f>IF(AND($X746="change",$H746="EUR"),IF(AND($Z746="Crédit",$N746=$N747),$Q747,IF(AND($Z746="Débit",$N746=$N745),$Q745)),IF(OR(AND(OR($E746&lt;&gt;"",$L746=""),$M746&lt;&gt;0),$A746=""),IFERROR(VLOOKUP($E746,Selection!$E:$F,2,false)),IFERROR(VLOOKUP(SUBSTITUTE($I746,"-","",1),$K747:$Q1119,7,false),VLOOKUP($K746,$K747:$Q1119,7,false))))</f>
        <v/>
      </c>
      <c r="R746" s="34" t="str">
        <f t="shared" si="2"/>
        <v/>
      </c>
      <c r="S746" s="37" t="str">
        <f t="shared" si="3"/>
        <v/>
      </c>
      <c r="T746" s="38" t="str">
        <f t="shared" si="4"/>
        <v/>
      </c>
      <c r="U746" s="28" t="str">
        <f t="shared" si="5"/>
        <v/>
      </c>
      <c r="V746" s="39" t="str">
        <f>IFERROR(__xludf.DUMMYFUNCTION(" IF(Account!$F746&lt;&gt;"""", SPLIT(Account!$F746, "" ""), """")"),"")</f>
        <v/>
      </c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</row>
    <row r="747">
      <c r="A747" s="341"/>
      <c r="B747" s="341"/>
      <c r="C747" s="341"/>
      <c r="D747" s="341"/>
      <c r="E747" s="341"/>
      <c r="F747" s="373"/>
      <c r="G747" s="341"/>
      <c r="H747" s="341"/>
      <c r="I747" s="341"/>
      <c r="J747" s="341"/>
      <c r="K747" s="341"/>
      <c r="L747" s="26" t="str">
        <f t="shared" si="1"/>
        <v/>
      </c>
      <c r="M747" s="28" t="str">
        <f>IFERROR(__xludf.DUMMYFUNCTION("IF(Account!$F747&lt;&gt;"""", VALUE(REGEXREPLACE($I747, ""\,"", ""."")), """")"),"")</f>
        <v/>
      </c>
      <c r="N747" s="31" t="str">
        <f>IF(Account!$F747&lt;&gt;"", DATEVALUE(MID($A747,4,3) &amp; LEFT($A747,3) &amp; RIGHT($A747,4)) + TIMEVALUE($B747), "")</f>
        <v/>
      </c>
      <c r="O747" s="33" t="str">
        <f>IF(Account!$F747&lt;&gt;"", DATEVALUE(MID($A747,4,3) &amp; LEFT($A747,3) &amp; RIGHT($A747,4)), "")</f>
        <v/>
      </c>
      <c r="P747" s="34" t="str">
        <f>IFERROR(VLOOKUP($Q747,Selection!$F:$G,2,false))</f>
        <v/>
      </c>
      <c r="Q747" s="36" t="str">
        <f>IF(AND($X747="change",$H747="EUR"),IF(AND($Z747="Crédit",$N747=$N748),$Q748,IF(AND($Z747="Débit",$N747=$N746),$Q746)),IF(OR(AND(OR($E747&lt;&gt;"",$L747=""),$M747&lt;&gt;0),$A747=""),IFERROR(VLOOKUP($E747,Selection!$E:$F,2,false)),IFERROR(VLOOKUP(SUBSTITUTE($I747,"-","",1),$K748:$Q1119,7,false),VLOOKUP($K747,$K748:$Q1119,7,false))))</f>
        <v/>
      </c>
      <c r="R747" s="34" t="str">
        <f t="shared" si="2"/>
        <v/>
      </c>
      <c r="S747" s="37" t="str">
        <f t="shared" si="3"/>
        <v/>
      </c>
      <c r="T747" s="38" t="str">
        <f t="shared" si="4"/>
        <v/>
      </c>
      <c r="U747" s="28" t="str">
        <f t="shared" si="5"/>
        <v/>
      </c>
      <c r="V747" s="39" t="str">
        <f>IFERROR(__xludf.DUMMYFUNCTION(" IF(Account!$F747&lt;&gt;"""", SPLIT(Account!$F747, "" ""), """")"),"")</f>
        <v/>
      </c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</row>
    <row r="748">
      <c r="A748" s="341"/>
      <c r="B748" s="341"/>
      <c r="C748" s="341"/>
      <c r="D748" s="341"/>
      <c r="E748" s="341"/>
      <c r="F748" s="373"/>
      <c r="G748" s="341"/>
      <c r="H748" s="341"/>
      <c r="I748" s="341"/>
      <c r="J748" s="341"/>
      <c r="K748" s="341"/>
      <c r="L748" s="26" t="str">
        <f t="shared" si="1"/>
        <v/>
      </c>
      <c r="M748" s="28" t="str">
        <f>IFERROR(__xludf.DUMMYFUNCTION("IF(Account!$F748&lt;&gt;"""", VALUE(REGEXREPLACE($I748, ""\,"", ""."")), """")"),"")</f>
        <v/>
      </c>
      <c r="N748" s="31" t="str">
        <f>IF(Account!$F748&lt;&gt;"", DATEVALUE(MID($A748,4,3) &amp; LEFT($A748,3) &amp; RIGHT($A748,4)) + TIMEVALUE($B748), "")</f>
        <v/>
      </c>
      <c r="O748" s="33" t="str">
        <f>IF(Account!$F748&lt;&gt;"", DATEVALUE(MID($A748,4,3) &amp; LEFT($A748,3) &amp; RIGHT($A748,4)), "")</f>
        <v/>
      </c>
      <c r="P748" s="34" t="str">
        <f>IFERROR(VLOOKUP($Q748,Selection!$F:$G,2,false))</f>
        <v/>
      </c>
      <c r="Q748" s="36" t="str">
        <f>IF(AND($X748="change",$H748="EUR"),IF(AND($Z748="Crédit",$N748=$N749),$Q749,IF(AND($Z748="Débit",$N748=$N747),$Q747)),IF(OR(AND(OR($E748&lt;&gt;"",$L748=""),$M748&lt;&gt;0),$A748=""),IFERROR(VLOOKUP($E748,Selection!$E:$F,2,false)),IFERROR(VLOOKUP(SUBSTITUTE($I748,"-","",1),$K749:$Q1119,7,false),VLOOKUP($K748,$K749:$Q1119,7,false))))</f>
        <v/>
      </c>
      <c r="R748" s="34" t="str">
        <f t="shared" si="2"/>
        <v/>
      </c>
      <c r="S748" s="37" t="str">
        <f t="shared" si="3"/>
        <v/>
      </c>
      <c r="T748" s="38" t="str">
        <f t="shared" si="4"/>
        <v/>
      </c>
      <c r="U748" s="28" t="str">
        <f t="shared" si="5"/>
        <v/>
      </c>
      <c r="V748" s="39" t="str">
        <f>IFERROR(__xludf.DUMMYFUNCTION(" IF(Account!$F748&lt;&gt;"""", SPLIT(Account!$F748, "" ""), """")"),"")</f>
        <v/>
      </c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</row>
    <row r="749">
      <c r="A749" s="341"/>
      <c r="B749" s="341"/>
      <c r="C749" s="341"/>
      <c r="D749" s="341"/>
      <c r="E749" s="341"/>
      <c r="F749" s="373"/>
      <c r="G749" s="341"/>
      <c r="H749" s="341"/>
      <c r="I749" s="341"/>
      <c r="J749" s="341"/>
      <c r="K749" s="341"/>
      <c r="L749" s="26" t="str">
        <f t="shared" si="1"/>
        <v/>
      </c>
      <c r="M749" s="28" t="str">
        <f>IFERROR(__xludf.DUMMYFUNCTION("IF(Account!$F749&lt;&gt;"""", VALUE(REGEXREPLACE($I749, ""\,"", ""."")), """")"),"")</f>
        <v/>
      </c>
      <c r="N749" s="31" t="str">
        <f>IF(Account!$F749&lt;&gt;"", DATEVALUE(MID($A749,4,3) &amp; LEFT($A749,3) &amp; RIGHT($A749,4)) + TIMEVALUE($B749), "")</f>
        <v/>
      </c>
      <c r="O749" s="33" t="str">
        <f>IF(Account!$F749&lt;&gt;"", DATEVALUE(MID($A749,4,3) &amp; LEFT($A749,3) &amp; RIGHT($A749,4)), "")</f>
        <v/>
      </c>
      <c r="P749" s="34" t="str">
        <f>IFERROR(VLOOKUP($Q749,Selection!$F:$G,2,false))</f>
        <v/>
      </c>
      <c r="Q749" s="36" t="str">
        <f>IF(AND($X749="change",$H749="EUR"),IF(AND($Z749="Crédit",$N749=$N750),$Q750,IF(AND($Z749="Débit",$N749=$N748),$Q748)),IF(OR(AND(OR($E749&lt;&gt;"",$L749=""),$M749&lt;&gt;0),$A749=""),IFERROR(VLOOKUP($E749,Selection!$E:$F,2,false)),IFERROR(VLOOKUP(SUBSTITUTE($I749,"-","",1),$K750:$Q1119,7,false),VLOOKUP($K749,$K750:$Q1119,7,false))))</f>
        <v/>
      </c>
      <c r="R749" s="34" t="str">
        <f t="shared" si="2"/>
        <v/>
      </c>
      <c r="S749" s="37" t="str">
        <f t="shared" si="3"/>
        <v/>
      </c>
      <c r="T749" s="38" t="str">
        <f t="shared" si="4"/>
        <v/>
      </c>
      <c r="U749" s="28" t="str">
        <f t="shared" si="5"/>
        <v/>
      </c>
      <c r="V749" s="39" t="str">
        <f>IFERROR(__xludf.DUMMYFUNCTION(" IF(Account!$F749&lt;&gt;"""", SPLIT(Account!$F749, "" ""), """")"),"")</f>
        <v/>
      </c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</row>
    <row r="750">
      <c r="A750" s="341"/>
      <c r="B750" s="341"/>
      <c r="C750" s="341"/>
      <c r="D750" s="341"/>
      <c r="E750" s="341"/>
      <c r="F750" s="373"/>
      <c r="G750" s="341"/>
      <c r="H750" s="341"/>
      <c r="I750" s="341"/>
      <c r="J750" s="341"/>
      <c r="K750" s="341"/>
      <c r="L750" s="26" t="str">
        <f t="shared" si="1"/>
        <v/>
      </c>
      <c r="M750" s="28" t="str">
        <f>IFERROR(__xludf.DUMMYFUNCTION("IF(Account!$F750&lt;&gt;"""", VALUE(REGEXREPLACE($I750, ""\,"", ""."")), """")"),"")</f>
        <v/>
      </c>
      <c r="N750" s="31" t="str">
        <f>IF(Account!$F750&lt;&gt;"", DATEVALUE(MID($A750,4,3) &amp; LEFT($A750,3) &amp; RIGHT($A750,4)) + TIMEVALUE($B750), "")</f>
        <v/>
      </c>
      <c r="O750" s="33" t="str">
        <f>IF(Account!$F750&lt;&gt;"", DATEVALUE(MID($A750,4,3) &amp; LEFT($A750,3) &amp; RIGHT($A750,4)), "")</f>
        <v/>
      </c>
      <c r="P750" s="34" t="str">
        <f>IFERROR(VLOOKUP($Q750,Selection!$F:$G,2,false))</f>
        <v/>
      </c>
      <c r="Q750" s="36" t="str">
        <f>IF(AND($X750="change",$H750="EUR"),IF(AND($Z750="Crédit",$N750=$N751),$Q751,IF(AND($Z750="Débit",$N750=$N749),$Q749)),IF(OR(AND(OR($E750&lt;&gt;"",$L750=""),$M750&lt;&gt;0),$A750=""),IFERROR(VLOOKUP($E750,Selection!$E:$F,2,false)),IFERROR(VLOOKUP(SUBSTITUTE($I750,"-","",1),$K751:$Q1119,7,false),VLOOKUP($K750,$K751:$Q1119,7,false))))</f>
        <v/>
      </c>
      <c r="R750" s="34" t="str">
        <f t="shared" si="2"/>
        <v/>
      </c>
      <c r="S750" s="37" t="str">
        <f t="shared" si="3"/>
        <v/>
      </c>
      <c r="T750" s="38" t="str">
        <f t="shared" si="4"/>
        <v/>
      </c>
      <c r="U750" s="28" t="str">
        <f t="shared" si="5"/>
        <v/>
      </c>
      <c r="V750" s="39" t="str">
        <f>IFERROR(__xludf.DUMMYFUNCTION(" IF(Account!$F750&lt;&gt;"""", SPLIT(Account!$F750, "" ""), """")"),"")</f>
        <v/>
      </c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</row>
    <row r="751">
      <c r="A751" s="341"/>
      <c r="B751" s="341"/>
      <c r="C751" s="341"/>
      <c r="D751" s="341"/>
      <c r="E751" s="341"/>
      <c r="F751" s="373"/>
      <c r="G751" s="341"/>
      <c r="H751" s="341"/>
      <c r="I751" s="341"/>
      <c r="J751" s="341"/>
      <c r="K751" s="341"/>
      <c r="L751" s="26" t="str">
        <f t="shared" si="1"/>
        <v/>
      </c>
      <c r="M751" s="28" t="str">
        <f>IFERROR(__xludf.DUMMYFUNCTION("IF(Account!$F751&lt;&gt;"""", VALUE(REGEXREPLACE($I751, ""\,"", ""."")), """")"),"")</f>
        <v/>
      </c>
      <c r="N751" s="31" t="str">
        <f>IF(Account!$F751&lt;&gt;"", DATEVALUE(MID($A751,4,3) &amp; LEFT($A751,3) &amp; RIGHT($A751,4)) + TIMEVALUE($B751), "")</f>
        <v/>
      </c>
      <c r="O751" s="33" t="str">
        <f>IF(Account!$F751&lt;&gt;"", DATEVALUE(MID($A751,4,3) &amp; LEFT($A751,3) &amp; RIGHT($A751,4)), "")</f>
        <v/>
      </c>
      <c r="P751" s="34" t="str">
        <f>IFERROR(VLOOKUP($Q751,Selection!$F:$G,2,false))</f>
        <v/>
      </c>
      <c r="Q751" s="36" t="str">
        <f>IF(AND($X751="change",$H751="EUR"),IF(AND($Z751="Crédit",$N751=$N752),$Q752,IF(AND($Z751="Débit",$N751=$N750),$Q750)),IF(OR(AND(OR($E751&lt;&gt;"",$L751=""),$M751&lt;&gt;0),$A751=""),IFERROR(VLOOKUP($E751,Selection!$E:$F,2,false)),IFERROR(VLOOKUP(SUBSTITUTE($I751,"-","",1),$K752:$Q1119,7,false),VLOOKUP($K751,$K752:$Q1119,7,false))))</f>
        <v/>
      </c>
      <c r="R751" s="34" t="str">
        <f t="shared" si="2"/>
        <v/>
      </c>
      <c r="S751" s="37" t="str">
        <f t="shared" si="3"/>
        <v/>
      </c>
      <c r="T751" s="38" t="str">
        <f t="shared" si="4"/>
        <v/>
      </c>
      <c r="U751" s="28" t="str">
        <f t="shared" si="5"/>
        <v/>
      </c>
      <c r="V751" s="39" t="str">
        <f>IFERROR(__xludf.DUMMYFUNCTION(" IF(Account!$F751&lt;&gt;"""", SPLIT(Account!$F751, "" ""), """")"),"")</f>
        <v/>
      </c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</row>
    <row r="752">
      <c r="A752" s="341"/>
      <c r="B752" s="341"/>
      <c r="C752" s="341"/>
      <c r="D752" s="341"/>
      <c r="E752" s="341"/>
      <c r="F752" s="373"/>
      <c r="G752" s="341"/>
      <c r="H752" s="341"/>
      <c r="I752" s="341"/>
      <c r="J752" s="341"/>
      <c r="K752" s="341"/>
      <c r="L752" s="26" t="str">
        <f t="shared" si="1"/>
        <v/>
      </c>
      <c r="M752" s="28" t="str">
        <f>IFERROR(__xludf.DUMMYFUNCTION("IF(Account!$F752&lt;&gt;"""", VALUE(REGEXREPLACE($I752, ""\,"", ""."")), """")"),"")</f>
        <v/>
      </c>
      <c r="N752" s="31" t="str">
        <f>IF(Account!$F752&lt;&gt;"", DATEVALUE(MID($A752,4,3) &amp; LEFT($A752,3) &amp; RIGHT($A752,4)) + TIMEVALUE($B752), "")</f>
        <v/>
      </c>
      <c r="O752" s="33" t="str">
        <f>IF(Account!$F752&lt;&gt;"", DATEVALUE(MID($A752,4,3) &amp; LEFT($A752,3) &amp; RIGHT($A752,4)), "")</f>
        <v/>
      </c>
      <c r="P752" s="34" t="str">
        <f>IFERROR(VLOOKUP($Q752,Selection!$F:$G,2,false))</f>
        <v/>
      </c>
      <c r="Q752" s="36" t="str">
        <f>IF(AND($X752="change",$H752="EUR"),IF(AND($Z752="Crédit",$N752=$N753),$Q753,IF(AND($Z752="Débit",$N752=$N751),$Q751)),IF(OR(AND(OR($E752&lt;&gt;"",$L752=""),$M752&lt;&gt;0),$A752=""),IFERROR(VLOOKUP($E752,Selection!$E:$F,2,false)),IFERROR(VLOOKUP(SUBSTITUTE($I752,"-","",1),$K753:$Q1119,7,false),VLOOKUP($K752,$K753:$Q1119,7,false))))</f>
        <v/>
      </c>
      <c r="R752" s="34" t="str">
        <f t="shared" si="2"/>
        <v/>
      </c>
      <c r="S752" s="37" t="str">
        <f t="shared" si="3"/>
        <v/>
      </c>
      <c r="T752" s="38" t="str">
        <f t="shared" si="4"/>
        <v/>
      </c>
      <c r="U752" s="28" t="str">
        <f t="shared" si="5"/>
        <v/>
      </c>
      <c r="V752" s="39" t="str">
        <f>IFERROR(__xludf.DUMMYFUNCTION(" IF(Account!$F752&lt;&gt;"""", SPLIT(Account!$F752, "" ""), """")"),"")</f>
        <v/>
      </c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</row>
    <row r="753">
      <c r="A753" s="341"/>
      <c r="B753" s="341"/>
      <c r="C753" s="341"/>
      <c r="D753" s="341"/>
      <c r="E753" s="341"/>
      <c r="F753" s="373"/>
      <c r="G753" s="341"/>
      <c r="H753" s="341"/>
      <c r="I753" s="341"/>
      <c r="J753" s="341"/>
      <c r="K753" s="341"/>
      <c r="L753" s="26" t="str">
        <f t="shared" si="1"/>
        <v/>
      </c>
      <c r="M753" s="28" t="str">
        <f>IFERROR(__xludf.DUMMYFUNCTION("IF(Account!$F753&lt;&gt;"""", VALUE(REGEXREPLACE($I753, ""\,"", ""."")), """")"),"")</f>
        <v/>
      </c>
      <c r="N753" s="31" t="str">
        <f>IF(Account!$F753&lt;&gt;"", DATEVALUE(MID($A753,4,3) &amp; LEFT($A753,3) &amp; RIGHT($A753,4)) + TIMEVALUE($B753), "")</f>
        <v/>
      </c>
      <c r="O753" s="33" t="str">
        <f>IF(Account!$F753&lt;&gt;"", DATEVALUE(MID($A753,4,3) &amp; LEFT($A753,3) &amp; RIGHT($A753,4)), "")</f>
        <v/>
      </c>
      <c r="P753" s="34" t="str">
        <f>IFERROR(VLOOKUP($Q753,Selection!$F:$G,2,false))</f>
        <v/>
      </c>
      <c r="Q753" s="36" t="str">
        <f>IF(AND($X753="change",$H753="EUR"),IF(AND($Z753="Crédit",$N753=$N754),$Q754,IF(AND($Z753="Débit",$N753=$N752),$Q752)),IF(OR(AND(OR($E753&lt;&gt;"",$L753=""),$M753&lt;&gt;0),$A753=""),IFERROR(VLOOKUP($E753,Selection!$E:$F,2,false)),IFERROR(VLOOKUP(SUBSTITUTE($I753,"-","",1),$K754:$Q1119,7,false),VLOOKUP($K753,$K754:$Q1119,7,false))))</f>
        <v/>
      </c>
      <c r="R753" s="34" t="str">
        <f t="shared" si="2"/>
        <v/>
      </c>
      <c r="S753" s="37" t="str">
        <f t="shared" si="3"/>
        <v/>
      </c>
      <c r="T753" s="38" t="str">
        <f t="shared" si="4"/>
        <v/>
      </c>
      <c r="U753" s="28" t="str">
        <f t="shared" si="5"/>
        <v/>
      </c>
      <c r="V753" s="39" t="str">
        <f>IFERROR(__xludf.DUMMYFUNCTION(" IF(Account!$F753&lt;&gt;"""", SPLIT(Account!$F753, "" ""), """")"),"")</f>
        <v/>
      </c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</row>
    <row r="754">
      <c r="A754" s="341"/>
      <c r="B754" s="341"/>
      <c r="C754" s="341"/>
      <c r="D754" s="341"/>
      <c r="E754" s="341"/>
      <c r="F754" s="373"/>
      <c r="G754" s="341"/>
      <c r="H754" s="341"/>
      <c r="I754" s="341"/>
      <c r="J754" s="341"/>
      <c r="K754" s="341"/>
      <c r="L754" s="26" t="str">
        <f t="shared" si="1"/>
        <v/>
      </c>
      <c r="M754" s="28" t="str">
        <f>IFERROR(__xludf.DUMMYFUNCTION("IF(Account!$F754&lt;&gt;"""", VALUE(REGEXREPLACE($I754, ""\,"", ""."")), """")"),"")</f>
        <v/>
      </c>
      <c r="N754" s="31" t="str">
        <f>IF(Account!$F754&lt;&gt;"", DATEVALUE(MID($A754,4,3) &amp; LEFT($A754,3) &amp; RIGHT($A754,4)) + TIMEVALUE($B754), "")</f>
        <v/>
      </c>
      <c r="O754" s="33" t="str">
        <f>IF(Account!$F754&lt;&gt;"", DATEVALUE(MID($A754,4,3) &amp; LEFT($A754,3) &amp; RIGHT($A754,4)), "")</f>
        <v/>
      </c>
      <c r="P754" s="34" t="str">
        <f>IFERROR(VLOOKUP($Q754,Selection!$F:$G,2,false))</f>
        <v/>
      </c>
      <c r="Q754" s="36" t="str">
        <f>IF(AND($X754="change",$H754="EUR"),IF(AND($Z754="Crédit",$N754=$N755),$Q755,IF(AND($Z754="Débit",$N754=$N753),$Q753)),IF(OR(AND(OR($E754&lt;&gt;"",$L754=""),$M754&lt;&gt;0),$A754=""),IFERROR(VLOOKUP($E754,Selection!$E:$F,2,false)),IFERROR(VLOOKUP(SUBSTITUTE($I754,"-","",1),$K755:$Q1119,7,false),VLOOKUP($K754,$K755:$Q1119,7,false))))</f>
        <v/>
      </c>
      <c r="R754" s="34" t="str">
        <f t="shared" si="2"/>
        <v/>
      </c>
      <c r="S754" s="37" t="str">
        <f t="shared" si="3"/>
        <v/>
      </c>
      <c r="T754" s="38" t="str">
        <f t="shared" si="4"/>
        <v/>
      </c>
      <c r="U754" s="28" t="str">
        <f t="shared" si="5"/>
        <v/>
      </c>
      <c r="V754" s="39" t="str">
        <f>IFERROR(__xludf.DUMMYFUNCTION(" IF(Account!$F754&lt;&gt;"""", SPLIT(Account!$F754, "" ""), """")"),"")</f>
        <v/>
      </c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</row>
    <row r="755">
      <c r="A755" s="341"/>
      <c r="B755" s="341"/>
      <c r="C755" s="341"/>
      <c r="D755" s="341"/>
      <c r="E755" s="341"/>
      <c r="F755" s="373"/>
      <c r="G755" s="341"/>
      <c r="H755" s="341"/>
      <c r="I755" s="341"/>
      <c r="J755" s="341"/>
      <c r="K755" s="341"/>
      <c r="L755" s="26" t="str">
        <f t="shared" si="1"/>
        <v/>
      </c>
      <c r="M755" s="28" t="str">
        <f>IFERROR(__xludf.DUMMYFUNCTION("IF(Account!$F755&lt;&gt;"""", VALUE(REGEXREPLACE($I755, ""\,"", ""."")), """")"),"")</f>
        <v/>
      </c>
      <c r="N755" s="31" t="str">
        <f>IF(Account!$F755&lt;&gt;"", DATEVALUE(MID($A755,4,3) &amp; LEFT($A755,3) &amp; RIGHT($A755,4)) + TIMEVALUE($B755), "")</f>
        <v/>
      </c>
      <c r="O755" s="33" t="str">
        <f>IF(Account!$F755&lt;&gt;"", DATEVALUE(MID($A755,4,3) &amp; LEFT($A755,3) &amp; RIGHT($A755,4)), "")</f>
        <v/>
      </c>
      <c r="P755" s="34" t="str">
        <f>IFERROR(VLOOKUP($Q755,Selection!$F:$G,2,false))</f>
        <v/>
      </c>
      <c r="Q755" s="36" t="str">
        <f>IF(AND($X755="change",$H755="EUR"),IF(AND($Z755="Crédit",$N755=$N756),$Q756,IF(AND($Z755="Débit",$N755=$N754),$Q754)),IF(OR(AND(OR($E755&lt;&gt;"",$L755=""),$M755&lt;&gt;0),$A755=""),IFERROR(VLOOKUP($E755,Selection!$E:$F,2,false)),IFERROR(VLOOKUP(SUBSTITUTE($I755,"-","",1),$K756:$Q1119,7,false),VLOOKUP($K755,$K756:$Q1119,7,false))))</f>
        <v/>
      </c>
      <c r="R755" s="34" t="str">
        <f t="shared" si="2"/>
        <v/>
      </c>
      <c r="S755" s="37" t="str">
        <f t="shared" si="3"/>
        <v/>
      </c>
      <c r="T755" s="38" t="str">
        <f t="shared" si="4"/>
        <v/>
      </c>
      <c r="U755" s="28" t="str">
        <f t="shared" si="5"/>
        <v/>
      </c>
      <c r="V755" s="39" t="str">
        <f>IFERROR(__xludf.DUMMYFUNCTION(" IF(Account!$F755&lt;&gt;"""", SPLIT(Account!$F755, "" ""), """")"),"")</f>
        <v/>
      </c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</row>
    <row r="756">
      <c r="A756" s="341"/>
      <c r="B756" s="341"/>
      <c r="C756" s="341"/>
      <c r="D756" s="341"/>
      <c r="E756" s="341"/>
      <c r="F756" s="373"/>
      <c r="G756" s="341"/>
      <c r="H756" s="341"/>
      <c r="I756" s="341"/>
      <c r="J756" s="341"/>
      <c r="K756" s="341"/>
      <c r="L756" s="26" t="str">
        <f t="shared" si="1"/>
        <v/>
      </c>
      <c r="M756" s="28" t="str">
        <f>IFERROR(__xludf.DUMMYFUNCTION("IF(Account!$F756&lt;&gt;"""", VALUE(REGEXREPLACE($I756, ""\,"", ""."")), """")"),"")</f>
        <v/>
      </c>
      <c r="N756" s="31" t="str">
        <f>IF(Account!$F756&lt;&gt;"", DATEVALUE(MID($A756,4,3) &amp; LEFT($A756,3) &amp; RIGHT($A756,4)) + TIMEVALUE($B756), "")</f>
        <v/>
      </c>
      <c r="O756" s="33" t="str">
        <f>IF(Account!$F756&lt;&gt;"", DATEVALUE(MID($A756,4,3) &amp; LEFT($A756,3) &amp; RIGHT($A756,4)), "")</f>
        <v/>
      </c>
      <c r="P756" s="34" t="str">
        <f>IFERROR(VLOOKUP($Q756,Selection!$F:$G,2,false))</f>
        <v/>
      </c>
      <c r="Q756" s="36" t="str">
        <f>IF(AND($X756="change",$H756="EUR"),IF(AND($Z756="Crédit",$N756=$N757),$Q757,IF(AND($Z756="Débit",$N756=$N755),$Q755)),IF(OR(AND(OR($E756&lt;&gt;"",$L756=""),$M756&lt;&gt;0),$A756=""),IFERROR(VLOOKUP($E756,Selection!$E:$F,2,false)),IFERROR(VLOOKUP(SUBSTITUTE($I756,"-","",1),$K757:$Q1119,7,false),VLOOKUP($K756,$K757:$Q1119,7,false))))</f>
        <v/>
      </c>
      <c r="R756" s="34" t="str">
        <f t="shared" si="2"/>
        <v/>
      </c>
      <c r="S756" s="37" t="str">
        <f t="shared" si="3"/>
        <v/>
      </c>
      <c r="T756" s="38" t="str">
        <f t="shared" si="4"/>
        <v/>
      </c>
      <c r="U756" s="28" t="str">
        <f t="shared" si="5"/>
        <v/>
      </c>
      <c r="V756" s="39" t="str">
        <f>IFERROR(__xludf.DUMMYFUNCTION(" IF(Account!$F756&lt;&gt;"""", SPLIT(Account!$F756, "" ""), """")"),"")</f>
        <v/>
      </c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</row>
    <row r="757">
      <c r="A757" s="341"/>
      <c r="B757" s="341"/>
      <c r="C757" s="341"/>
      <c r="D757" s="341"/>
      <c r="E757" s="341"/>
      <c r="F757" s="373"/>
      <c r="G757" s="341"/>
      <c r="H757" s="341"/>
      <c r="I757" s="341"/>
      <c r="J757" s="341"/>
      <c r="K757" s="341"/>
      <c r="L757" s="26" t="str">
        <f t="shared" si="1"/>
        <v/>
      </c>
      <c r="M757" s="28" t="str">
        <f>IFERROR(__xludf.DUMMYFUNCTION("IF(Account!$F757&lt;&gt;"""", VALUE(REGEXREPLACE($I757, ""\,"", ""."")), """")"),"")</f>
        <v/>
      </c>
      <c r="N757" s="31" t="str">
        <f>IF(Account!$F757&lt;&gt;"", DATEVALUE(MID($A757,4,3) &amp; LEFT($A757,3) &amp; RIGHT($A757,4)) + TIMEVALUE($B757), "")</f>
        <v/>
      </c>
      <c r="O757" s="33" t="str">
        <f>IF(Account!$F757&lt;&gt;"", DATEVALUE(MID($A757,4,3) &amp; LEFT($A757,3) &amp; RIGHT($A757,4)), "")</f>
        <v/>
      </c>
      <c r="P757" s="34" t="str">
        <f>IFERROR(VLOOKUP($Q757,Selection!$F:$G,2,false))</f>
        <v/>
      </c>
      <c r="Q757" s="36" t="str">
        <f>IF(AND($X757="change",$H757="EUR"),IF(AND($Z757="Crédit",$N757=$N758),$Q758,IF(AND($Z757="Débit",$N757=$N756),$Q756)),IF(OR(AND(OR($E757&lt;&gt;"",$L757=""),$M757&lt;&gt;0),$A757=""),IFERROR(VLOOKUP($E757,Selection!$E:$F,2,false)),IFERROR(VLOOKUP(SUBSTITUTE($I757,"-","",1),$K758:$Q1119,7,false),VLOOKUP($K757,$K758:$Q1119,7,false))))</f>
        <v/>
      </c>
      <c r="R757" s="34" t="str">
        <f t="shared" si="2"/>
        <v/>
      </c>
      <c r="S757" s="37" t="str">
        <f t="shared" si="3"/>
        <v/>
      </c>
      <c r="T757" s="38" t="str">
        <f t="shared" si="4"/>
        <v/>
      </c>
      <c r="U757" s="28" t="str">
        <f t="shared" si="5"/>
        <v/>
      </c>
      <c r="V757" s="39" t="str">
        <f>IFERROR(__xludf.DUMMYFUNCTION(" IF(Account!$F757&lt;&gt;"""", SPLIT(Account!$F757, "" ""), """")"),"")</f>
        <v/>
      </c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</row>
    <row r="758">
      <c r="A758" s="341"/>
      <c r="B758" s="341"/>
      <c r="C758" s="341"/>
      <c r="D758" s="341"/>
      <c r="E758" s="341"/>
      <c r="F758" s="373"/>
      <c r="G758" s="341"/>
      <c r="H758" s="341"/>
      <c r="I758" s="341"/>
      <c r="J758" s="341"/>
      <c r="K758" s="341"/>
      <c r="L758" s="26" t="str">
        <f t="shared" si="1"/>
        <v/>
      </c>
      <c r="M758" s="28" t="str">
        <f>IFERROR(__xludf.DUMMYFUNCTION("IF(Account!$F758&lt;&gt;"""", VALUE(REGEXREPLACE($I758, ""\,"", ""."")), """")"),"")</f>
        <v/>
      </c>
      <c r="N758" s="31" t="str">
        <f>IF(Account!$F758&lt;&gt;"", DATEVALUE(MID($A758,4,3) &amp; LEFT($A758,3) &amp; RIGHT($A758,4)) + TIMEVALUE($B758), "")</f>
        <v/>
      </c>
      <c r="O758" s="33" t="str">
        <f>IF(Account!$F758&lt;&gt;"", DATEVALUE(MID($A758,4,3) &amp; LEFT($A758,3) &amp; RIGHT($A758,4)), "")</f>
        <v/>
      </c>
      <c r="P758" s="34" t="str">
        <f>IFERROR(VLOOKUP($Q758,Selection!$F:$G,2,false))</f>
        <v/>
      </c>
      <c r="Q758" s="36" t="str">
        <f>IF(AND($X758="change",$H758="EUR"),IF(AND($Z758="Crédit",$N758=$N759),$Q759,IF(AND($Z758="Débit",$N758=$N757),$Q757)),IF(OR(AND(OR($E758&lt;&gt;"",$L758=""),$M758&lt;&gt;0),$A758=""),IFERROR(VLOOKUP($E758,Selection!$E:$F,2,false)),IFERROR(VLOOKUP(SUBSTITUTE($I758,"-","",1),$K759:$Q1119,7,false),VLOOKUP($K758,$K759:$Q1119,7,false))))</f>
        <v/>
      </c>
      <c r="R758" s="34" t="str">
        <f t="shared" si="2"/>
        <v/>
      </c>
      <c r="S758" s="37" t="str">
        <f t="shared" si="3"/>
        <v/>
      </c>
      <c r="T758" s="38" t="str">
        <f t="shared" si="4"/>
        <v/>
      </c>
      <c r="U758" s="28" t="str">
        <f t="shared" si="5"/>
        <v/>
      </c>
      <c r="V758" s="39" t="str">
        <f>IFERROR(__xludf.DUMMYFUNCTION(" IF(Account!$F758&lt;&gt;"""", SPLIT(Account!$F758, "" ""), """")"),"")</f>
        <v/>
      </c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</row>
    <row r="759">
      <c r="A759" s="341"/>
      <c r="B759" s="341"/>
      <c r="C759" s="341"/>
      <c r="D759" s="341"/>
      <c r="E759" s="341"/>
      <c r="F759" s="373"/>
      <c r="G759" s="341"/>
      <c r="H759" s="341"/>
      <c r="I759" s="341"/>
      <c r="J759" s="341"/>
      <c r="K759" s="341"/>
      <c r="L759" s="26" t="str">
        <f t="shared" si="1"/>
        <v/>
      </c>
      <c r="M759" s="28" t="str">
        <f>IFERROR(__xludf.DUMMYFUNCTION("IF(Account!$F759&lt;&gt;"""", VALUE(REGEXREPLACE($I759, ""\,"", ""."")), """")"),"")</f>
        <v/>
      </c>
      <c r="N759" s="31" t="str">
        <f>IF(Account!$F759&lt;&gt;"", DATEVALUE(MID($A759,4,3) &amp; LEFT($A759,3) &amp; RIGHT($A759,4)) + TIMEVALUE($B759), "")</f>
        <v/>
      </c>
      <c r="O759" s="33" t="str">
        <f>IF(Account!$F759&lt;&gt;"", DATEVALUE(MID($A759,4,3) &amp; LEFT($A759,3) &amp; RIGHT($A759,4)), "")</f>
        <v/>
      </c>
      <c r="P759" s="34" t="str">
        <f>IFERROR(VLOOKUP($Q759,Selection!$F:$G,2,false))</f>
        <v/>
      </c>
      <c r="Q759" s="36" t="str">
        <f>IF(AND($X759="change",$H759="EUR"),IF(AND($Z759="Crédit",$N759=$N760),$Q760,IF(AND($Z759="Débit",$N759=$N758),$Q758)),IF(OR(AND(OR($E759&lt;&gt;"",$L759=""),$M759&lt;&gt;0),$A759=""),IFERROR(VLOOKUP($E759,Selection!$E:$F,2,false)),IFERROR(VLOOKUP(SUBSTITUTE($I759,"-","",1),$K760:$Q1119,7,false),VLOOKUP($K759,$K760:$Q1119,7,false))))</f>
        <v/>
      </c>
      <c r="R759" s="34" t="str">
        <f t="shared" si="2"/>
        <v/>
      </c>
      <c r="S759" s="37" t="str">
        <f t="shared" si="3"/>
        <v/>
      </c>
      <c r="T759" s="38" t="str">
        <f t="shared" si="4"/>
        <v/>
      </c>
      <c r="U759" s="28" t="str">
        <f t="shared" si="5"/>
        <v/>
      </c>
      <c r="V759" s="39" t="str">
        <f>IFERROR(__xludf.DUMMYFUNCTION(" IF(Account!$F759&lt;&gt;"""", SPLIT(Account!$F759, "" ""), """")"),"")</f>
        <v/>
      </c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</row>
    <row r="760">
      <c r="A760" s="341"/>
      <c r="B760" s="341"/>
      <c r="C760" s="341"/>
      <c r="D760" s="341"/>
      <c r="E760" s="341"/>
      <c r="F760" s="373"/>
      <c r="G760" s="341"/>
      <c r="H760" s="341"/>
      <c r="I760" s="341"/>
      <c r="J760" s="341"/>
      <c r="K760" s="341"/>
      <c r="L760" s="26" t="str">
        <f t="shared" si="1"/>
        <v/>
      </c>
      <c r="M760" s="28" t="str">
        <f>IFERROR(__xludf.DUMMYFUNCTION("IF(Account!$F760&lt;&gt;"""", VALUE(REGEXREPLACE($I760, ""\,"", ""."")), """")"),"")</f>
        <v/>
      </c>
      <c r="N760" s="31" t="str">
        <f>IF(Account!$F760&lt;&gt;"", DATEVALUE(MID($A760,4,3) &amp; LEFT($A760,3) &amp; RIGHT($A760,4)) + TIMEVALUE($B760), "")</f>
        <v/>
      </c>
      <c r="O760" s="33" t="str">
        <f>IF(Account!$F760&lt;&gt;"", DATEVALUE(MID($A760,4,3) &amp; LEFT($A760,3) &amp; RIGHT($A760,4)), "")</f>
        <v/>
      </c>
      <c r="P760" s="34" t="str">
        <f>IFERROR(VLOOKUP($Q760,Selection!$F:$G,2,false))</f>
        <v/>
      </c>
      <c r="Q760" s="36" t="str">
        <f>IF(AND($X760="change",$H760="EUR"),IF(AND($Z760="Crédit",$N760=$N761),$Q761,IF(AND($Z760="Débit",$N760=$N759),$Q759)),IF(OR(AND(OR($E760&lt;&gt;"",$L760=""),$M760&lt;&gt;0),$A760=""),IFERROR(VLOOKUP($E760,Selection!$E:$F,2,false)),IFERROR(VLOOKUP(SUBSTITUTE($I760,"-","",1),$K761:$Q1119,7,false),VLOOKUP($K760,$K761:$Q1119,7,false))))</f>
        <v/>
      </c>
      <c r="R760" s="34" t="str">
        <f t="shared" si="2"/>
        <v/>
      </c>
      <c r="S760" s="37" t="str">
        <f t="shared" si="3"/>
        <v/>
      </c>
      <c r="T760" s="38" t="str">
        <f t="shared" si="4"/>
        <v/>
      </c>
      <c r="U760" s="28" t="str">
        <f t="shared" si="5"/>
        <v/>
      </c>
      <c r="V760" s="39" t="str">
        <f>IFERROR(__xludf.DUMMYFUNCTION(" IF(Account!$F760&lt;&gt;"""", SPLIT(Account!$F760, "" ""), """")"),"")</f>
        <v/>
      </c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</row>
    <row r="761">
      <c r="A761" s="341"/>
      <c r="B761" s="341"/>
      <c r="C761" s="341"/>
      <c r="D761" s="341"/>
      <c r="E761" s="341"/>
      <c r="F761" s="373"/>
      <c r="G761" s="341"/>
      <c r="H761" s="341"/>
      <c r="I761" s="341"/>
      <c r="J761" s="341"/>
      <c r="K761" s="341"/>
      <c r="L761" s="26" t="str">
        <f t="shared" si="1"/>
        <v/>
      </c>
      <c r="M761" s="28" t="str">
        <f>IFERROR(__xludf.DUMMYFUNCTION("IF(Account!$F761&lt;&gt;"""", VALUE(REGEXREPLACE($I761, ""\,"", ""."")), """")"),"")</f>
        <v/>
      </c>
      <c r="N761" s="31" t="str">
        <f>IF(Account!$F761&lt;&gt;"", DATEVALUE(MID($A761,4,3) &amp; LEFT($A761,3) &amp; RIGHT($A761,4)) + TIMEVALUE($B761), "")</f>
        <v/>
      </c>
      <c r="O761" s="33" t="str">
        <f>IF(Account!$F761&lt;&gt;"", DATEVALUE(MID($A761,4,3) &amp; LEFT($A761,3) &amp; RIGHT($A761,4)), "")</f>
        <v/>
      </c>
      <c r="P761" s="34" t="str">
        <f>IFERROR(VLOOKUP($Q761,Selection!$F:$G,2,false))</f>
        <v/>
      </c>
      <c r="Q761" s="36" t="str">
        <f>IF(AND($X761="change",$H761="EUR"),IF(AND($Z761="Crédit",$N761=$N762),$Q762,IF(AND($Z761="Débit",$N761=$N760),$Q760)),IF(OR(AND(OR($E761&lt;&gt;"",$L761=""),$M761&lt;&gt;0),$A761=""),IFERROR(VLOOKUP($E761,Selection!$E:$F,2,false)),IFERROR(VLOOKUP(SUBSTITUTE($I761,"-","",1),$K762:$Q1119,7,false),VLOOKUP($K761,$K762:$Q1119,7,false))))</f>
        <v/>
      </c>
      <c r="R761" s="34" t="str">
        <f t="shared" si="2"/>
        <v/>
      </c>
      <c r="S761" s="37" t="str">
        <f t="shared" si="3"/>
        <v/>
      </c>
      <c r="T761" s="38" t="str">
        <f t="shared" si="4"/>
        <v/>
      </c>
      <c r="U761" s="28" t="str">
        <f t="shared" si="5"/>
        <v/>
      </c>
      <c r="V761" s="39" t="str">
        <f>IFERROR(__xludf.DUMMYFUNCTION(" IF(Account!$F761&lt;&gt;"""", SPLIT(Account!$F761, "" ""), """")"),"")</f>
        <v/>
      </c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</row>
    <row r="762">
      <c r="A762" s="341"/>
      <c r="B762" s="341"/>
      <c r="C762" s="341"/>
      <c r="D762" s="341"/>
      <c r="E762" s="341"/>
      <c r="F762" s="373"/>
      <c r="G762" s="341"/>
      <c r="H762" s="341"/>
      <c r="I762" s="341"/>
      <c r="J762" s="341"/>
      <c r="K762" s="341"/>
      <c r="L762" s="26" t="str">
        <f t="shared" si="1"/>
        <v/>
      </c>
      <c r="M762" s="28" t="str">
        <f>IFERROR(__xludf.DUMMYFUNCTION("IF(Account!$F762&lt;&gt;"""", VALUE(REGEXREPLACE($I762, ""\,"", ""."")), """")"),"")</f>
        <v/>
      </c>
      <c r="N762" s="31" t="str">
        <f>IF(Account!$F762&lt;&gt;"", DATEVALUE(MID($A762,4,3) &amp; LEFT($A762,3) &amp; RIGHT($A762,4)) + TIMEVALUE($B762), "")</f>
        <v/>
      </c>
      <c r="O762" s="33" t="str">
        <f>IF(Account!$F762&lt;&gt;"", DATEVALUE(MID($A762,4,3) &amp; LEFT($A762,3) &amp; RIGHT($A762,4)), "")</f>
        <v/>
      </c>
      <c r="P762" s="34" t="str">
        <f>IFERROR(VLOOKUP($Q762,Selection!$F:$G,2,false))</f>
        <v/>
      </c>
      <c r="Q762" s="36" t="str">
        <f>IF(AND($X762="change",$H762="EUR"),IF(AND($Z762="Crédit",$N762=$N763),$Q763,IF(AND($Z762="Débit",$N762=$N761),$Q761)),IF(OR(AND(OR($E762&lt;&gt;"",$L762=""),$M762&lt;&gt;0),$A762=""),IFERROR(VLOOKUP($E762,Selection!$E:$F,2,false)),IFERROR(VLOOKUP(SUBSTITUTE($I762,"-","",1),$K763:$Q1119,7,false),VLOOKUP($K762,$K763:$Q1119,7,false))))</f>
        <v/>
      </c>
      <c r="R762" s="34" t="str">
        <f t="shared" si="2"/>
        <v/>
      </c>
      <c r="S762" s="37" t="str">
        <f t="shared" si="3"/>
        <v/>
      </c>
      <c r="T762" s="38" t="str">
        <f t="shared" si="4"/>
        <v/>
      </c>
      <c r="U762" s="28" t="str">
        <f t="shared" si="5"/>
        <v/>
      </c>
      <c r="V762" s="39" t="str">
        <f>IFERROR(__xludf.DUMMYFUNCTION(" IF(Account!$F762&lt;&gt;"""", SPLIT(Account!$F762, "" ""), """")"),"")</f>
        <v/>
      </c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</row>
    <row r="763">
      <c r="A763" s="341"/>
      <c r="B763" s="341"/>
      <c r="C763" s="341"/>
      <c r="D763" s="341"/>
      <c r="E763" s="341"/>
      <c r="F763" s="373"/>
      <c r="G763" s="341"/>
      <c r="H763" s="341"/>
      <c r="I763" s="341"/>
      <c r="J763" s="341"/>
      <c r="K763" s="341"/>
      <c r="L763" s="26" t="str">
        <f t="shared" si="1"/>
        <v/>
      </c>
      <c r="M763" s="28" t="str">
        <f>IFERROR(__xludf.DUMMYFUNCTION("IF(Account!$F763&lt;&gt;"""", VALUE(REGEXREPLACE($I763, ""\,"", ""."")), """")"),"")</f>
        <v/>
      </c>
      <c r="N763" s="31" t="str">
        <f>IF(Account!$F763&lt;&gt;"", DATEVALUE(MID($A763,4,3) &amp; LEFT($A763,3) &amp; RIGHT($A763,4)) + TIMEVALUE($B763), "")</f>
        <v/>
      </c>
      <c r="O763" s="33" t="str">
        <f>IF(Account!$F763&lt;&gt;"", DATEVALUE(MID($A763,4,3) &amp; LEFT($A763,3) &amp; RIGHT($A763,4)), "")</f>
        <v/>
      </c>
      <c r="P763" s="34" t="str">
        <f>IFERROR(VLOOKUP($Q763,Selection!$F:$G,2,false))</f>
        <v/>
      </c>
      <c r="Q763" s="36" t="str">
        <f>IF(AND($X763="change",$H763="EUR"),IF(AND($Z763="Crédit",$N763=$N764),$Q764,IF(AND($Z763="Débit",$N763=$N762),$Q762)),IF(OR(AND(OR($E763&lt;&gt;"",$L763=""),$M763&lt;&gt;0),$A763=""),IFERROR(VLOOKUP($E763,Selection!$E:$F,2,false)),IFERROR(VLOOKUP(SUBSTITUTE($I763,"-","",1),$K764:$Q1119,7,false),VLOOKUP($K763,$K764:$Q1119,7,false))))</f>
        <v/>
      </c>
      <c r="R763" s="34" t="str">
        <f t="shared" si="2"/>
        <v/>
      </c>
      <c r="S763" s="37" t="str">
        <f t="shared" si="3"/>
        <v/>
      </c>
      <c r="T763" s="38" t="str">
        <f t="shared" si="4"/>
        <v/>
      </c>
      <c r="U763" s="28" t="str">
        <f t="shared" si="5"/>
        <v/>
      </c>
      <c r="V763" s="39" t="str">
        <f>IFERROR(__xludf.DUMMYFUNCTION(" IF(Account!$F763&lt;&gt;"""", SPLIT(Account!$F763, "" ""), """")"),"")</f>
        <v/>
      </c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</row>
    <row r="764">
      <c r="A764" s="341"/>
      <c r="B764" s="341"/>
      <c r="C764" s="341"/>
      <c r="D764" s="341"/>
      <c r="E764" s="341"/>
      <c r="F764" s="373"/>
      <c r="G764" s="341"/>
      <c r="H764" s="341"/>
      <c r="I764" s="341"/>
      <c r="J764" s="341"/>
      <c r="K764" s="341"/>
      <c r="L764" s="26" t="str">
        <f t="shared" si="1"/>
        <v/>
      </c>
      <c r="M764" s="28" t="str">
        <f>IFERROR(__xludf.DUMMYFUNCTION("IF(Account!$F764&lt;&gt;"""", VALUE(REGEXREPLACE($I764, ""\,"", ""."")), """")"),"")</f>
        <v/>
      </c>
      <c r="N764" s="31" t="str">
        <f>IF(Account!$F764&lt;&gt;"", DATEVALUE(MID($A764,4,3) &amp; LEFT($A764,3) &amp; RIGHT($A764,4)) + TIMEVALUE($B764), "")</f>
        <v/>
      </c>
      <c r="O764" s="33" t="str">
        <f>IF(Account!$F764&lt;&gt;"", DATEVALUE(MID($A764,4,3) &amp; LEFT($A764,3) &amp; RIGHT($A764,4)), "")</f>
        <v/>
      </c>
      <c r="P764" s="34" t="str">
        <f>IFERROR(VLOOKUP($Q764,Selection!$F:$G,2,false))</f>
        <v/>
      </c>
      <c r="Q764" s="36" t="str">
        <f>IF(AND($X764="change",$H764="EUR"),IF(AND($Z764="Crédit",$N764=$N765),$Q765,IF(AND($Z764="Débit",$N764=$N763),$Q763)),IF(OR(AND(OR($E764&lt;&gt;"",$L764=""),$M764&lt;&gt;0),$A764=""),IFERROR(VLOOKUP($E764,Selection!$E:$F,2,false)),IFERROR(VLOOKUP(SUBSTITUTE($I764,"-","",1),$K765:$Q1119,7,false),VLOOKUP($K764,$K765:$Q1119,7,false))))</f>
        <v/>
      </c>
      <c r="R764" s="34" t="str">
        <f t="shared" si="2"/>
        <v/>
      </c>
      <c r="S764" s="37" t="str">
        <f t="shared" si="3"/>
        <v/>
      </c>
      <c r="T764" s="38" t="str">
        <f t="shared" si="4"/>
        <v/>
      </c>
      <c r="U764" s="28" t="str">
        <f t="shared" si="5"/>
        <v/>
      </c>
      <c r="V764" s="39" t="str">
        <f>IFERROR(__xludf.DUMMYFUNCTION(" IF(Account!$F764&lt;&gt;"""", SPLIT(Account!$F764, "" ""), """")"),"")</f>
        <v/>
      </c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</row>
    <row r="765">
      <c r="A765" s="341"/>
      <c r="B765" s="341"/>
      <c r="C765" s="341"/>
      <c r="D765" s="341"/>
      <c r="E765" s="341"/>
      <c r="F765" s="373"/>
      <c r="G765" s="341"/>
      <c r="H765" s="341"/>
      <c r="I765" s="341"/>
      <c r="J765" s="341"/>
      <c r="K765" s="341"/>
      <c r="L765" s="26" t="str">
        <f t="shared" si="1"/>
        <v/>
      </c>
      <c r="M765" s="28" t="str">
        <f>IFERROR(__xludf.DUMMYFUNCTION("IF(Account!$F765&lt;&gt;"""", VALUE(REGEXREPLACE($I765, ""\,"", ""."")), """")"),"")</f>
        <v/>
      </c>
      <c r="N765" s="31" t="str">
        <f>IF(Account!$F765&lt;&gt;"", DATEVALUE(MID($A765,4,3) &amp; LEFT($A765,3) &amp; RIGHT($A765,4)) + TIMEVALUE($B765), "")</f>
        <v/>
      </c>
      <c r="O765" s="33" t="str">
        <f>IF(Account!$F765&lt;&gt;"", DATEVALUE(MID($A765,4,3) &amp; LEFT($A765,3) &amp; RIGHT($A765,4)), "")</f>
        <v/>
      </c>
      <c r="P765" s="34" t="str">
        <f>IFERROR(VLOOKUP($Q765,Selection!$F:$G,2,false))</f>
        <v/>
      </c>
      <c r="Q765" s="36" t="str">
        <f>IF(AND($X765="change",$H765="EUR"),IF(AND($Z765="Crédit",$N765=$N766),$Q766,IF(AND($Z765="Débit",$N765=$N764),$Q764)),IF(OR(AND(OR($E765&lt;&gt;"",$L765=""),$M765&lt;&gt;0),$A765=""),IFERROR(VLOOKUP($E765,Selection!$E:$F,2,false)),IFERROR(VLOOKUP(SUBSTITUTE($I765,"-","",1),$K766:$Q1119,7,false),VLOOKUP($K765,$K766:$Q1119,7,false))))</f>
        <v/>
      </c>
      <c r="R765" s="34" t="str">
        <f t="shared" si="2"/>
        <v/>
      </c>
      <c r="S765" s="37" t="str">
        <f t="shared" si="3"/>
        <v/>
      </c>
      <c r="T765" s="38" t="str">
        <f t="shared" si="4"/>
        <v/>
      </c>
      <c r="U765" s="28" t="str">
        <f t="shared" si="5"/>
        <v/>
      </c>
      <c r="V765" s="39" t="str">
        <f>IFERROR(__xludf.DUMMYFUNCTION(" IF(Account!$F765&lt;&gt;"""", SPLIT(Account!$F765, "" ""), """")"),"")</f>
        <v/>
      </c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</row>
    <row r="766">
      <c r="A766" s="341"/>
      <c r="B766" s="341"/>
      <c r="C766" s="341"/>
      <c r="D766" s="341"/>
      <c r="E766" s="341"/>
      <c r="F766" s="373"/>
      <c r="G766" s="341"/>
      <c r="H766" s="341"/>
      <c r="I766" s="341"/>
      <c r="J766" s="341"/>
      <c r="K766" s="341"/>
      <c r="L766" s="26" t="str">
        <f t="shared" si="1"/>
        <v/>
      </c>
      <c r="M766" s="28" t="str">
        <f>IFERROR(__xludf.DUMMYFUNCTION("IF(Account!$F766&lt;&gt;"""", VALUE(REGEXREPLACE($I766, ""\,"", ""."")), """")"),"")</f>
        <v/>
      </c>
      <c r="N766" s="31" t="str">
        <f>IF(Account!$F766&lt;&gt;"", DATEVALUE(MID($A766,4,3) &amp; LEFT($A766,3) &amp; RIGHT($A766,4)) + TIMEVALUE($B766), "")</f>
        <v/>
      </c>
      <c r="O766" s="33" t="str">
        <f>IF(Account!$F766&lt;&gt;"", DATEVALUE(MID($A766,4,3) &amp; LEFT($A766,3) &amp; RIGHT($A766,4)), "")</f>
        <v/>
      </c>
      <c r="P766" s="34" t="str">
        <f>IFERROR(VLOOKUP($Q766,Selection!$F:$G,2,false))</f>
        <v/>
      </c>
      <c r="Q766" s="36" t="str">
        <f>IF(AND($X766="change",$H766="EUR"),IF(AND($Z766="Crédit",$N766=$N767),$Q767,IF(AND($Z766="Débit",$N766=$N765),$Q765)),IF(OR(AND(OR($E766&lt;&gt;"",$L766=""),$M766&lt;&gt;0),$A766=""),IFERROR(VLOOKUP($E766,Selection!$E:$F,2,false)),IFERROR(VLOOKUP(SUBSTITUTE($I766,"-","",1),$K767:$Q1119,7,false),VLOOKUP($K766,$K767:$Q1119,7,false))))</f>
        <v/>
      </c>
      <c r="R766" s="34" t="str">
        <f t="shared" si="2"/>
        <v/>
      </c>
      <c r="S766" s="37" t="str">
        <f t="shared" si="3"/>
        <v/>
      </c>
      <c r="T766" s="38" t="str">
        <f t="shared" si="4"/>
        <v/>
      </c>
      <c r="U766" s="28" t="str">
        <f t="shared" si="5"/>
        <v/>
      </c>
      <c r="V766" s="39" t="str">
        <f>IFERROR(__xludf.DUMMYFUNCTION(" IF(Account!$F766&lt;&gt;"""", SPLIT(Account!$F766, "" ""), """")"),"")</f>
        <v/>
      </c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</row>
    <row r="767">
      <c r="A767" s="341"/>
      <c r="B767" s="341"/>
      <c r="C767" s="341"/>
      <c r="D767" s="341"/>
      <c r="E767" s="341"/>
      <c r="F767" s="373"/>
      <c r="G767" s="341"/>
      <c r="H767" s="341"/>
      <c r="I767" s="341"/>
      <c r="J767" s="341"/>
      <c r="K767" s="341"/>
      <c r="L767" s="26" t="str">
        <f t="shared" si="1"/>
        <v/>
      </c>
      <c r="M767" s="28" t="str">
        <f>IFERROR(__xludf.DUMMYFUNCTION("IF(Account!$F767&lt;&gt;"""", VALUE(REGEXREPLACE($I767, ""\,"", ""."")), """")"),"")</f>
        <v/>
      </c>
      <c r="N767" s="31" t="str">
        <f>IF(Account!$F767&lt;&gt;"", DATEVALUE(MID($A767,4,3) &amp; LEFT($A767,3) &amp; RIGHT($A767,4)) + TIMEVALUE($B767), "")</f>
        <v/>
      </c>
      <c r="O767" s="33" t="str">
        <f>IF(Account!$F767&lt;&gt;"", DATEVALUE(MID($A767,4,3) &amp; LEFT($A767,3) &amp; RIGHT($A767,4)), "")</f>
        <v/>
      </c>
      <c r="P767" s="34" t="str">
        <f>IFERROR(VLOOKUP($Q767,Selection!$F:$G,2,false))</f>
        <v/>
      </c>
      <c r="Q767" s="36" t="str">
        <f>IF(AND($X767="change",$H767="EUR"),IF(AND($Z767="Crédit",$N767=$N768),$Q768,IF(AND($Z767="Débit",$N767=$N766),$Q766)),IF(OR(AND(OR($E767&lt;&gt;"",$L767=""),$M767&lt;&gt;0),$A767=""),IFERROR(VLOOKUP($E767,Selection!$E:$F,2,false)),IFERROR(VLOOKUP(SUBSTITUTE($I767,"-","",1),$K768:$Q1119,7,false),VLOOKUP($K767,$K768:$Q1119,7,false))))</f>
        <v/>
      </c>
      <c r="R767" s="34" t="str">
        <f t="shared" si="2"/>
        <v/>
      </c>
      <c r="S767" s="37" t="str">
        <f t="shared" si="3"/>
        <v/>
      </c>
      <c r="T767" s="38" t="str">
        <f t="shared" si="4"/>
        <v/>
      </c>
      <c r="U767" s="28" t="str">
        <f t="shared" si="5"/>
        <v/>
      </c>
      <c r="V767" s="39" t="str">
        <f>IFERROR(__xludf.DUMMYFUNCTION(" IF(Account!$F767&lt;&gt;"""", SPLIT(Account!$F767, "" ""), """")"),"")</f>
        <v/>
      </c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</row>
    <row r="768">
      <c r="A768" s="341"/>
      <c r="B768" s="341"/>
      <c r="C768" s="341"/>
      <c r="D768" s="341"/>
      <c r="E768" s="341"/>
      <c r="F768" s="373"/>
      <c r="G768" s="341"/>
      <c r="H768" s="341"/>
      <c r="I768" s="341"/>
      <c r="J768" s="341"/>
      <c r="K768" s="341"/>
      <c r="L768" s="26" t="str">
        <f t="shared" si="1"/>
        <v/>
      </c>
      <c r="M768" s="28" t="str">
        <f>IFERROR(__xludf.DUMMYFUNCTION("IF(Account!$F768&lt;&gt;"""", VALUE(REGEXREPLACE($I768, ""\,"", ""."")), """")"),"")</f>
        <v/>
      </c>
      <c r="N768" s="31" t="str">
        <f>IF(Account!$F768&lt;&gt;"", DATEVALUE(MID($A768,4,3) &amp; LEFT($A768,3) &amp; RIGHT($A768,4)) + TIMEVALUE($B768), "")</f>
        <v/>
      </c>
      <c r="O768" s="33" t="str">
        <f>IF(Account!$F768&lt;&gt;"", DATEVALUE(MID($A768,4,3) &amp; LEFT($A768,3) &amp; RIGHT($A768,4)), "")</f>
        <v/>
      </c>
      <c r="P768" s="34" t="str">
        <f>IFERROR(VLOOKUP($Q768,Selection!$F:$G,2,false))</f>
        <v/>
      </c>
      <c r="Q768" s="36" t="str">
        <f>IF(AND($X768="change",$H768="EUR"),IF(AND($Z768="Crédit",$N768=$N769),$Q769,IF(AND($Z768="Débit",$N768=$N767),$Q767)),IF(OR(AND(OR($E768&lt;&gt;"",$L768=""),$M768&lt;&gt;0),$A768=""),IFERROR(VLOOKUP($E768,Selection!$E:$F,2,false)),IFERROR(VLOOKUP(SUBSTITUTE($I768,"-","",1),$K769:$Q1119,7,false),VLOOKUP($K768,$K769:$Q1119,7,false))))</f>
        <v/>
      </c>
      <c r="R768" s="34" t="str">
        <f t="shared" si="2"/>
        <v/>
      </c>
      <c r="S768" s="37" t="str">
        <f t="shared" si="3"/>
        <v/>
      </c>
      <c r="T768" s="38" t="str">
        <f t="shared" si="4"/>
        <v/>
      </c>
      <c r="U768" s="28" t="str">
        <f t="shared" si="5"/>
        <v/>
      </c>
      <c r="V768" s="39" t="str">
        <f>IFERROR(__xludf.DUMMYFUNCTION(" IF(Account!$F768&lt;&gt;"""", SPLIT(Account!$F768, "" ""), """")"),"")</f>
        <v/>
      </c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</row>
    <row r="769">
      <c r="A769" s="341"/>
      <c r="B769" s="341"/>
      <c r="C769" s="341"/>
      <c r="D769" s="341"/>
      <c r="E769" s="341"/>
      <c r="F769" s="373"/>
      <c r="G769" s="341"/>
      <c r="H769" s="341"/>
      <c r="I769" s="341"/>
      <c r="J769" s="341"/>
      <c r="K769" s="341"/>
      <c r="L769" s="26" t="str">
        <f t="shared" si="1"/>
        <v/>
      </c>
      <c r="M769" s="28" t="str">
        <f>IFERROR(__xludf.DUMMYFUNCTION("IF(Account!$F769&lt;&gt;"""", VALUE(REGEXREPLACE($I769, ""\,"", ""."")), """")"),"")</f>
        <v/>
      </c>
      <c r="N769" s="31" t="str">
        <f>IF(Account!$F769&lt;&gt;"", DATEVALUE(MID($A769,4,3) &amp; LEFT($A769,3) &amp; RIGHT($A769,4)) + TIMEVALUE($B769), "")</f>
        <v/>
      </c>
      <c r="O769" s="33" t="str">
        <f>IF(Account!$F769&lt;&gt;"", DATEVALUE(MID($A769,4,3) &amp; LEFT($A769,3) &amp; RIGHT($A769,4)), "")</f>
        <v/>
      </c>
      <c r="P769" s="34" t="str">
        <f>IFERROR(VLOOKUP($Q769,Selection!$F:$G,2,false))</f>
        <v/>
      </c>
      <c r="Q769" s="36" t="str">
        <f>IF(AND($X769="change",$H769="EUR"),IF(AND($Z769="Crédit",$N769=$N770),$Q770,IF(AND($Z769="Débit",$N769=$N768),$Q768)),IF(OR(AND(OR($E769&lt;&gt;"",$L769=""),$M769&lt;&gt;0),$A769=""),IFERROR(VLOOKUP($E769,Selection!$E:$F,2,false)),IFERROR(VLOOKUP(SUBSTITUTE($I769,"-","",1),$K770:$Q1119,7,false),VLOOKUP($K769,$K770:$Q1119,7,false))))</f>
        <v/>
      </c>
      <c r="R769" s="34" t="str">
        <f t="shared" si="2"/>
        <v/>
      </c>
      <c r="S769" s="37" t="str">
        <f t="shared" si="3"/>
        <v/>
      </c>
      <c r="T769" s="38" t="str">
        <f t="shared" si="4"/>
        <v/>
      </c>
      <c r="U769" s="28" t="str">
        <f t="shared" si="5"/>
        <v/>
      </c>
      <c r="V769" s="39" t="str">
        <f>IFERROR(__xludf.DUMMYFUNCTION(" IF(Account!$F769&lt;&gt;"""", SPLIT(Account!$F769, "" ""), """")"),"")</f>
        <v/>
      </c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</row>
    <row r="770">
      <c r="A770" s="341"/>
      <c r="B770" s="341"/>
      <c r="C770" s="341"/>
      <c r="D770" s="341"/>
      <c r="E770" s="341"/>
      <c r="F770" s="373"/>
      <c r="G770" s="341"/>
      <c r="H770" s="341"/>
      <c r="I770" s="341"/>
      <c r="J770" s="341"/>
      <c r="K770" s="341"/>
      <c r="L770" s="26" t="str">
        <f t="shared" si="1"/>
        <v/>
      </c>
      <c r="M770" s="28" t="str">
        <f>IFERROR(__xludf.DUMMYFUNCTION("IF(Account!$F770&lt;&gt;"""", VALUE(REGEXREPLACE($I770, ""\,"", ""."")), """")"),"")</f>
        <v/>
      </c>
      <c r="N770" s="31" t="str">
        <f>IF(Account!$F770&lt;&gt;"", DATEVALUE(MID($A770,4,3) &amp; LEFT($A770,3) &amp; RIGHT($A770,4)) + TIMEVALUE($B770), "")</f>
        <v/>
      </c>
      <c r="O770" s="33" t="str">
        <f>IF(Account!$F770&lt;&gt;"", DATEVALUE(MID($A770,4,3) &amp; LEFT($A770,3) &amp; RIGHT($A770,4)), "")</f>
        <v/>
      </c>
      <c r="P770" s="34" t="str">
        <f>IFERROR(VLOOKUP($Q770,Selection!$F:$G,2,false))</f>
        <v/>
      </c>
      <c r="Q770" s="36" t="str">
        <f>IF(AND($X770="change",$H770="EUR"),IF(AND($Z770="Crédit",$N770=$N771),$Q771,IF(AND($Z770="Débit",$N770=$N769),$Q769)),IF(OR(AND(OR($E770&lt;&gt;"",$L770=""),$M770&lt;&gt;0),$A770=""),IFERROR(VLOOKUP($E770,Selection!$E:$F,2,false)),IFERROR(VLOOKUP(SUBSTITUTE($I770,"-","",1),$K771:$Q1119,7,false),VLOOKUP($K770,$K771:$Q1119,7,false))))</f>
        <v/>
      </c>
      <c r="R770" s="34" t="str">
        <f t="shared" si="2"/>
        <v/>
      </c>
      <c r="S770" s="37" t="str">
        <f t="shared" si="3"/>
        <v/>
      </c>
      <c r="T770" s="38" t="str">
        <f t="shared" si="4"/>
        <v/>
      </c>
      <c r="U770" s="28" t="str">
        <f t="shared" si="5"/>
        <v/>
      </c>
      <c r="V770" s="39" t="str">
        <f>IFERROR(__xludf.DUMMYFUNCTION(" IF(Account!$F770&lt;&gt;"""", SPLIT(Account!$F770, "" ""), """")"),"")</f>
        <v/>
      </c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</row>
    <row r="771">
      <c r="A771" s="341"/>
      <c r="B771" s="341"/>
      <c r="C771" s="341"/>
      <c r="D771" s="341"/>
      <c r="E771" s="341"/>
      <c r="F771" s="373"/>
      <c r="G771" s="341"/>
      <c r="H771" s="341"/>
      <c r="I771" s="341"/>
      <c r="J771" s="341"/>
      <c r="K771" s="341"/>
      <c r="L771" s="26" t="str">
        <f t="shared" si="1"/>
        <v/>
      </c>
      <c r="M771" s="28" t="str">
        <f>IFERROR(__xludf.DUMMYFUNCTION("IF(Account!$F771&lt;&gt;"""", VALUE(REGEXREPLACE($I771, ""\,"", ""."")), """")"),"")</f>
        <v/>
      </c>
      <c r="N771" s="31" t="str">
        <f>IF(Account!$F771&lt;&gt;"", DATEVALUE(MID($A771,4,3) &amp; LEFT($A771,3) &amp; RIGHT($A771,4)) + TIMEVALUE($B771), "")</f>
        <v/>
      </c>
      <c r="O771" s="33" t="str">
        <f>IF(Account!$F771&lt;&gt;"", DATEVALUE(MID($A771,4,3) &amp; LEFT($A771,3) &amp; RIGHT($A771,4)), "")</f>
        <v/>
      </c>
      <c r="P771" s="34" t="str">
        <f>IFERROR(VLOOKUP($Q771,Selection!$F:$G,2,false))</f>
        <v/>
      </c>
      <c r="Q771" s="36" t="str">
        <f>IF(AND($X771="change",$H771="EUR"),IF(AND($Z771="Crédit",$N771=$N772),$Q772,IF(AND($Z771="Débit",$N771=$N770),$Q770)),IF(OR(AND(OR($E771&lt;&gt;"",$L771=""),$M771&lt;&gt;0),$A771=""),IFERROR(VLOOKUP($E771,Selection!$E:$F,2,false)),IFERROR(VLOOKUP(SUBSTITUTE($I771,"-","",1),$K772:$Q1119,7,false),VLOOKUP($K771,$K772:$Q1119,7,false))))</f>
        <v/>
      </c>
      <c r="R771" s="34" t="str">
        <f t="shared" si="2"/>
        <v/>
      </c>
      <c r="S771" s="37" t="str">
        <f t="shared" si="3"/>
        <v/>
      </c>
      <c r="T771" s="38" t="str">
        <f t="shared" si="4"/>
        <v/>
      </c>
      <c r="U771" s="28" t="str">
        <f t="shared" si="5"/>
        <v/>
      </c>
      <c r="V771" s="39" t="str">
        <f>IFERROR(__xludf.DUMMYFUNCTION(" IF(Account!$F771&lt;&gt;"""", SPLIT(Account!$F771, "" ""), """")"),"")</f>
        <v/>
      </c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</row>
    <row r="772">
      <c r="A772" s="341"/>
      <c r="B772" s="341"/>
      <c r="C772" s="341"/>
      <c r="D772" s="341"/>
      <c r="E772" s="341"/>
      <c r="F772" s="373"/>
      <c r="G772" s="341"/>
      <c r="H772" s="341"/>
      <c r="I772" s="341"/>
      <c r="J772" s="341"/>
      <c r="K772" s="341"/>
      <c r="L772" s="26" t="str">
        <f t="shared" si="1"/>
        <v/>
      </c>
      <c r="M772" s="28" t="str">
        <f>IFERROR(__xludf.DUMMYFUNCTION("IF(Account!$F772&lt;&gt;"""", VALUE(REGEXREPLACE($I772, ""\,"", ""."")), """")"),"")</f>
        <v/>
      </c>
      <c r="N772" s="31" t="str">
        <f>IF(Account!$F772&lt;&gt;"", DATEVALUE(MID($A772,4,3) &amp; LEFT($A772,3) &amp; RIGHT($A772,4)) + TIMEVALUE($B772), "")</f>
        <v/>
      </c>
      <c r="O772" s="33" t="str">
        <f>IF(Account!$F772&lt;&gt;"", DATEVALUE(MID($A772,4,3) &amp; LEFT($A772,3) &amp; RIGHT($A772,4)), "")</f>
        <v/>
      </c>
      <c r="P772" s="34" t="str">
        <f>IFERROR(VLOOKUP($Q772,Selection!$F:$G,2,false))</f>
        <v/>
      </c>
      <c r="Q772" s="36" t="str">
        <f>IF(AND($X772="change",$H772="EUR"),IF(AND($Z772="Crédit",$N772=$N773),$Q773,IF(AND($Z772="Débit",$N772=$N771),$Q771)),IF(OR(AND(OR($E772&lt;&gt;"",$L772=""),$M772&lt;&gt;0),$A772=""),IFERROR(VLOOKUP($E772,Selection!$E:$F,2,false)),IFERROR(VLOOKUP(SUBSTITUTE($I772,"-","",1),$K773:$Q1119,7,false),VLOOKUP($K772,$K773:$Q1119,7,false))))</f>
        <v/>
      </c>
      <c r="R772" s="34" t="str">
        <f t="shared" si="2"/>
        <v/>
      </c>
      <c r="S772" s="37" t="str">
        <f t="shared" si="3"/>
        <v/>
      </c>
      <c r="T772" s="38" t="str">
        <f t="shared" si="4"/>
        <v/>
      </c>
      <c r="U772" s="28" t="str">
        <f t="shared" si="5"/>
        <v/>
      </c>
      <c r="V772" s="39" t="str">
        <f>IFERROR(__xludf.DUMMYFUNCTION(" IF(Account!$F772&lt;&gt;"""", SPLIT(Account!$F772, "" ""), """")"),"")</f>
        <v/>
      </c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</row>
    <row r="773">
      <c r="A773" s="341"/>
      <c r="B773" s="341"/>
      <c r="C773" s="341"/>
      <c r="D773" s="341"/>
      <c r="E773" s="341"/>
      <c r="F773" s="373"/>
      <c r="G773" s="341"/>
      <c r="H773" s="341"/>
      <c r="I773" s="341"/>
      <c r="J773" s="341"/>
      <c r="K773" s="341"/>
      <c r="L773" s="26" t="str">
        <f t="shared" si="1"/>
        <v/>
      </c>
      <c r="M773" s="28" t="str">
        <f>IFERROR(__xludf.DUMMYFUNCTION("IF(Account!$F773&lt;&gt;"""", VALUE(REGEXREPLACE($I773, ""\,"", ""."")), """")"),"")</f>
        <v/>
      </c>
      <c r="N773" s="31" t="str">
        <f>IF(Account!$F773&lt;&gt;"", DATEVALUE(MID($A773,4,3) &amp; LEFT($A773,3) &amp; RIGHT($A773,4)) + TIMEVALUE($B773), "")</f>
        <v/>
      </c>
      <c r="O773" s="33" t="str">
        <f>IF(Account!$F773&lt;&gt;"", DATEVALUE(MID($A773,4,3) &amp; LEFT($A773,3) &amp; RIGHT($A773,4)), "")</f>
        <v/>
      </c>
      <c r="P773" s="34" t="str">
        <f>IFERROR(VLOOKUP($Q773,Selection!$F:$G,2,false))</f>
        <v/>
      </c>
      <c r="Q773" s="36" t="str">
        <f>IF(AND($X773="change",$H773="EUR"),IF(AND($Z773="Crédit",$N773=$N774),$Q774,IF(AND($Z773="Débit",$N773=$N772),$Q772)),IF(OR(AND(OR($E773&lt;&gt;"",$L773=""),$M773&lt;&gt;0),$A773=""),IFERROR(VLOOKUP($E773,Selection!$E:$F,2,false)),IFERROR(VLOOKUP(SUBSTITUTE($I773,"-","",1),$K774:$Q1119,7,false),VLOOKUP($K773,$K774:$Q1119,7,false))))</f>
        <v/>
      </c>
      <c r="R773" s="34" t="str">
        <f t="shared" si="2"/>
        <v/>
      </c>
      <c r="S773" s="37" t="str">
        <f t="shared" si="3"/>
        <v/>
      </c>
      <c r="T773" s="38" t="str">
        <f t="shared" si="4"/>
        <v/>
      </c>
      <c r="U773" s="28" t="str">
        <f t="shared" si="5"/>
        <v/>
      </c>
      <c r="V773" s="39" t="str">
        <f>IFERROR(__xludf.DUMMYFUNCTION(" IF(Account!$F773&lt;&gt;"""", SPLIT(Account!$F773, "" ""), """")"),"")</f>
        <v/>
      </c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</row>
    <row r="774">
      <c r="A774" s="341"/>
      <c r="B774" s="341"/>
      <c r="C774" s="341"/>
      <c r="D774" s="341"/>
      <c r="E774" s="341"/>
      <c r="F774" s="373"/>
      <c r="G774" s="341"/>
      <c r="H774" s="341"/>
      <c r="I774" s="341"/>
      <c r="J774" s="341"/>
      <c r="K774" s="341"/>
      <c r="L774" s="26" t="str">
        <f t="shared" si="1"/>
        <v/>
      </c>
      <c r="M774" s="28" t="str">
        <f>IFERROR(__xludf.DUMMYFUNCTION("IF(Account!$F774&lt;&gt;"""", VALUE(REGEXREPLACE($I774, ""\,"", ""."")), """")"),"")</f>
        <v/>
      </c>
      <c r="N774" s="31" t="str">
        <f>IF(Account!$F774&lt;&gt;"", DATEVALUE(MID($A774,4,3) &amp; LEFT($A774,3) &amp; RIGHT($A774,4)) + TIMEVALUE($B774), "")</f>
        <v/>
      </c>
      <c r="O774" s="33" t="str">
        <f>IF(Account!$F774&lt;&gt;"", DATEVALUE(MID($A774,4,3) &amp; LEFT($A774,3) &amp; RIGHT($A774,4)), "")</f>
        <v/>
      </c>
      <c r="P774" s="34" t="str">
        <f>IFERROR(VLOOKUP($Q774,Selection!$F:$G,2,false))</f>
        <v/>
      </c>
      <c r="Q774" s="36" t="str">
        <f>IF(AND($X774="change",$H774="EUR"),IF(AND($Z774="Crédit",$N774=$N775),$Q775,IF(AND($Z774="Débit",$N774=$N773),$Q773)),IF(OR(AND(OR($E774&lt;&gt;"",$L774=""),$M774&lt;&gt;0),$A774=""),IFERROR(VLOOKUP($E774,Selection!$E:$F,2,false)),IFERROR(VLOOKUP(SUBSTITUTE($I774,"-","",1),$K775:$Q1119,7,false),VLOOKUP($K774,$K775:$Q1119,7,false))))</f>
        <v/>
      </c>
      <c r="R774" s="34" t="str">
        <f t="shared" si="2"/>
        <v/>
      </c>
      <c r="S774" s="37" t="str">
        <f t="shared" si="3"/>
        <v/>
      </c>
      <c r="T774" s="38" t="str">
        <f t="shared" si="4"/>
        <v/>
      </c>
      <c r="U774" s="28" t="str">
        <f t="shared" si="5"/>
        <v/>
      </c>
      <c r="V774" s="39" t="str">
        <f>IFERROR(__xludf.DUMMYFUNCTION(" IF(Account!$F774&lt;&gt;"""", SPLIT(Account!$F774, "" ""), """")"),"")</f>
        <v/>
      </c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</row>
    <row r="775">
      <c r="A775" s="341"/>
      <c r="B775" s="341"/>
      <c r="C775" s="341"/>
      <c r="D775" s="341"/>
      <c r="E775" s="341"/>
      <c r="F775" s="373"/>
      <c r="G775" s="341"/>
      <c r="H775" s="341"/>
      <c r="I775" s="341"/>
      <c r="J775" s="341"/>
      <c r="K775" s="341"/>
      <c r="L775" s="26" t="str">
        <f t="shared" si="1"/>
        <v/>
      </c>
      <c r="M775" s="28" t="str">
        <f>IFERROR(__xludf.DUMMYFUNCTION("IF(Account!$F775&lt;&gt;"""", VALUE(REGEXREPLACE($I775, ""\,"", ""."")), """")"),"")</f>
        <v/>
      </c>
      <c r="N775" s="31" t="str">
        <f>IF(Account!$F775&lt;&gt;"", DATEVALUE(MID($A775,4,3) &amp; LEFT($A775,3) &amp; RIGHT($A775,4)) + TIMEVALUE($B775), "")</f>
        <v/>
      </c>
      <c r="O775" s="33" t="str">
        <f>IF(Account!$F775&lt;&gt;"", DATEVALUE(MID($A775,4,3) &amp; LEFT($A775,3) &amp; RIGHT($A775,4)), "")</f>
        <v/>
      </c>
      <c r="P775" s="34" t="str">
        <f>IFERROR(VLOOKUP($Q775,Selection!$F:$G,2,false))</f>
        <v/>
      </c>
      <c r="Q775" s="36" t="str">
        <f>IF(AND($X775="change",$H775="EUR"),IF(AND($Z775="Crédit",$N775=$N776),$Q776,IF(AND($Z775="Débit",$N775=$N774),$Q774)),IF(OR(AND(OR($E775&lt;&gt;"",$L775=""),$M775&lt;&gt;0),$A775=""),IFERROR(VLOOKUP($E775,Selection!$E:$F,2,false)),IFERROR(VLOOKUP(SUBSTITUTE($I775,"-","",1),$K776:$Q1119,7,false),VLOOKUP($K775,$K776:$Q1119,7,false))))</f>
        <v/>
      </c>
      <c r="R775" s="34" t="str">
        <f t="shared" si="2"/>
        <v/>
      </c>
      <c r="S775" s="37" t="str">
        <f t="shared" si="3"/>
        <v/>
      </c>
      <c r="T775" s="38" t="str">
        <f t="shared" si="4"/>
        <v/>
      </c>
      <c r="U775" s="28" t="str">
        <f t="shared" si="5"/>
        <v/>
      </c>
      <c r="V775" s="39" t="str">
        <f>IFERROR(__xludf.DUMMYFUNCTION(" IF(Account!$F775&lt;&gt;"""", SPLIT(Account!$F775, "" ""), """")"),"")</f>
        <v/>
      </c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</row>
    <row r="776">
      <c r="A776" s="341"/>
      <c r="B776" s="341"/>
      <c r="C776" s="341"/>
      <c r="D776" s="341"/>
      <c r="E776" s="341"/>
      <c r="F776" s="373"/>
      <c r="G776" s="341"/>
      <c r="H776" s="341"/>
      <c r="I776" s="341"/>
      <c r="J776" s="341"/>
      <c r="K776" s="341"/>
      <c r="L776" s="26" t="str">
        <f t="shared" si="1"/>
        <v/>
      </c>
      <c r="M776" s="28" t="str">
        <f>IFERROR(__xludf.DUMMYFUNCTION("IF(Account!$F776&lt;&gt;"""", VALUE(REGEXREPLACE($I776, ""\,"", ""."")), """")"),"")</f>
        <v/>
      </c>
      <c r="N776" s="31" t="str">
        <f>IF(Account!$F776&lt;&gt;"", DATEVALUE(MID($A776,4,3) &amp; LEFT($A776,3) &amp; RIGHT($A776,4)) + TIMEVALUE($B776), "")</f>
        <v/>
      </c>
      <c r="O776" s="33" t="str">
        <f>IF(Account!$F776&lt;&gt;"", DATEVALUE(MID($A776,4,3) &amp; LEFT($A776,3) &amp; RIGHT($A776,4)), "")</f>
        <v/>
      </c>
      <c r="P776" s="34" t="str">
        <f>IFERROR(VLOOKUP($Q776,Selection!$F:$G,2,false))</f>
        <v/>
      </c>
      <c r="Q776" s="36" t="str">
        <f>IF(AND($X776="change",$H776="EUR"),IF(AND($Z776="Crédit",$N776=$N777),$Q777,IF(AND($Z776="Débit",$N776=$N775),$Q775)),IF(OR(AND(OR($E776&lt;&gt;"",$L776=""),$M776&lt;&gt;0),$A776=""),IFERROR(VLOOKUP($E776,Selection!$E:$F,2,false)),IFERROR(VLOOKUP(SUBSTITUTE($I776,"-","",1),$K777:$Q1119,7,false),VLOOKUP($K776,$K777:$Q1119,7,false))))</f>
        <v/>
      </c>
      <c r="R776" s="34" t="str">
        <f t="shared" si="2"/>
        <v/>
      </c>
      <c r="S776" s="37" t="str">
        <f t="shared" si="3"/>
        <v/>
      </c>
      <c r="T776" s="38" t="str">
        <f t="shared" si="4"/>
        <v/>
      </c>
      <c r="U776" s="28" t="str">
        <f t="shared" si="5"/>
        <v/>
      </c>
      <c r="V776" s="39" t="str">
        <f>IFERROR(__xludf.DUMMYFUNCTION(" IF(Account!$F776&lt;&gt;"""", SPLIT(Account!$F776, "" ""), """")"),"")</f>
        <v/>
      </c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</row>
    <row r="777">
      <c r="A777" s="341"/>
      <c r="B777" s="341"/>
      <c r="C777" s="341"/>
      <c r="D777" s="341"/>
      <c r="E777" s="341"/>
      <c r="F777" s="373"/>
      <c r="G777" s="341"/>
      <c r="H777" s="341"/>
      <c r="I777" s="341"/>
      <c r="J777" s="341"/>
      <c r="K777" s="341"/>
      <c r="L777" s="26" t="str">
        <f t="shared" si="1"/>
        <v/>
      </c>
      <c r="M777" s="28" t="str">
        <f>IFERROR(__xludf.DUMMYFUNCTION("IF(Account!$F777&lt;&gt;"""", VALUE(REGEXREPLACE($I777, ""\,"", ""."")), """")"),"")</f>
        <v/>
      </c>
      <c r="N777" s="31" t="str">
        <f>IF(Account!$F777&lt;&gt;"", DATEVALUE(MID($A777,4,3) &amp; LEFT($A777,3) &amp; RIGHT($A777,4)) + TIMEVALUE($B777), "")</f>
        <v/>
      </c>
      <c r="O777" s="33" t="str">
        <f>IF(Account!$F777&lt;&gt;"", DATEVALUE(MID($A777,4,3) &amp; LEFT($A777,3) &amp; RIGHT($A777,4)), "")</f>
        <v/>
      </c>
      <c r="P777" s="34" t="str">
        <f>IFERROR(VLOOKUP($Q777,Selection!$F:$G,2,false))</f>
        <v/>
      </c>
      <c r="Q777" s="36" t="str">
        <f>IF(AND($X777="change",$H777="EUR"),IF(AND($Z777="Crédit",$N777=$N778),$Q778,IF(AND($Z777="Débit",$N777=$N776),$Q776)),IF(OR(AND(OR($E777&lt;&gt;"",$L777=""),$M777&lt;&gt;0),$A777=""),IFERROR(VLOOKUP($E777,Selection!$E:$F,2,false)),IFERROR(VLOOKUP(SUBSTITUTE($I777,"-","",1),$K778:$Q1119,7,false),VLOOKUP($K777,$K778:$Q1119,7,false))))</f>
        <v/>
      </c>
      <c r="R777" s="34" t="str">
        <f t="shared" si="2"/>
        <v/>
      </c>
      <c r="S777" s="37" t="str">
        <f t="shared" si="3"/>
        <v/>
      </c>
      <c r="T777" s="38" t="str">
        <f t="shared" si="4"/>
        <v/>
      </c>
      <c r="U777" s="28" t="str">
        <f t="shared" si="5"/>
        <v/>
      </c>
      <c r="V777" s="39" t="str">
        <f>IFERROR(__xludf.DUMMYFUNCTION(" IF(Account!$F777&lt;&gt;"""", SPLIT(Account!$F777, "" ""), """")"),"")</f>
        <v/>
      </c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</row>
    <row r="778">
      <c r="A778" s="341"/>
      <c r="B778" s="341"/>
      <c r="C778" s="341"/>
      <c r="D778" s="341"/>
      <c r="E778" s="341"/>
      <c r="F778" s="373"/>
      <c r="G778" s="341"/>
      <c r="H778" s="341"/>
      <c r="I778" s="341"/>
      <c r="J778" s="341"/>
      <c r="K778" s="341"/>
      <c r="L778" s="26" t="str">
        <f t="shared" si="1"/>
        <v/>
      </c>
      <c r="M778" s="28" t="str">
        <f>IFERROR(__xludf.DUMMYFUNCTION("IF(Account!$F778&lt;&gt;"""", VALUE(REGEXREPLACE($I778, ""\,"", ""."")), """")"),"")</f>
        <v/>
      </c>
      <c r="N778" s="31" t="str">
        <f>IF(Account!$F778&lt;&gt;"", DATEVALUE(MID($A778,4,3) &amp; LEFT($A778,3) &amp; RIGHT($A778,4)) + TIMEVALUE($B778), "")</f>
        <v/>
      </c>
      <c r="O778" s="33" t="str">
        <f>IF(Account!$F778&lt;&gt;"", DATEVALUE(MID($A778,4,3) &amp; LEFT($A778,3) &amp; RIGHT($A778,4)), "")</f>
        <v/>
      </c>
      <c r="P778" s="34" t="str">
        <f>IFERROR(VLOOKUP($Q778,Selection!$F:$G,2,false))</f>
        <v/>
      </c>
      <c r="Q778" s="36" t="str">
        <f>IF(AND($X778="change",$H778="EUR"),IF(AND($Z778="Crédit",$N778=$N779),$Q779,IF(AND($Z778="Débit",$N778=$N777),$Q777)),IF(OR(AND(OR($E778&lt;&gt;"",$L778=""),$M778&lt;&gt;0),$A778=""),IFERROR(VLOOKUP($E778,Selection!$E:$F,2,false)),IFERROR(VLOOKUP(SUBSTITUTE($I778,"-","",1),$K779:$Q1119,7,false),VLOOKUP($K778,$K779:$Q1119,7,false))))</f>
        <v/>
      </c>
      <c r="R778" s="34" t="str">
        <f t="shared" si="2"/>
        <v/>
      </c>
      <c r="S778" s="37" t="str">
        <f t="shared" si="3"/>
        <v/>
      </c>
      <c r="T778" s="38" t="str">
        <f t="shared" si="4"/>
        <v/>
      </c>
      <c r="U778" s="28" t="str">
        <f t="shared" si="5"/>
        <v/>
      </c>
      <c r="V778" s="39" t="str">
        <f>IFERROR(__xludf.DUMMYFUNCTION(" IF(Account!$F778&lt;&gt;"""", SPLIT(Account!$F778, "" ""), """")"),"")</f>
        <v/>
      </c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</row>
    <row r="779">
      <c r="A779" s="341"/>
      <c r="B779" s="341"/>
      <c r="C779" s="341"/>
      <c r="D779" s="341"/>
      <c r="E779" s="341"/>
      <c r="F779" s="373"/>
      <c r="G779" s="341"/>
      <c r="H779" s="341"/>
      <c r="I779" s="341"/>
      <c r="J779" s="341"/>
      <c r="K779" s="341"/>
      <c r="L779" s="26" t="str">
        <f t="shared" si="1"/>
        <v/>
      </c>
      <c r="M779" s="28" t="str">
        <f>IFERROR(__xludf.DUMMYFUNCTION("IF(Account!$F779&lt;&gt;"""", VALUE(REGEXREPLACE($I779, ""\,"", ""."")), """")"),"")</f>
        <v/>
      </c>
      <c r="N779" s="31" t="str">
        <f>IF(Account!$F779&lt;&gt;"", DATEVALUE(MID($A779,4,3) &amp; LEFT($A779,3) &amp; RIGHT($A779,4)) + TIMEVALUE($B779), "")</f>
        <v/>
      </c>
      <c r="O779" s="33" t="str">
        <f>IF(Account!$F779&lt;&gt;"", DATEVALUE(MID($A779,4,3) &amp; LEFT($A779,3) &amp; RIGHT($A779,4)), "")</f>
        <v/>
      </c>
      <c r="P779" s="34" t="str">
        <f>IFERROR(VLOOKUP($Q779,Selection!$F:$G,2,false))</f>
        <v/>
      </c>
      <c r="Q779" s="36" t="str">
        <f>IF(AND($X779="change",$H779="EUR"),IF(AND($Z779="Crédit",$N779=$N780),$Q780,IF(AND($Z779="Débit",$N779=$N778),$Q778)),IF(OR(AND(OR($E779&lt;&gt;"",$L779=""),$M779&lt;&gt;0),$A779=""),IFERROR(VLOOKUP($E779,Selection!$E:$F,2,false)),IFERROR(VLOOKUP(SUBSTITUTE($I779,"-","",1),$K780:$Q1119,7,false),VLOOKUP($K779,$K780:$Q1119,7,false))))</f>
        <v/>
      </c>
      <c r="R779" s="34" t="str">
        <f t="shared" si="2"/>
        <v/>
      </c>
      <c r="S779" s="37" t="str">
        <f t="shared" si="3"/>
        <v/>
      </c>
      <c r="T779" s="38" t="str">
        <f t="shared" si="4"/>
        <v/>
      </c>
      <c r="U779" s="28" t="str">
        <f t="shared" si="5"/>
        <v/>
      </c>
      <c r="V779" s="39" t="str">
        <f>IFERROR(__xludf.DUMMYFUNCTION(" IF(Account!$F779&lt;&gt;"""", SPLIT(Account!$F779, "" ""), """")"),"")</f>
        <v/>
      </c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</row>
    <row r="780">
      <c r="A780" s="341"/>
      <c r="B780" s="341"/>
      <c r="C780" s="341"/>
      <c r="D780" s="341"/>
      <c r="E780" s="341"/>
      <c r="F780" s="373"/>
      <c r="G780" s="341"/>
      <c r="H780" s="341"/>
      <c r="I780" s="341"/>
      <c r="J780" s="341"/>
      <c r="K780" s="341"/>
      <c r="L780" s="26" t="str">
        <f t="shared" si="1"/>
        <v/>
      </c>
      <c r="M780" s="28" t="str">
        <f>IFERROR(__xludf.DUMMYFUNCTION("IF(Account!$F780&lt;&gt;"""", VALUE(REGEXREPLACE($I780, ""\,"", ""."")), """")"),"")</f>
        <v/>
      </c>
      <c r="N780" s="31" t="str">
        <f>IF(Account!$F780&lt;&gt;"", DATEVALUE(MID($A780,4,3) &amp; LEFT($A780,3) &amp; RIGHT($A780,4)) + TIMEVALUE($B780), "")</f>
        <v/>
      </c>
      <c r="O780" s="33" t="str">
        <f>IF(Account!$F780&lt;&gt;"", DATEVALUE(MID($A780,4,3) &amp; LEFT($A780,3) &amp; RIGHT($A780,4)), "")</f>
        <v/>
      </c>
      <c r="P780" s="34" t="str">
        <f>IFERROR(VLOOKUP($Q780,Selection!$F:$G,2,false))</f>
        <v/>
      </c>
      <c r="Q780" s="36" t="str">
        <f>IF(AND($X780="change",$H780="EUR"),IF(AND($Z780="Crédit",$N780=$N781),$Q781,IF(AND($Z780="Débit",$N780=$N779),$Q779)),IF(OR(AND(OR($E780&lt;&gt;"",$L780=""),$M780&lt;&gt;0),$A780=""),IFERROR(VLOOKUP($E780,Selection!$E:$F,2,false)),IFERROR(VLOOKUP(SUBSTITUTE($I780,"-","",1),$K781:$Q1119,7,false),VLOOKUP($K780,$K781:$Q1119,7,false))))</f>
        <v/>
      </c>
      <c r="R780" s="34" t="str">
        <f t="shared" si="2"/>
        <v/>
      </c>
      <c r="S780" s="37" t="str">
        <f t="shared" si="3"/>
        <v/>
      </c>
      <c r="T780" s="38" t="str">
        <f t="shared" si="4"/>
        <v/>
      </c>
      <c r="U780" s="28" t="str">
        <f t="shared" si="5"/>
        <v/>
      </c>
      <c r="V780" s="39" t="str">
        <f>IFERROR(__xludf.DUMMYFUNCTION(" IF(Account!$F780&lt;&gt;"""", SPLIT(Account!$F780, "" ""), """")"),"")</f>
        <v/>
      </c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</row>
    <row r="781">
      <c r="A781" s="341"/>
      <c r="B781" s="341"/>
      <c r="C781" s="341"/>
      <c r="D781" s="341"/>
      <c r="E781" s="341"/>
      <c r="F781" s="373"/>
      <c r="G781" s="341"/>
      <c r="H781" s="341"/>
      <c r="I781" s="341"/>
      <c r="J781" s="341"/>
      <c r="K781" s="341"/>
      <c r="L781" s="26" t="str">
        <f t="shared" si="1"/>
        <v/>
      </c>
      <c r="M781" s="28" t="str">
        <f>IFERROR(__xludf.DUMMYFUNCTION("IF(Account!$F781&lt;&gt;"""", VALUE(REGEXREPLACE($I781, ""\,"", ""."")), """")"),"")</f>
        <v/>
      </c>
      <c r="N781" s="31" t="str">
        <f>IF(Account!$F781&lt;&gt;"", DATEVALUE(MID($A781,4,3) &amp; LEFT($A781,3) &amp; RIGHT($A781,4)) + TIMEVALUE($B781), "")</f>
        <v/>
      </c>
      <c r="O781" s="33" t="str">
        <f>IF(Account!$F781&lt;&gt;"", DATEVALUE(MID($A781,4,3) &amp; LEFT($A781,3) &amp; RIGHT($A781,4)), "")</f>
        <v/>
      </c>
      <c r="P781" s="34" t="str">
        <f>IFERROR(VLOOKUP($Q781,Selection!$F:$G,2,false))</f>
        <v/>
      </c>
      <c r="Q781" s="36" t="str">
        <f>IF(AND($X781="change",$H781="EUR"),IF(AND($Z781="Crédit",$N781=$N782),$Q782,IF(AND($Z781="Débit",$N781=$N780),$Q780)),IF(OR(AND(OR($E781&lt;&gt;"",$L781=""),$M781&lt;&gt;0),$A781=""),IFERROR(VLOOKUP($E781,Selection!$E:$F,2,false)),IFERROR(VLOOKUP(SUBSTITUTE($I781,"-","",1),$K782:$Q1119,7,false),VLOOKUP($K781,$K782:$Q1119,7,false))))</f>
        <v/>
      </c>
      <c r="R781" s="34" t="str">
        <f t="shared" si="2"/>
        <v/>
      </c>
      <c r="S781" s="37" t="str">
        <f t="shared" si="3"/>
        <v/>
      </c>
      <c r="T781" s="38" t="str">
        <f t="shared" si="4"/>
        <v/>
      </c>
      <c r="U781" s="28" t="str">
        <f t="shared" si="5"/>
        <v/>
      </c>
      <c r="V781" s="39" t="str">
        <f>IFERROR(__xludf.DUMMYFUNCTION(" IF(Account!$F781&lt;&gt;"""", SPLIT(Account!$F781, "" ""), """")"),"")</f>
        <v/>
      </c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</row>
    <row r="782">
      <c r="A782" s="341"/>
      <c r="B782" s="341"/>
      <c r="C782" s="341"/>
      <c r="D782" s="341"/>
      <c r="E782" s="341"/>
      <c r="F782" s="373"/>
      <c r="G782" s="341"/>
      <c r="H782" s="341"/>
      <c r="I782" s="341"/>
      <c r="J782" s="341"/>
      <c r="K782" s="341"/>
      <c r="L782" s="26" t="str">
        <f t="shared" si="1"/>
        <v/>
      </c>
      <c r="M782" s="28" t="str">
        <f>IFERROR(__xludf.DUMMYFUNCTION("IF(Account!$F782&lt;&gt;"""", VALUE(REGEXREPLACE($I782, ""\,"", ""."")), """")"),"")</f>
        <v/>
      </c>
      <c r="N782" s="31" t="str">
        <f>IF(Account!$F782&lt;&gt;"", DATEVALUE(MID($A782,4,3) &amp; LEFT($A782,3) &amp; RIGHT($A782,4)) + TIMEVALUE($B782), "")</f>
        <v/>
      </c>
      <c r="O782" s="33" t="str">
        <f>IF(Account!$F782&lt;&gt;"", DATEVALUE(MID($A782,4,3) &amp; LEFT($A782,3) &amp; RIGHT($A782,4)), "")</f>
        <v/>
      </c>
      <c r="P782" s="34" t="str">
        <f>IFERROR(VLOOKUP($Q782,Selection!$F:$G,2,false))</f>
        <v/>
      </c>
      <c r="Q782" s="36" t="str">
        <f>IF(AND($X782="change",$H782="EUR"),IF(AND($Z782="Crédit",$N782=$N783),$Q783,IF(AND($Z782="Débit",$N782=$N781),$Q781)),IF(OR(AND(OR($E782&lt;&gt;"",$L782=""),$M782&lt;&gt;0),$A782=""),IFERROR(VLOOKUP($E782,Selection!$E:$F,2,false)),IFERROR(VLOOKUP(SUBSTITUTE($I782,"-","",1),$K783:$Q1119,7,false),VLOOKUP($K782,$K783:$Q1119,7,false))))</f>
        <v/>
      </c>
      <c r="R782" s="34" t="str">
        <f t="shared" si="2"/>
        <v/>
      </c>
      <c r="S782" s="37" t="str">
        <f t="shared" si="3"/>
        <v/>
      </c>
      <c r="T782" s="38" t="str">
        <f t="shared" si="4"/>
        <v/>
      </c>
      <c r="U782" s="28" t="str">
        <f t="shared" si="5"/>
        <v/>
      </c>
      <c r="V782" s="39" t="str">
        <f>IFERROR(__xludf.DUMMYFUNCTION(" IF(Account!$F782&lt;&gt;"""", SPLIT(Account!$F782, "" ""), """")"),"")</f>
        <v/>
      </c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</row>
    <row r="783">
      <c r="A783" s="341"/>
      <c r="B783" s="341"/>
      <c r="C783" s="341"/>
      <c r="D783" s="341"/>
      <c r="E783" s="341"/>
      <c r="F783" s="373"/>
      <c r="G783" s="341"/>
      <c r="H783" s="341"/>
      <c r="I783" s="341"/>
      <c r="J783" s="341"/>
      <c r="K783" s="341"/>
      <c r="L783" s="26" t="str">
        <f t="shared" si="1"/>
        <v/>
      </c>
      <c r="M783" s="28" t="str">
        <f>IFERROR(__xludf.DUMMYFUNCTION("IF(Account!$F783&lt;&gt;"""", VALUE(REGEXREPLACE($I783, ""\,"", ""."")), """")"),"")</f>
        <v/>
      </c>
      <c r="N783" s="31" t="str">
        <f>IF(Account!$F783&lt;&gt;"", DATEVALUE(MID($A783,4,3) &amp; LEFT($A783,3) &amp; RIGHT($A783,4)) + TIMEVALUE($B783), "")</f>
        <v/>
      </c>
      <c r="O783" s="33" t="str">
        <f>IF(Account!$F783&lt;&gt;"", DATEVALUE(MID($A783,4,3) &amp; LEFT($A783,3) &amp; RIGHT($A783,4)), "")</f>
        <v/>
      </c>
      <c r="P783" s="34" t="str">
        <f>IFERROR(VLOOKUP($Q783,Selection!$F:$G,2,false))</f>
        <v/>
      </c>
      <c r="Q783" s="36" t="str">
        <f>IF(AND($X783="change",$H783="EUR"),IF(AND($Z783="Crédit",$N783=$N784),$Q784,IF(AND($Z783="Débit",$N783=$N782),$Q782)),IF(OR(AND(OR($E783&lt;&gt;"",$L783=""),$M783&lt;&gt;0),$A783=""),IFERROR(VLOOKUP($E783,Selection!$E:$F,2,false)),IFERROR(VLOOKUP(SUBSTITUTE($I783,"-","",1),$K784:$Q1119,7,false),VLOOKUP($K783,$K784:$Q1119,7,false))))</f>
        <v/>
      </c>
      <c r="R783" s="34" t="str">
        <f t="shared" si="2"/>
        <v/>
      </c>
      <c r="S783" s="37" t="str">
        <f t="shared" si="3"/>
        <v/>
      </c>
      <c r="T783" s="38" t="str">
        <f t="shared" si="4"/>
        <v/>
      </c>
      <c r="U783" s="28" t="str">
        <f t="shared" si="5"/>
        <v/>
      </c>
      <c r="V783" s="39" t="str">
        <f>IFERROR(__xludf.DUMMYFUNCTION(" IF(Account!$F783&lt;&gt;"""", SPLIT(Account!$F783, "" ""), """")"),"")</f>
        <v/>
      </c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</row>
    <row r="784">
      <c r="A784" s="341"/>
      <c r="B784" s="341"/>
      <c r="C784" s="341"/>
      <c r="D784" s="341"/>
      <c r="E784" s="341"/>
      <c r="F784" s="373"/>
      <c r="G784" s="341"/>
      <c r="H784" s="341"/>
      <c r="I784" s="341"/>
      <c r="J784" s="341"/>
      <c r="K784" s="341"/>
      <c r="L784" s="26" t="str">
        <f t="shared" si="1"/>
        <v/>
      </c>
      <c r="M784" s="28" t="str">
        <f>IFERROR(__xludf.DUMMYFUNCTION("IF(Account!$F784&lt;&gt;"""", VALUE(REGEXREPLACE($I784, ""\,"", ""."")), """")"),"")</f>
        <v/>
      </c>
      <c r="N784" s="31" t="str">
        <f>IF(Account!$F784&lt;&gt;"", DATEVALUE(MID($A784,4,3) &amp; LEFT($A784,3) &amp; RIGHT($A784,4)) + TIMEVALUE($B784), "")</f>
        <v/>
      </c>
      <c r="O784" s="33" t="str">
        <f>IF(Account!$F784&lt;&gt;"", DATEVALUE(MID($A784,4,3) &amp; LEFT($A784,3) &amp; RIGHT($A784,4)), "")</f>
        <v/>
      </c>
      <c r="P784" s="34" t="str">
        <f>IFERROR(VLOOKUP($Q784,Selection!$F:$G,2,false))</f>
        <v/>
      </c>
      <c r="Q784" s="36" t="str">
        <f>IF(AND($X784="change",$H784="EUR"),IF(AND($Z784="Crédit",$N784=$N785),$Q785,IF(AND($Z784="Débit",$N784=$N783),$Q783)),IF(OR(AND(OR($E784&lt;&gt;"",$L784=""),$M784&lt;&gt;0),$A784=""),IFERROR(VLOOKUP($E784,Selection!$E:$F,2,false)),IFERROR(VLOOKUP(SUBSTITUTE($I784,"-","",1),$K785:$Q1119,7,false),VLOOKUP($K784,$K785:$Q1119,7,false))))</f>
        <v/>
      </c>
      <c r="R784" s="34" t="str">
        <f t="shared" si="2"/>
        <v/>
      </c>
      <c r="S784" s="37" t="str">
        <f t="shared" si="3"/>
        <v/>
      </c>
      <c r="T784" s="38" t="str">
        <f t="shared" si="4"/>
        <v/>
      </c>
      <c r="U784" s="28" t="str">
        <f t="shared" si="5"/>
        <v/>
      </c>
      <c r="V784" s="39" t="str">
        <f>IFERROR(__xludf.DUMMYFUNCTION(" IF(Account!$F784&lt;&gt;"""", SPLIT(Account!$F784, "" ""), """")"),"")</f>
        <v/>
      </c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</row>
    <row r="785">
      <c r="A785" s="341"/>
      <c r="B785" s="341"/>
      <c r="C785" s="341"/>
      <c r="D785" s="341"/>
      <c r="E785" s="341"/>
      <c r="F785" s="373"/>
      <c r="G785" s="341"/>
      <c r="H785" s="341"/>
      <c r="I785" s="341"/>
      <c r="J785" s="341"/>
      <c r="K785" s="341"/>
      <c r="L785" s="26" t="str">
        <f t="shared" si="1"/>
        <v/>
      </c>
      <c r="M785" s="28" t="str">
        <f>IFERROR(__xludf.DUMMYFUNCTION("IF(Account!$F785&lt;&gt;"""", VALUE(REGEXREPLACE($I785, ""\,"", ""."")), """")"),"")</f>
        <v/>
      </c>
      <c r="N785" s="31" t="str">
        <f>IF(Account!$F785&lt;&gt;"", DATEVALUE(MID($A785,4,3) &amp; LEFT($A785,3) &amp; RIGHT($A785,4)) + TIMEVALUE($B785), "")</f>
        <v/>
      </c>
      <c r="O785" s="33" t="str">
        <f>IF(Account!$F785&lt;&gt;"", DATEVALUE(MID($A785,4,3) &amp; LEFT($A785,3) &amp; RIGHT($A785,4)), "")</f>
        <v/>
      </c>
      <c r="P785" s="34" t="str">
        <f>IFERROR(VLOOKUP($Q785,Selection!$F:$G,2,false))</f>
        <v/>
      </c>
      <c r="Q785" s="36" t="str">
        <f>IF(AND($X785="change",$H785="EUR"),IF(AND($Z785="Crédit",$N785=$N786),$Q786,IF(AND($Z785="Débit",$N785=$N784),$Q784)),IF(OR(AND(OR($E785&lt;&gt;"",$L785=""),$M785&lt;&gt;0),$A785=""),IFERROR(VLOOKUP($E785,Selection!$E:$F,2,false)),IFERROR(VLOOKUP(SUBSTITUTE($I785,"-","",1),$K786:$Q1119,7,false),VLOOKUP($K785,$K786:$Q1119,7,false))))</f>
        <v/>
      </c>
      <c r="R785" s="34" t="str">
        <f t="shared" si="2"/>
        <v/>
      </c>
      <c r="S785" s="37" t="str">
        <f t="shared" si="3"/>
        <v/>
      </c>
      <c r="T785" s="38" t="str">
        <f t="shared" si="4"/>
        <v/>
      </c>
      <c r="U785" s="28" t="str">
        <f t="shared" si="5"/>
        <v/>
      </c>
      <c r="V785" s="39" t="str">
        <f>IFERROR(__xludf.DUMMYFUNCTION(" IF(Account!$F785&lt;&gt;"""", SPLIT(Account!$F785, "" ""), """")"),"")</f>
        <v/>
      </c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</row>
    <row r="786">
      <c r="A786" s="341"/>
      <c r="B786" s="341"/>
      <c r="C786" s="341"/>
      <c r="D786" s="341"/>
      <c r="E786" s="341"/>
      <c r="F786" s="373"/>
      <c r="G786" s="341"/>
      <c r="H786" s="341"/>
      <c r="I786" s="341"/>
      <c r="J786" s="341"/>
      <c r="K786" s="341"/>
      <c r="L786" s="26" t="str">
        <f t="shared" si="1"/>
        <v/>
      </c>
      <c r="M786" s="28" t="str">
        <f>IFERROR(__xludf.DUMMYFUNCTION("IF(Account!$F786&lt;&gt;"""", VALUE(REGEXREPLACE($I786, ""\,"", ""."")), """")"),"")</f>
        <v/>
      </c>
      <c r="N786" s="31" t="str">
        <f>IF(Account!$F786&lt;&gt;"", DATEVALUE(MID($A786,4,3) &amp; LEFT($A786,3) &amp; RIGHT($A786,4)) + TIMEVALUE($B786), "")</f>
        <v/>
      </c>
      <c r="O786" s="33" t="str">
        <f>IF(Account!$F786&lt;&gt;"", DATEVALUE(MID($A786,4,3) &amp; LEFT($A786,3) &amp; RIGHT($A786,4)), "")</f>
        <v/>
      </c>
      <c r="P786" s="34" t="str">
        <f>IFERROR(VLOOKUP($Q786,Selection!$F:$G,2,false))</f>
        <v/>
      </c>
      <c r="Q786" s="36" t="str">
        <f>IF(AND($X786="change",$H786="EUR"),IF(AND($Z786="Crédit",$N786=$N787),$Q787,IF(AND($Z786="Débit",$N786=$N785),$Q785)),IF(OR(AND(OR($E786&lt;&gt;"",$L786=""),$M786&lt;&gt;0),$A786=""),IFERROR(VLOOKUP($E786,Selection!$E:$F,2,false)),IFERROR(VLOOKUP(SUBSTITUTE($I786,"-","",1),$K787:$Q1119,7,false),VLOOKUP($K786,$K787:$Q1119,7,false))))</f>
        <v/>
      </c>
      <c r="R786" s="34" t="str">
        <f t="shared" si="2"/>
        <v/>
      </c>
      <c r="S786" s="37" t="str">
        <f t="shared" si="3"/>
        <v/>
      </c>
      <c r="T786" s="38" t="str">
        <f t="shared" si="4"/>
        <v/>
      </c>
      <c r="U786" s="28" t="str">
        <f t="shared" si="5"/>
        <v/>
      </c>
      <c r="V786" s="39" t="str">
        <f>IFERROR(__xludf.DUMMYFUNCTION(" IF(Account!$F786&lt;&gt;"""", SPLIT(Account!$F786, "" ""), """")"),"")</f>
        <v/>
      </c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</row>
    <row r="787">
      <c r="A787" s="341"/>
      <c r="B787" s="341"/>
      <c r="C787" s="341"/>
      <c r="D787" s="341"/>
      <c r="E787" s="341"/>
      <c r="F787" s="373"/>
      <c r="G787" s="341"/>
      <c r="H787" s="341"/>
      <c r="I787" s="341"/>
      <c r="J787" s="341"/>
      <c r="K787" s="341"/>
      <c r="L787" s="26" t="str">
        <f t="shared" si="1"/>
        <v/>
      </c>
      <c r="M787" s="28" t="str">
        <f>IFERROR(__xludf.DUMMYFUNCTION("IF(Account!$F787&lt;&gt;"""", VALUE(REGEXREPLACE($I787, ""\,"", ""."")), """")"),"")</f>
        <v/>
      </c>
      <c r="N787" s="31" t="str">
        <f>IF(Account!$F787&lt;&gt;"", DATEVALUE(MID($A787,4,3) &amp; LEFT($A787,3) &amp; RIGHT($A787,4)) + TIMEVALUE($B787), "")</f>
        <v/>
      </c>
      <c r="O787" s="33" t="str">
        <f>IF(Account!$F787&lt;&gt;"", DATEVALUE(MID($A787,4,3) &amp; LEFT($A787,3) &amp; RIGHT($A787,4)), "")</f>
        <v/>
      </c>
      <c r="P787" s="34" t="str">
        <f>IFERROR(VLOOKUP($Q787,Selection!$F:$G,2,false))</f>
        <v/>
      </c>
      <c r="Q787" s="36" t="str">
        <f>IF(AND($X787="change",$H787="EUR"),IF(AND($Z787="Crédit",$N787=$N788),$Q788,IF(AND($Z787="Débit",$N787=$N786),$Q786)),IF(OR(AND(OR($E787&lt;&gt;"",$L787=""),$M787&lt;&gt;0),$A787=""),IFERROR(VLOOKUP($E787,Selection!$E:$F,2,false)),IFERROR(VLOOKUP(SUBSTITUTE($I787,"-","",1),$K788:$Q1119,7,false),VLOOKUP($K787,$K788:$Q1119,7,false))))</f>
        <v/>
      </c>
      <c r="R787" s="34" t="str">
        <f t="shared" si="2"/>
        <v/>
      </c>
      <c r="S787" s="37" t="str">
        <f t="shared" si="3"/>
        <v/>
      </c>
      <c r="T787" s="38" t="str">
        <f t="shared" si="4"/>
        <v/>
      </c>
      <c r="U787" s="28" t="str">
        <f t="shared" si="5"/>
        <v/>
      </c>
      <c r="V787" s="39" t="str">
        <f>IFERROR(__xludf.DUMMYFUNCTION(" IF(Account!$F787&lt;&gt;"""", SPLIT(Account!$F787, "" ""), """")"),"")</f>
        <v/>
      </c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</row>
    <row r="788">
      <c r="A788" s="341"/>
      <c r="B788" s="341"/>
      <c r="C788" s="341"/>
      <c r="D788" s="341"/>
      <c r="E788" s="341"/>
      <c r="F788" s="373"/>
      <c r="G788" s="341"/>
      <c r="H788" s="341"/>
      <c r="I788" s="341"/>
      <c r="J788" s="341"/>
      <c r="K788" s="341"/>
      <c r="L788" s="26" t="str">
        <f t="shared" si="1"/>
        <v/>
      </c>
      <c r="M788" s="28" t="str">
        <f>IFERROR(__xludf.DUMMYFUNCTION("IF(Account!$F788&lt;&gt;"""", VALUE(REGEXREPLACE($I788, ""\,"", ""."")), """")"),"")</f>
        <v/>
      </c>
      <c r="N788" s="31" t="str">
        <f>IF(Account!$F788&lt;&gt;"", DATEVALUE(MID($A788,4,3) &amp; LEFT($A788,3) &amp; RIGHT($A788,4)) + TIMEVALUE($B788), "")</f>
        <v/>
      </c>
      <c r="O788" s="33" t="str">
        <f>IF(Account!$F788&lt;&gt;"", DATEVALUE(MID($A788,4,3) &amp; LEFT($A788,3) &amp; RIGHT($A788,4)), "")</f>
        <v/>
      </c>
      <c r="P788" s="34" t="str">
        <f>IFERROR(VLOOKUP($Q788,Selection!$F:$G,2,false))</f>
        <v/>
      </c>
      <c r="Q788" s="36" t="str">
        <f>IF(AND($X788="change",$H788="EUR"),IF(AND($Z788="Crédit",$N788=$N789),$Q789,IF(AND($Z788="Débit",$N788=$N787),$Q787)),IF(OR(AND(OR($E788&lt;&gt;"",$L788=""),$M788&lt;&gt;0),$A788=""),IFERROR(VLOOKUP($E788,Selection!$E:$F,2,false)),IFERROR(VLOOKUP(SUBSTITUTE($I788,"-","",1),$K789:$Q1119,7,false),VLOOKUP($K788,$K789:$Q1119,7,false))))</f>
        <v/>
      </c>
      <c r="R788" s="34" t="str">
        <f t="shared" si="2"/>
        <v/>
      </c>
      <c r="S788" s="37" t="str">
        <f t="shared" si="3"/>
        <v/>
      </c>
      <c r="T788" s="38" t="str">
        <f t="shared" si="4"/>
        <v/>
      </c>
      <c r="U788" s="28" t="str">
        <f t="shared" si="5"/>
        <v/>
      </c>
      <c r="V788" s="39" t="str">
        <f>IFERROR(__xludf.DUMMYFUNCTION(" IF(Account!$F788&lt;&gt;"""", SPLIT(Account!$F788, "" ""), """")"),"")</f>
        <v/>
      </c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</row>
    <row r="789">
      <c r="A789" s="341"/>
      <c r="B789" s="341"/>
      <c r="C789" s="341"/>
      <c r="D789" s="341"/>
      <c r="E789" s="341"/>
      <c r="F789" s="373"/>
      <c r="G789" s="341"/>
      <c r="H789" s="341"/>
      <c r="I789" s="341"/>
      <c r="J789" s="341"/>
      <c r="K789" s="341"/>
      <c r="L789" s="26" t="str">
        <f t="shared" si="1"/>
        <v/>
      </c>
      <c r="M789" s="28" t="str">
        <f>IFERROR(__xludf.DUMMYFUNCTION("IF(Account!$F789&lt;&gt;"""", VALUE(REGEXREPLACE($I789, ""\,"", ""."")), """")"),"")</f>
        <v/>
      </c>
      <c r="N789" s="31" t="str">
        <f>IF(Account!$F789&lt;&gt;"", DATEVALUE(MID($A789,4,3) &amp; LEFT($A789,3) &amp; RIGHT($A789,4)) + TIMEVALUE($B789), "")</f>
        <v/>
      </c>
      <c r="O789" s="33" t="str">
        <f>IF(Account!$F789&lt;&gt;"", DATEVALUE(MID($A789,4,3) &amp; LEFT($A789,3) &amp; RIGHT($A789,4)), "")</f>
        <v/>
      </c>
      <c r="P789" s="34" t="str">
        <f>IFERROR(VLOOKUP($Q789,Selection!$F:$G,2,false))</f>
        <v/>
      </c>
      <c r="Q789" s="36" t="str">
        <f>IF(AND($X789="change",$H789="EUR"),IF(AND($Z789="Crédit",$N789=$N790),$Q790,IF(AND($Z789="Débit",$N789=$N788),$Q788)),IF(OR(AND(OR($E789&lt;&gt;"",$L789=""),$M789&lt;&gt;0),$A789=""),IFERROR(VLOOKUP($E789,Selection!$E:$F,2,false)),IFERROR(VLOOKUP(SUBSTITUTE($I789,"-","",1),$K790:$Q1119,7,false),VLOOKUP($K789,$K790:$Q1119,7,false))))</f>
        <v/>
      </c>
      <c r="R789" s="34" t="str">
        <f t="shared" si="2"/>
        <v/>
      </c>
      <c r="S789" s="37" t="str">
        <f t="shared" si="3"/>
        <v/>
      </c>
      <c r="T789" s="38" t="str">
        <f t="shared" si="4"/>
        <v/>
      </c>
      <c r="U789" s="28" t="str">
        <f t="shared" si="5"/>
        <v/>
      </c>
      <c r="V789" s="39" t="str">
        <f>IFERROR(__xludf.DUMMYFUNCTION(" IF(Account!$F789&lt;&gt;"""", SPLIT(Account!$F789, "" ""), """")"),"")</f>
        <v/>
      </c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</row>
    <row r="790">
      <c r="A790" s="341"/>
      <c r="B790" s="341"/>
      <c r="C790" s="341"/>
      <c r="D790" s="341"/>
      <c r="E790" s="341"/>
      <c r="F790" s="373"/>
      <c r="G790" s="341"/>
      <c r="H790" s="341"/>
      <c r="I790" s="341"/>
      <c r="J790" s="341"/>
      <c r="K790" s="341"/>
      <c r="L790" s="26" t="str">
        <f t="shared" si="1"/>
        <v/>
      </c>
      <c r="M790" s="28" t="str">
        <f>IFERROR(__xludf.DUMMYFUNCTION("IF(Account!$F790&lt;&gt;"""", VALUE(REGEXREPLACE($I790, ""\,"", ""."")), """")"),"")</f>
        <v/>
      </c>
      <c r="N790" s="31" t="str">
        <f>IF(Account!$F790&lt;&gt;"", DATEVALUE(MID($A790,4,3) &amp; LEFT($A790,3) &amp; RIGHT($A790,4)) + TIMEVALUE($B790), "")</f>
        <v/>
      </c>
      <c r="O790" s="33" t="str">
        <f>IF(Account!$F790&lt;&gt;"", DATEVALUE(MID($A790,4,3) &amp; LEFT($A790,3) &amp; RIGHT($A790,4)), "")</f>
        <v/>
      </c>
      <c r="P790" s="34" t="str">
        <f>IFERROR(VLOOKUP($Q790,Selection!$F:$G,2,false))</f>
        <v/>
      </c>
      <c r="Q790" s="36" t="str">
        <f>IF(AND($X790="change",$H790="EUR"),IF(AND($Z790="Crédit",$N790=$N791),$Q791,IF(AND($Z790="Débit",$N790=$N789),$Q789)),IF(OR(AND(OR($E790&lt;&gt;"",$L790=""),$M790&lt;&gt;0),$A790=""),IFERROR(VLOOKUP($E790,Selection!$E:$F,2,false)),IFERROR(VLOOKUP(SUBSTITUTE($I790,"-","",1),$K791:$Q1119,7,false),VLOOKUP($K790,$K791:$Q1119,7,false))))</f>
        <v/>
      </c>
      <c r="R790" s="34" t="str">
        <f t="shared" si="2"/>
        <v/>
      </c>
      <c r="S790" s="37" t="str">
        <f t="shared" si="3"/>
        <v/>
      </c>
      <c r="T790" s="38" t="str">
        <f t="shared" si="4"/>
        <v/>
      </c>
      <c r="U790" s="28" t="str">
        <f t="shared" si="5"/>
        <v/>
      </c>
      <c r="V790" s="39" t="str">
        <f>IFERROR(__xludf.DUMMYFUNCTION(" IF(Account!$F790&lt;&gt;"""", SPLIT(Account!$F790, "" ""), """")"),"")</f>
        <v/>
      </c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</row>
    <row r="791">
      <c r="A791" s="341"/>
      <c r="B791" s="341"/>
      <c r="C791" s="341"/>
      <c r="D791" s="341"/>
      <c r="E791" s="341"/>
      <c r="F791" s="373"/>
      <c r="G791" s="341"/>
      <c r="H791" s="341"/>
      <c r="I791" s="341"/>
      <c r="J791" s="341"/>
      <c r="K791" s="341"/>
      <c r="L791" s="26" t="str">
        <f t="shared" si="1"/>
        <v/>
      </c>
      <c r="M791" s="28" t="str">
        <f>IFERROR(__xludf.DUMMYFUNCTION("IF(Account!$F791&lt;&gt;"""", VALUE(REGEXREPLACE($I791, ""\,"", ""."")), """")"),"")</f>
        <v/>
      </c>
      <c r="N791" s="31" t="str">
        <f>IF(Account!$F791&lt;&gt;"", DATEVALUE(MID($A791,4,3) &amp; LEFT($A791,3) &amp; RIGHT($A791,4)) + TIMEVALUE($B791), "")</f>
        <v/>
      </c>
      <c r="O791" s="33" t="str">
        <f>IF(Account!$F791&lt;&gt;"", DATEVALUE(MID($A791,4,3) &amp; LEFT($A791,3) &amp; RIGHT($A791,4)), "")</f>
        <v/>
      </c>
      <c r="P791" s="34" t="str">
        <f>IFERROR(VLOOKUP($Q791,Selection!$F:$G,2,false))</f>
        <v/>
      </c>
      <c r="Q791" s="36" t="str">
        <f>IF(AND($X791="change",$H791="EUR"),IF(AND($Z791="Crédit",$N791=$N792),$Q792,IF(AND($Z791="Débit",$N791=$N790),$Q790)),IF(OR(AND(OR($E791&lt;&gt;"",$L791=""),$M791&lt;&gt;0),$A791=""),IFERROR(VLOOKUP($E791,Selection!$E:$F,2,false)),IFERROR(VLOOKUP(SUBSTITUTE($I791,"-","",1),$K792:$Q1119,7,false),VLOOKUP($K791,$K792:$Q1119,7,false))))</f>
        <v/>
      </c>
      <c r="R791" s="34" t="str">
        <f t="shared" si="2"/>
        <v/>
      </c>
      <c r="S791" s="37" t="str">
        <f t="shared" si="3"/>
        <v/>
      </c>
      <c r="T791" s="38" t="str">
        <f t="shared" si="4"/>
        <v/>
      </c>
      <c r="U791" s="28" t="str">
        <f t="shared" si="5"/>
        <v/>
      </c>
      <c r="V791" s="39" t="str">
        <f>IFERROR(__xludf.DUMMYFUNCTION(" IF(Account!$F791&lt;&gt;"""", SPLIT(Account!$F791, "" ""), """")"),"")</f>
        <v/>
      </c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</row>
    <row r="792">
      <c r="A792" s="341"/>
      <c r="B792" s="341"/>
      <c r="C792" s="341"/>
      <c r="D792" s="341"/>
      <c r="E792" s="341"/>
      <c r="F792" s="373"/>
      <c r="G792" s="341"/>
      <c r="H792" s="341"/>
      <c r="I792" s="341"/>
      <c r="J792" s="341"/>
      <c r="K792" s="341"/>
      <c r="L792" s="26" t="str">
        <f t="shared" si="1"/>
        <v/>
      </c>
      <c r="M792" s="28" t="str">
        <f>IFERROR(__xludf.DUMMYFUNCTION("IF(Account!$F792&lt;&gt;"""", VALUE(REGEXREPLACE($I792, ""\,"", ""."")), """")"),"")</f>
        <v/>
      </c>
      <c r="N792" s="31" t="str">
        <f>IF(Account!$F792&lt;&gt;"", DATEVALUE(MID($A792,4,3) &amp; LEFT($A792,3) &amp; RIGHT($A792,4)) + TIMEVALUE($B792), "")</f>
        <v/>
      </c>
      <c r="O792" s="33" t="str">
        <f>IF(Account!$F792&lt;&gt;"", DATEVALUE(MID($A792,4,3) &amp; LEFT($A792,3) &amp; RIGHT($A792,4)), "")</f>
        <v/>
      </c>
      <c r="P792" s="34" t="str">
        <f>IFERROR(VLOOKUP($Q792,Selection!$F:$G,2,false))</f>
        <v/>
      </c>
      <c r="Q792" s="36" t="str">
        <f>IF(AND($X792="change",$H792="EUR"),IF(AND($Z792="Crédit",$N792=$N793),$Q793,IF(AND($Z792="Débit",$N792=$N791),$Q791)),IF(OR(AND(OR($E792&lt;&gt;"",$L792=""),$M792&lt;&gt;0),$A792=""),IFERROR(VLOOKUP($E792,Selection!$E:$F,2,false)),IFERROR(VLOOKUP(SUBSTITUTE($I792,"-","",1),$K793:$Q1119,7,false),VLOOKUP($K792,$K793:$Q1119,7,false))))</f>
        <v/>
      </c>
      <c r="R792" s="34" t="str">
        <f t="shared" si="2"/>
        <v/>
      </c>
      <c r="S792" s="37" t="str">
        <f t="shared" si="3"/>
        <v/>
      </c>
      <c r="T792" s="38" t="str">
        <f t="shared" si="4"/>
        <v/>
      </c>
      <c r="U792" s="28" t="str">
        <f t="shared" si="5"/>
        <v/>
      </c>
      <c r="V792" s="39" t="str">
        <f>IFERROR(__xludf.DUMMYFUNCTION(" IF(Account!$F792&lt;&gt;"""", SPLIT(Account!$F792, "" ""), """")"),"")</f>
        <v/>
      </c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</row>
    <row r="793">
      <c r="A793" s="341"/>
      <c r="B793" s="341"/>
      <c r="C793" s="341"/>
      <c r="D793" s="341"/>
      <c r="E793" s="341"/>
      <c r="F793" s="373"/>
      <c r="G793" s="341"/>
      <c r="H793" s="341"/>
      <c r="I793" s="341"/>
      <c r="J793" s="341"/>
      <c r="K793" s="341"/>
      <c r="L793" s="26" t="str">
        <f t="shared" si="1"/>
        <v/>
      </c>
      <c r="M793" s="28" t="str">
        <f>IFERROR(__xludf.DUMMYFUNCTION("IF(Account!$F793&lt;&gt;"""", VALUE(REGEXREPLACE($I793, ""\,"", ""."")), """")"),"")</f>
        <v/>
      </c>
      <c r="N793" s="31" t="str">
        <f>IF(Account!$F793&lt;&gt;"", DATEVALUE(MID($A793,4,3) &amp; LEFT($A793,3) &amp; RIGHT($A793,4)) + TIMEVALUE($B793), "")</f>
        <v/>
      </c>
      <c r="O793" s="33" t="str">
        <f>IF(Account!$F793&lt;&gt;"", DATEVALUE(MID($A793,4,3) &amp; LEFT($A793,3) &amp; RIGHT($A793,4)), "")</f>
        <v/>
      </c>
      <c r="P793" s="34" t="str">
        <f>IFERROR(VLOOKUP($Q793,Selection!$F:$G,2,false))</f>
        <v/>
      </c>
      <c r="Q793" s="36" t="str">
        <f>IF(AND($X793="change",$H793="EUR"),IF(AND($Z793="Crédit",$N793=$N794),$Q794,IF(AND($Z793="Débit",$N793=$N792),$Q792)),IF(OR(AND(OR($E793&lt;&gt;"",$L793=""),$M793&lt;&gt;0),$A793=""),IFERROR(VLOOKUP($E793,Selection!$E:$F,2,false)),IFERROR(VLOOKUP(SUBSTITUTE($I793,"-","",1),$K794:$Q1119,7,false),VLOOKUP($K793,$K794:$Q1119,7,false))))</f>
        <v/>
      </c>
      <c r="R793" s="34" t="str">
        <f t="shared" si="2"/>
        <v/>
      </c>
      <c r="S793" s="37" t="str">
        <f t="shared" si="3"/>
        <v/>
      </c>
      <c r="T793" s="38" t="str">
        <f t="shared" si="4"/>
        <v/>
      </c>
      <c r="U793" s="28" t="str">
        <f t="shared" si="5"/>
        <v/>
      </c>
      <c r="V793" s="39" t="str">
        <f>IFERROR(__xludf.DUMMYFUNCTION(" IF(Account!$F793&lt;&gt;"""", SPLIT(Account!$F793, "" ""), """")"),"")</f>
        <v/>
      </c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</row>
    <row r="794">
      <c r="A794" s="341"/>
      <c r="B794" s="341"/>
      <c r="C794" s="341"/>
      <c r="D794" s="341"/>
      <c r="E794" s="341"/>
      <c r="F794" s="373"/>
      <c r="G794" s="341"/>
      <c r="H794" s="341"/>
      <c r="I794" s="341"/>
      <c r="J794" s="341"/>
      <c r="K794" s="341"/>
      <c r="L794" s="26" t="str">
        <f t="shared" si="1"/>
        <v/>
      </c>
      <c r="M794" s="28" t="str">
        <f>IFERROR(__xludf.DUMMYFUNCTION("IF(Account!$F794&lt;&gt;"""", VALUE(REGEXREPLACE($I794, ""\,"", ""."")), """")"),"")</f>
        <v/>
      </c>
      <c r="N794" s="31" t="str">
        <f>IF(Account!$F794&lt;&gt;"", DATEVALUE(MID($A794,4,3) &amp; LEFT($A794,3) &amp; RIGHT($A794,4)) + TIMEVALUE($B794), "")</f>
        <v/>
      </c>
      <c r="O794" s="33" t="str">
        <f>IF(Account!$F794&lt;&gt;"", DATEVALUE(MID($A794,4,3) &amp; LEFT($A794,3) &amp; RIGHT($A794,4)), "")</f>
        <v/>
      </c>
      <c r="P794" s="34" t="str">
        <f>IFERROR(VLOOKUP($Q794,Selection!$F:$G,2,false))</f>
        <v/>
      </c>
      <c r="Q794" s="36" t="str">
        <f>IF(AND($X794="change",$H794="EUR"),IF(AND($Z794="Crédit",$N794=$N795),$Q795,IF(AND($Z794="Débit",$N794=$N793),$Q793)),IF(OR(AND(OR($E794&lt;&gt;"",$L794=""),$M794&lt;&gt;0),$A794=""),IFERROR(VLOOKUP($E794,Selection!$E:$F,2,false)),IFERROR(VLOOKUP(SUBSTITUTE($I794,"-","",1),$K795:$Q1119,7,false),VLOOKUP($K794,$K795:$Q1119,7,false))))</f>
        <v/>
      </c>
      <c r="R794" s="34" t="str">
        <f t="shared" si="2"/>
        <v/>
      </c>
      <c r="S794" s="37" t="str">
        <f t="shared" si="3"/>
        <v/>
      </c>
      <c r="T794" s="38" t="str">
        <f t="shared" si="4"/>
        <v/>
      </c>
      <c r="U794" s="28" t="str">
        <f t="shared" si="5"/>
        <v/>
      </c>
      <c r="V794" s="39" t="str">
        <f>IFERROR(__xludf.DUMMYFUNCTION(" IF(Account!$F794&lt;&gt;"""", SPLIT(Account!$F794, "" ""), """")"),"")</f>
        <v/>
      </c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</row>
    <row r="795">
      <c r="A795" s="341"/>
      <c r="B795" s="341"/>
      <c r="C795" s="341"/>
      <c r="D795" s="341"/>
      <c r="E795" s="341"/>
      <c r="F795" s="373"/>
      <c r="G795" s="341"/>
      <c r="H795" s="341"/>
      <c r="I795" s="341"/>
      <c r="J795" s="341"/>
      <c r="K795" s="341"/>
      <c r="L795" s="26" t="str">
        <f t="shared" si="1"/>
        <v/>
      </c>
      <c r="M795" s="28" t="str">
        <f>IFERROR(__xludf.DUMMYFUNCTION("IF(Account!$F795&lt;&gt;"""", VALUE(REGEXREPLACE($I795, ""\,"", ""."")), """")"),"")</f>
        <v/>
      </c>
      <c r="N795" s="31" t="str">
        <f>IF(Account!$F795&lt;&gt;"", DATEVALUE(MID($A795,4,3) &amp; LEFT($A795,3) &amp; RIGHT($A795,4)) + TIMEVALUE($B795), "")</f>
        <v/>
      </c>
      <c r="O795" s="33" t="str">
        <f>IF(Account!$F795&lt;&gt;"", DATEVALUE(MID($A795,4,3) &amp; LEFT($A795,3) &amp; RIGHT($A795,4)), "")</f>
        <v/>
      </c>
      <c r="P795" s="34" t="str">
        <f>IFERROR(VLOOKUP($Q795,Selection!$F:$G,2,false))</f>
        <v/>
      </c>
      <c r="Q795" s="36" t="str">
        <f>IF(AND($X795="change",$H795="EUR"),IF(AND($Z795="Crédit",$N795=$N796),$Q796,IF(AND($Z795="Débit",$N795=$N794),$Q794)),IF(OR(AND(OR($E795&lt;&gt;"",$L795=""),$M795&lt;&gt;0),$A795=""),IFERROR(VLOOKUP($E795,Selection!$E:$F,2,false)),IFERROR(VLOOKUP(SUBSTITUTE($I795,"-","",1),$K796:$Q1119,7,false),VLOOKUP($K795,$K796:$Q1119,7,false))))</f>
        <v/>
      </c>
      <c r="R795" s="34" t="str">
        <f t="shared" si="2"/>
        <v/>
      </c>
      <c r="S795" s="37" t="str">
        <f t="shared" si="3"/>
        <v/>
      </c>
      <c r="T795" s="38" t="str">
        <f t="shared" si="4"/>
        <v/>
      </c>
      <c r="U795" s="28" t="str">
        <f t="shared" si="5"/>
        <v/>
      </c>
      <c r="V795" s="39" t="str">
        <f>IFERROR(__xludf.DUMMYFUNCTION(" IF(Account!$F795&lt;&gt;"""", SPLIT(Account!$F795, "" ""), """")"),"")</f>
        <v/>
      </c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</row>
    <row r="796">
      <c r="A796" s="341"/>
      <c r="B796" s="341"/>
      <c r="C796" s="341"/>
      <c r="D796" s="341"/>
      <c r="E796" s="341"/>
      <c r="F796" s="373"/>
      <c r="G796" s="341"/>
      <c r="H796" s="341"/>
      <c r="I796" s="341"/>
      <c r="J796" s="341"/>
      <c r="K796" s="341"/>
      <c r="L796" s="26" t="str">
        <f t="shared" si="1"/>
        <v/>
      </c>
      <c r="M796" s="28" t="str">
        <f>IFERROR(__xludf.DUMMYFUNCTION("IF(Account!$F796&lt;&gt;"""", VALUE(REGEXREPLACE($I796, ""\,"", ""."")), """")"),"")</f>
        <v/>
      </c>
      <c r="N796" s="31" t="str">
        <f>IF(Account!$F796&lt;&gt;"", DATEVALUE(MID($A796,4,3) &amp; LEFT($A796,3) &amp; RIGHT($A796,4)) + TIMEVALUE($B796), "")</f>
        <v/>
      </c>
      <c r="O796" s="33" t="str">
        <f>IF(Account!$F796&lt;&gt;"", DATEVALUE(MID($A796,4,3) &amp; LEFT($A796,3) &amp; RIGHT($A796,4)), "")</f>
        <v/>
      </c>
      <c r="P796" s="34" t="str">
        <f>IFERROR(VLOOKUP($Q796,Selection!$F:$G,2,false))</f>
        <v/>
      </c>
      <c r="Q796" s="36" t="str">
        <f>IF(AND($X796="change",$H796="EUR"),IF(AND($Z796="Crédit",$N796=$N797),$Q797,IF(AND($Z796="Débit",$N796=$N795),$Q795)),IF(OR(AND(OR($E796&lt;&gt;"",$L796=""),$M796&lt;&gt;0),$A796=""),IFERROR(VLOOKUP($E796,Selection!$E:$F,2,false)),IFERROR(VLOOKUP(SUBSTITUTE($I796,"-","",1),$K797:$Q1119,7,false),VLOOKUP($K796,$K797:$Q1119,7,false))))</f>
        <v/>
      </c>
      <c r="R796" s="34" t="str">
        <f t="shared" si="2"/>
        <v/>
      </c>
      <c r="S796" s="37" t="str">
        <f t="shared" si="3"/>
        <v/>
      </c>
      <c r="T796" s="38" t="str">
        <f t="shared" si="4"/>
        <v/>
      </c>
      <c r="U796" s="28" t="str">
        <f t="shared" si="5"/>
        <v/>
      </c>
      <c r="V796" s="39" t="str">
        <f>IFERROR(__xludf.DUMMYFUNCTION(" IF(Account!$F796&lt;&gt;"""", SPLIT(Account!$F796, "" ""), """")"),"")</f>
        <v/>
      </c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</row>
    <row r="797">
      <c r="A797" s="341"/>
      <c r="B797" s="341"/>
      <c r="C797" s="341"/>
      <c r="D797" s="341"/>
      <c r="E797" s="341"/>
      <c r="F797" s="373"/>
      <c r="G797" s="341"/>
      <c r="H797" s="341"/>
      <c r="I797" s="341"/>
      <c r="J797" s="341"/>
      <c r="K797" s="341"/>
      <c r="L797" s="26" t="str">
        <f t="shared" si="1"/>
        <v/>
      </c>
      <c r="M797" s="28" t="str">
        <f>IFERROR(__xludf.DUMMYFUNCTION("IF(Account!$F797&lt;&gt;"""", VALUE(REGEXREPLACE($I797, ""\,"", ""."")), """")"),"")</f>
        <v/>
      </c>
      <c r="N797" s="31" t="str">
        <f>IF(Account!$F797&lt;&gt;"", DATEVALUE(MID($A797,4,3) &amp; LEFT($A797,3) &amp; RIGHT($A797,4)) + TIMEVALUE($B797), "")</f>
        <v/>
      </c>
      <c r="O797" s="33" t="str">
        <f>IF(Account!$F797&lt;&gt;"", DATEVALUE(MID($A797,4,3) &amp; LEFT($A797,3) &amp; RIGHT($A797,4)), "")</f>
        <v/>
      </c>
      <c r="P797" s="34" t="str">
        <f>IFERROR(VLOOKUP($Q797,Selection!$F:$G,2,false))</f>
        <v/>
      </c>
      <c r="Q797" s="36" t="str">
        <f>IF(AND($X797="change",$H797="EUR"),IF(AND($Z797="Crédit",$N797=$N798),$Q798,IF(AND($Z797="Débit",$N797=$N796),$Q796)),IF(OR(AND(OR($E797&lt;&gt;"",$L797=""),$M797&lt;&gt;0),$A797=""),IFERROR(VLOOKUP($E797,Selection!$E:$F,2,false)),IFERROR(VLOOKUP(SUBSTITUTE($I797,"-","",1),$K798:$Q1119,7,false),VLOOKUP($K797,$K798:$Q1119,7,false))))</f>
        <v/>
      </c>
      <c r="R797" s="34" t="str">
        <f t="shared" si="2"/>
        <v/>
      </c>
      <c r="S797" s="37" t="str">
        <f t="shared" si="3"/>
        <v/>
      </c>
      <c r="T797" s="38" t="str">
        <f t="shared" si="4"/>
        <v/>
      </c>
      <c r="U797" s="28" t="str">
        <f t="shared" si="5"/>
        <v/>
      </c>
      <c r="V797" s="39" t="str">
        <f>IFERROR(__xludf.DUMMYFUNCTION(" IF(Account!$F797&lt;&gt;"""", SPLIT(Account!$F797, "" ""), """")"),"")</f>
        <v/>
      </c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</row>
    <row r="798">
      <c r="A798" s="341"/>
      <c r="B798" s="341"/>
      <c r="C798" s="341"/>
      <c r="D798" s="341"/>
      <c r="E798" s="341"/>
      <c r="F798" s="373"/>
      <c r="G798" s="341"/>
      <c r="H798" s="341"/>
      <c r="I798" s="341"/>
      <c r="J798" s="341"/>
      <c r="K798" s="341"/>
      <c r="L798" s="26" t="str">
        <f t="shared" si="1"/>
        <v/>
      </c>
      <c r="M798" s="28" t="str">
        <f>IFERROR(__xludf.DUMMYFUNCTION("IF(Account!$F798&lt;&gt;"""", VALUE(REGEXREPLACE($I798, ""\,"", ""."")), """")"),"")</f>
        <v/>
      </c>
      <c r="N798" s="31" t="str">
        <f>IF(Account!$F798&lt;&gt;"", DATEVALUE(MID($A798,4,3) &amp; LEFT($A798,3) &amp; RIGHT($A798,4)) + TIMEVALUE($B798), "")</f>
        <v/>
      </c>
      <c r="O798" s="33" t="str">
        <f>IF(Account!$F798&lt;&gt;"", DATEVALUE(MID($A798,4,3) &amp; LEFT($A798,3) &amp; RIGHT($A798,4)), "")</f>
        <v/>
      </c>
      <c r="P798" s="34" t="str">
        <f>IFERROR(VLOOKUP($Q798,Selection!$F:$G,2,false))</f>
        <v/>
      </c>
      <c r="Q798" s="36" t="str">
        <f>IF(AND($X798="change",$H798="EUR"),IF(AND($Z798="Crédit",$N798=$N799),$Q799,IF(AND($Z798="Débit",$N798=$N797),$Q797)),IF(OR(AND(OR($E798&lt;&gt;"",$L798=""),$M798&lt;&gt;0),$A798=""),IFERROR(VLOOKUP($E798,Selection!$E:$F,2,false)),IFERROR(VLOOKUP(SUBSTITUTE($I798,"-","",1),$K799:$Q1119,7,false),VLOOKUP($K798,$K799:$Q1119,7,false))))</f>
        <v/>
      </c>
      <c r="R798" s="34" t="str">
        <f t="shared" si="2"/>
        <v/>
      </c>
      <c r="S798" s="37" t="str">
        <f t="shared" si="3"/>
        <v/>
      </c>
      <c r="T798" s="38" t="str">
        <f t="shared" si="4"/>
        <v/>
      </c>
      <c r="U798" s="28" t="str">
        <f t="shared" si="5"/>
        <v/>
      </c>
      <c r="V798" s="39" t="str">
        <f>IFERROR(__xludf.DUMMYFUNCTION(" IF(Account!$F798&lt;&gt;"""", SPLIT(Account!$F798, "" ""), """")"),"")</f>
        <v/>
      </c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</row>
    <row r="799">
      <c r="A799" s="341"/>
      <c r="B799" s="341"/>
      <c r="C799" s="341"/>
      <c r="D799" s="341"/>
      <c r="E799" s="341"/>
      <c r="F799" s="373"/>
      <c r="G799" s="341"/>
      <c r="H799" s="341"/>
      <c r="I799" s="341"/>
      <c r="J799" s="341"/>
      <c r="K799" s="341"/>
      <c r="L799" s="26" t="str">
        <f t="shared" si="1"/>
        <v/>
      </c>
      <c r="M799" s="28" t="str">
        <f>IFERROR(__xludf.DUMMYFUNCTION("IF(Account!$F799&lt;&gt;"""", VALUE(REGEXREPLACE($I799, ""\,"", ""."")), """")"),"")</f>
        <v/>
      </c>
      <c r="N799" s="31" t="str">
        <f>IF(Account!$F799&lt;&gt;"", DATEVALUE(MID($A799,4,3) &amp; LEFT($A799,3) &amp; RIGHT($A799,4)) + TIMEVALUE($B799), "")</f>
        <v/>
      </c>
      <c r="O799" s="33" t="str">
        <f>IF(Account!$F799&lt;&gt;"", DATEVALUE(MID($A799,4,3) &amp; LEFT($A799,3) &amp; RIGHT($A799,4)), "")</f>
        <v/>
      </c>
      <c r="P799" s="34" t="str">
        <f>IFERROR(VLOOKUP($Q799,Selection!$F:$G,2,false))</f>
        <v/>
      </c>
      <c r="Q799" s="36" t="str">
        <f>IF(AND($X799="change",$H799="EUR"),IF(AND($Z799="Crédit",$N799=$N800),$Q800,IF(AND($Z799="Débit",$N799=$N798),$Q798)),IF(OR(AND(OR($E799&lt;&gt;"",$L799=""),$M799&lt;&gt;0),$A799=""),IFERROR(VLOOKUP($E799,Selection!$E:$F,2,false)),IFERROR(VLOOKUP(SUBSTITUTE($I799,"-","",1),$K800:$Q1119,7,false),VLOOKUP($K799,$K800:$Q1119,7,false))))</f>
        <v/>
      </c>
      <c r="R799" s="34" t="str">
        <f t="shared" si="2"/>
        <v/>
      </c>
      <c r="S799" s="37" t="str">
        <f t="shared" si="3"/>
        <v/>
      </c>
      <c r="T799" s="38" t="str">
        <f t="shared" si="4"/>
        <v/>
      </c>
      <c r="U799" s="28" t="str">
        <f t="shared" si="5"/>
        <v/>
      </c>
      <c r="V799" s="39" t="str">
        <f>IFERROR(__xludf.DUMMYFUNCTION(" IF(Account!$F799&lt;&gt;"""", SPLIT(Account!$F799, "" ""), """")"),"")</f>
        <v/>
      </c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</row>
    <row r="800">
      <c r="A800" s="341"/>
      <c r="B800" s="341"/>
      <c r="C800" s="341"/>
      <c r="D800" s="341"/>
      <c r="E800" s="341"/>
      <c r="F800" s="373"/>
      <c r="G800" s="341"/>
      <c r="H800" s="341"/>
      <c r="I800" s="341"/>
      <c r="J800" s="341"/>
      <c r="K800" s="341"/>
      <c r="L800" s="26" t="str">
        <f t="shared" si="1"/>
        <v/>
      </c>
      <c r="M800" s="28" t="str">
        <f>IFERROR(__xludf.DUMMYFUNCTION("IF(Account!$F800&lt;&gt;"""", VALUE(REGEXREPLACE($I800, ""\,"", ""."")), """")"),"")</f>
        <v/>
      </c>
      <c r="N800" s="31" t="str">
        <f>IF(Account!$F800&lt;&gt;"", DATEVALUE(MID($A800,4,3) &amp; LEFT($A800,3) &amp; RIGHT($A800,4)) + TIMEVALUE($B800), "")</f>
        <v/>
      </c>
      <c r="O800" s="33" t="str">
        <f>IF(Account!$F800&lt;&gt;"", DATEVALUE(MID($A800,4,3) &amp; LEFT($A800,3) &amp; RIGHT($A800,4)), "")</f>
        <v/>
      </c>
      <c r="P800" s="34" t="str">
        <f>IFERROR(VLOOKUP($Q800,Selection!$F:$G,2,false))</f>
        <v/>
      </c>
      <c r="Q800" s="36" t="str">
        <f>IF(AND($X800="change",$H800="EUR"),IF(AND($Z800="Crédit",$N800=$N801),$Q801,IF(AND($Z800="Débit",$N800=$N799),$Q799)),IF(OR(AND(OR($E800&lt;&gt;"",$L800=""),$M800&lt;&gt;0),$A800=""),IFERROR(VLOOKUP($E800,Selection!$E:$F,2,false)),IFERROR(VLOOKUP(SUBSTITUTE($I800,"-","",1),$K801:$Q1119,7,false),VLOOKUP($K800,$K801:$Q1119,7,false))))</f>
        <v/>
      </c>
      <c r="R800" s="34" t="str">
        <f t="shared" si="2"/>
        <v/>
      </c>
      <c r="S800" s="37" t="str">
        <f t="shared" si="3"/>
        <v/>
      </c>
      <c r="T800" s="38" t="str">
        <f t="shared" si="4"/>
        <v/>
      </c>
      <c r="U800" s="28" t="str">
        <f t="shared" si="5"/>
        <v/>
      </c>
      <c r="V800" s="39" t="str">
        <f>IFERROR(__xludf.DUMMYFUNCTION(" IF(Account!$F800&lt;&gt;"""", SPLIT(Account!$F800, "" ""), """")"),"")</f>
        <v/>
      </c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</row>
    <row r="801">
      <c r="A801" s="341"/>
      <c r="B801" s="341"/>
      <c r="C801" s="341"/>
      <c r="D801" s="341"/>
      <c r="E801" s="341"/>
      <c r="F801" s="373"/>
      <c r="G801" s="341"/>
      <c r="H801" s="341"/>
      <c r="I801" s="341"/>
      <c r="J801" s="341"/>
      <c r="K801" s="341"/>
      <c r="L801" s="26" t="str">
        <f t="shared" si="1"/>
        <v/>
      </c>
      <c r="M801" s="28" t="str">
        <f>IFERROR(__xludf.DUMMYFUNCTION("IF(Account!$F801&lt;&gt;"""", VALUE(REGEXREPLACE($I801, ""\,"", ""."")), """")"),"")</f>
        <v/>
      </c>
      <c r="N801" s="31" t="str">
        <f>IF(Account!$F801&lt;&gt;"", DATEVALUE(MID($A801,4,3) &amp; LEFT($A801,3) &amp; RIGHT($A801,4)) + TIMEVALUE($B801), "")</f>
        <v/>
      </c>
      <c r="O801" s="33" t="str">
        <f>IF(Account!$F801&lt;&gt;"", DATEVALUE(MID($A801,4,3) &amp; LEFT($A801,3) &amp; RIGHT($A801,4)), "")</f>
        <v/>
      </c>
      <c r="P801" s="34" t="str">
        <f>IFERROR(VLOOKUP($Q801,Selection!$F:$G,2,false))</f>
        <v/>
      </c>
      <c r="Q801" s="36" t="str">
        <f>IF(AND($X801="change",$H801="EUR"),IF(AND($Z801="Crédit",$N801=$N802),$Q802,IF(AND($Z801="Débit",$N801=$N800),$Q800)),IF(OR(AND(OR($E801&lt;&gt;"",$L801=""),$M801&lt;&gt;0),$A801=""),IFERROR(VLOOKUP($E801,Selection!$E:$F,2,false)),IFERROR(VLOOKUP(SUBSTITUTE($I801,"-","",1),$K802:$Q1119,7,false),VLOOKUP($K801,$K802:$Q1119,7,false))))</f>
        <v/>
      </c>
      <c r="R801" s="34" t="str">
        <f t="shared" si="2"/>
        <v/>
      </c>
      <c r="S801" s="37" t="str">
        <f t="shared" si="3"/>
        <v/>
      </c>
      <c r="T801" s="38" t="str">
        <f t="shared" si="4"/>
        <v/>
      </c>
      <c r="U801" s="28" t="str">
        <f t="shared" si="5"/>
        <v/>
      </c>
      <c r="V801" s="39" t="str">
        <f>IFERROR(__xludf.DUMMYFUNCTION(" IF(Account!$F801&lt;&gt;"""", SPLIT(Account!$F801, "" ""), """")"),"")</f>
        <v/>
      </c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</row>
    <row r="802">
      <c r="A802" s="341"/>
      <c r="B802" s="341"/>
      <c r="C802" s="341"/>
      <c r="D802" s="341"/>
      <c r="E802" s="341"/>
      <c r="F802" s="373"/>
      <c r="G802" s="341"/>
      <c r="H802" s="341"/>
      <c r="I802" s="341"/>
      <c r="J802" s="341"/>
      <c r="K802" s="341"/>
      <c r="L802" s="26" t="str">
        <f t="shared" si="1"/>
        <v/>
      </c>
      <c r="M802" s="28" t="str">
        <f>IFERROR(__xludf.DUMMYFUNCTION("IF(Account!$F802&lt;&gt;"""", VALUE(REGEXREPLACE($I802, ""\,"", ""."")), """")"),"")</f>
        <v/>
      </c>
      <c r="N802" s="31" t="str">
        <f>IF(Account!$F802&lt;&gt;"", DATEVALUE(MID($A802,4,3) &amp; LEFT($A802,3) &amp; RIGHT($A802,4)) + TIMEVALUE($B802), "")</f>
        <v/>
      </c>
      <c r="O802" s="33" t="str">
        <f>IF(Account!$F802&lt;&gt;"", DATEVALUE(MID($A802,4,3) &amp; LEFT($A802,3) &amp; RIGHT($A802,4)), "")</f>
        <v/>
      </c>
      <c r="P802" s="34" t="str">
        <f>IFERROR(VLOOKUP($Q802,Selection!$F:$G,2,false))</f>
        <v/>
      </c>
      <c r="Q802" s="36" t="str">
        <f>IF(AND($X802="change",$H802="EUR"),IF(AND($Z802="Crédit",$N802=$N803),$Q803,IF(AND($Z802="Débit",$N802=$N801),$Q801)),IF(OR(AND(OR($E802&lt;&gt;"",$L802=""),$M802&lt;&gt;0),$A802=""),IFERROR(VLOOKUP($E802,Selection!$E:$F,2,false)),IFERROR(VLOOKUP(SUBSTITUTE($I802,"-","",1),$K803:$Q1119,7,false),VLOOKUP($K802,$K803:$Q1119,7,false))))</f>
        <v/>
      </c>
      <c r="R802" s="34" t="str">
        <f t="shared" si="2"/>
        <v/>
      </c>
      <c r="S802" s="37" t="str">
        <f t="shared" si="3"/>
        <v/>
      </c>
      <c r="T802" s="38" t="str">
        <f t="shared" si="4"/>
        <v/>
      </c>
      <c r="U802" s="28" t="str">
        <f t="shared" si="5"/>
        <v/>
      </c>
      <c r="V802" s="39" t="str">
        <f>IFERROR(__xludf.DUMMYFUNCTION(" IF(Account!$F802&lt;&gt;"""", SPLIT(Account!$F802, "" ""), """")"),"")</f>
        <v/>
      </c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</row>
    <row r="803">
      <c r="A803" s="341"/>
      <c r="B803" s="341"/>
      <c r="C803" s="341"/>
      <c r="D803" s="341"/>
      <c r="E803" s="341"/>
      <c r="F803" s="373"/>
      <c r="G803" s="341"/>
      <c r="H803" s="341"/>
      <c r="I803" s="341"/>
      <c r="J803" s="341"/>
      <c r="K803" s="341"/>
      <c r="L803" s="26" t="str">
        <f t="shared" si="1"/>
        <v/>
      </c>
      <c r="M803" s="28" t="str">
        <f>IFERROR(__xludf.DUMMYFUNCTION("IF(Account!$F803&lt;&gt;"""", VALUE(REGEXREPLACE($I803, ""\,"", ""."")), """")"),"")</f>
        <v/>
      </c>
      <c r="N803" s="31" t="str">
        <f>IF(Account!$F803&lt;&gt;"", DATEVALUE(MID($A803,4,3) &amp; LEFT($A803,3) &amp; RIGHT($A803,4)) + TIMEVALUE($B803), "")</f>
        <v/>
      </c>
      <c r="O803" s="33" t="str">
        <f>IF(Account!$F803&lt;&gt;"", DATEVALUE(MID($A803,4,3) &amp; LEFT($A803,3) &amp; RIGHT($A803,4)), "")</f>
        <v/>
      </c>
      <c r="P803" s="34" t="str">
        <f>IFERROR(VLOOKUP($Q803,Selection!$F:$G,2,false))</f>
        <v/>
      </c>
      <c r="Q803" s="36" t="str">
        <f>IF(AND($X803="change",$H803="EUR"),IF(AND($Z803="Crédit",$N803=$N804),$Q804,IF(AND($Z803="Débit",$N803=$N802),$Q802)),IF(OR(AND(OR($E803&lt;&gt;"",$L803=""),$M803&lt;&gt;0),$A803=""),IFERROR(VLOOKUP($E803,Selection!$E:$F,2,false)),IFERROR(VLOOKUP(SUBSTITUTE($I803,"-","",1),$K804:$Q1119,7,false),VLOOKUP($K803,$K804:$Q1119,7,false))))</f>
        <v/>
      </c>
      <c r="R803" s="34" t="str">
        <f t="shared" si="2"/>
        <v/>
      </c>
      <c r="S803" s="37" t="str">
        <f t="shared" si="3"/>
        <v/>
      </c>
      <c r="T803" s="38" t="str">
        <f t="shared" si="4"/>
        <v/>
      </c>
      <c r="U803" s="28" t="str">
        <f t="shared" si="5"/>
        <v/>
      </c>
      <c r="V803" s="39" t="str">
        <f>IFERROR(__xludf.DUMMYFUNCTION(" IF(Account!$F803&lt;&gt;"""", SPLIT(Account!$F803, "" ""), """")"),"")</f>
        <v/>
      </c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</row>
    <row r="804">
      <c r="A804" s="341"/>
      <c r="B804" s="341"/>
      <c r="C804" s="341"/>
      <c r="D804" s="341"/>
      <c r="E804" s="341"/>
      <c r="F804" s="373"/>
      <c r="G804" s="341"/>
      <c r="H804" s="341"/>
      <c r="I804" s="341"/>
      <c r="J804" s="341"/>
      <c r="K804" s="341"/>
      <c r="L804" s="26" t="str">
        <f t="shared" si="1"/>
        <v/>
      </c>
      <c r="M804" s="28" t="str">
        <f>IFERROR(__xludf.DUMMYFUNCTION("IF(Account!$F804&lt;&gt;"""", VALUE(REGEXREPLACE($I804, ""\,"", ""."")), """")"),"")</f>
        <v/>
      </c>
      <c r="N804" s="31" t="str">
        <f>IF(Account!$F804&lt;&gt;"", DATEVALUE(MID($A804,4,3) &amp; LEFT($A804,3) &amp; RIGHT($A804,4)) + TIMEVALUE($B804), "")</f>
        <v/>
      </c>
      <c r="O804" s="33" t="str">
        <f>IF(Account!$F804&lt;&gt;"", DATEVALUE(MID($A804,4,3) &amp; LEFT($A804,3) &amp; RIGHT($A804,4)), "")</f>
        <v/>
      </c>
      <c r="P804" s="34" t="str">
        <f>IFERROR(VLOOKUP($Q804,Selection!$F:$G,2,false))</f>
        <v/>
      </c>
      <c r="Q804" s="36" t="str">
        <f>IF(AND($X804="change",$H804="EUR"),IF(AND($Z804="Crédit",$N804=$N805),$Q805,IF(AND($Z804="Débit",$N804=$N803),$Q803)),IF(OR(AND(OR($E804&lt;&gt;"",$L804=""),$M804&lt;&gt;0),$A804=""),IFERROR(VLOOKUP($E804,Selection!$E:$F,2,false)),IFERROR(VLOOKUP(SUBSTITUTE($I804,"-","",1),$K805:$Q1119,7,false),VLOOKUP($K804,$K805:$Q1119,7,false))))</f>
        <v/>
      </c>
      <c r="R804" s="34" t="str">
        <f t="shared" si="2"/>
        <v/>
      </c>
      <c r="S804" s="37" t="str">
        <f t="shared" si="3"/>
        <v/>
      </c>
      <c r="T804" s="38" t="str">
        <f t="shared" si="4"/>
        <v/>
      </c>
      <c r="U804" s="28" t="str">
        <f t="shared" si="5"/>
        <v/>
      </c>
      <c r="V804" s="39" t="str">
        <f>IFERROR(__xludf.DUMMYFUNCTION(" IF(Account!$F804&lt;&gt;"""", SPLIT(Account!$F804, "" ""), """")"),"")</f>
        <v/>
      </c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</row>
    <row r="805">
      <c r="A805" s="341"/>
      <c r="B805" s="341"/>
      <c r="C805" s="341"/>
      <c r="D805" s="341"/>
      <c r="E805" s="341"/>
      <c r="F805" s="373"/>
      <c r="G805" s="341"/>
      <c r="H805" s="341"/>
      <c r="I805" s="341"/>
      <c r="J805" s="341"/>
      <c r="K805" s="341"/>
      <c r="L805" s="26" t="str">
        <f t="shared" si="1"/>
        <v/>
      </c>
      <c r="M805" s="28" t="str">
        <f>IFERROR(__xludf.DUMMYFUNCTION("IF(Account!$F805&lt;&gt;"""", VALUE(REGEXREPLACE($I805, ""\,"", ""."")), """")"),"")</f>
        <v/>
      </c>
      <c r="N805" s="31" t="str">
        <f>IF(Account!$F805&lt;&gt;"", DATEVALUE(MID($A805,4,3) &amp; LEFT($A805,3) &amp; RIGHT($A805,4)) + TIMEVALUE($B805), "")</f>
        <v/>
      </c>
      <c r="O805" s="33" t="str">
        <f>IF(Account!$F805&lt;&gt;"", DATEVALUE(MID($A805,4,3) &amp; LEFT($A805,3) &amp; RIGHT($A805,4)), "")</f>
        <v/>
      </c>
      <c r="P805" s="34" t="str">
        <f>IFERROR(VLOOKUP($Q805,Selection!$F:$G,2,false))</f>
        <v/>
      </c>
      <c r="Q805" s="36" t="str">
        <f>IF(AND($X805="change",$H805="EUR"),IF(AND($Z805="Crédit",$N805=$N806),$Q806,IF(AND($Z805="Débit",$N805=$N804),$Q804)),IF(OR(AND(OR($E805&lt;&gt;"",$L805=""),$M805&lt;&gt;0),$A805=""),IFERROR(VLOOKUP($E805,Selection!$E:$F,2,false)),IFERROR(VLOOKUP(SUBSTITUTE($I805,"-","",1),$K806:$Q1119,7,false),VLOOKUP($K805,$K806:$Q1119,7,false))))</f>
        <v/>
      </c>
      <c r="R805" s="34" t="str">
        <f t="shared" si="2"/>
        <v/>
      </c>
      <c r="S805" s="37" t="str">
        <f t="shared" si="3"/>
        <v/>
      </c>
      <c r="T805" s="38" t="str">
        <f t="shared" si="4"/>
        <v/>
      </c>
      <c r="U805" s="28" t="str">
        <f t="shared" si="5"/>
        <v/>
      </c>
      <c r="V805" s="39" t="str">
        <f>IFERROR(__xludf.DUMMYFUNCTION(" IF(Account!$F805&lt;&gt;"""", SPLIT(Account!$F805, "" ""), """")"),"")</f>
        <v/>
      </c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</row>
    <row r="806">
      <c r="A806" s="341"/>
      <c r="B806" s="341"/>
      <c r="C806" s="341"/>
      <c r="D806" s="341"/>
      <c r="E806" s="341"/>
      <c r="F806" s="373"/>
      <c r="G806" s="341"/>
      <c r="H806" s="341"/>
      <c r="I806" s="341"/>
      <c r="J806" s="341"/>
      <c r="K806" s="341"/>
      <c r="L806" s="26" t="str">
        <f t="shared" si="1"/>
        <v/>
      </c>
      <c r="M806" s="28" t="str">
        <f>IFERROR(__xludf.DUMMYFUNCTION("IF(Account!$F806&lt;&gt;"""", VALUE(REGEXREPLACE($I806, ""\,"", ""."")), """")"),"")</f>
        <v/>
      </c>
      <c r="N806" s="31" t="str">
        <f>IF(Account!$F806&lt;&gt;"", DATEVALUE(MID($A806,4,3) &amp; LEFT($A806,3) &amp; RIGHT($A806,4)) + TIMEVALUE($B806), "")</f>
        <v/>
      </c>
      <c r="O806" s="33" t="str">
        <f>IF(Account!$F806&lt;&gt;"", DATEVALUE(MID($A806,4,3) &amp; LEFT($A806,3) &amp; RIGHT($A806,4)), "")</f>
        <v/>
      </c>
      <c r="P806" s="34" t="str">
        <f>IFERROR(VLOOKUP($Q806,Selection!$F:$G,2,false))</f>
        <v/>
      </c>
      <c r="Q806" s="36" t="str">
        <f>IF(AND($X806="change",$H806="EUR"),IF(AND($Z806="Crédit",$N806=$N807),$Q807,IF(AND($Z806="Débit",$N806=$N805),$Q805)),IF(OR(AND(OR($E806&lt;&gt;"",$L806=""),$M806&lt;&gt;0),$A806=""),IFERROR(VLOOKUP($E806,Selection!$E:$F,2,false)),IFERROR(VLOOKUP(SUBSTITUTE($I806,"-","",1),$K807:$Q1119,7,false),VLOOKUP($K806,$K807:$Q1119,7,false))))</f>
        <v/>
      </c>
      <c r="R806" s="34" t="str">
        <f t="shared" si="2"/>
        <v/>
      </c>
      <c r="S806" s="37" t="str">
        <f t="shared" si="3"/>
        <v/>
      </c>
      <c r="T806" s="38" t="str">
        <f t="shared" si="4"/>
        <v/>
      </c>
      <c r="U806" s="28" t="str">
        <f t="shared" si="5"/>
        <v/>
      </c>
      <c r="V806" s="39" t="str">
        <f>IFERROR(__xludf.DUMMYFUNCTION(" IF(Account!$F806&lt;&gt;"""", SPLIT(Account!$F806, "" ""), """")"),"")</f>
        <v/>
      </c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</row>
    <row r="807">
      <c r="A807" s="341"/>
      <c r="B807" s="341"/>
      <c r="C807" s="341"/>
      <c r="D807" s="341"/>
      <c r="E807" s="341"/>
      <c r="F807" s="373"/>
      <c r="G807" s="341"/>
      <c r="H807" s="341"/>
      <c r="I807" s="341"/>
      <c r="J807" s="341"/>
      <c r="K807" s="341"/>
      <c r="L807" s="26" t="str">
        <f t="shared" si="1"/>
        <v/>
      </c>
      <c r="M807" s="28" t="str">
        <f>IFERROR(__xludf.DUMMYFUNCTION("IF(Account!$F807&lt;&gt;"""", VALUE(REGEXREPLACE($I807, ""\,"", ""."")), """")"),"")</f>
        <v/>
      </c>
      <c r="N807" s="31" t="str">
        <f>IF(Account!$F807&lt;&gt;"", DATEVALUE(MID($A807,4,3) &amp; LEFT($A807,3) &amp; RIGHT($A807,4)) + TIMEVALUE($B807), "")</f>
        <v/>
      </c>
      <c r="O807" s="33" t="str">
        <f>IF(Account!$F807&lt;&gt;"", DATEVALUE(MID($A807,4,3) &amp; LEFT($A807,3) &amp; RIGHT($A807,4)), "")</f>
        <v/>
      </c>
      <c r="P807" s="34" t="str">
        <f>IFERROR(VLOOKUP($Q807,Selection!$F:$G,2,false))</f>
        <v/>
      </c>
      <c r="Q807" s="36" t="str">
        <f>IF(AND($X807="change",$H807="EUR"),IF(AND($Z807="Crédit",$N807=$N808),$Q808,IF(AND($Z807="Débit",$N807=$N806),$Q806)),IF(OR(AND(OR($E807&lt;&gt;"",$L807=""),$M807&lt;&gt;0),$A807=""),IFERROR(VLOOKUP($E807,Selection!$E:$F,2,false)),IFERROR(VLOOKUP(SUBSTITUTE($I807,"-","",1),$K808:$Q1119,7,false),VLOOKUP($K807,$K808:$Q1119,7,false))))</f>
        <v/>
      </c>
      <c r="R807" s="34" t="str">
        <f t="shared" si="2"/>
        <v/>
      </c>
      <c r="S807" s="37" t="str">
        <f t="shared" si="3"/>
        <v/>
      </c>
      <c r="T807" s="38" t="str">
        <f t="shared" si="4"/>
        <v/>
      </c>
      <c r="U807" s="28" t="str">
        <f t="shared" si="5"/>
        <v/>
      </c>
      <c r="V807" s="39" t="str">
        <f>IFERROR(__xludf.DUMMYFUNCTION(" IF(Account!$F807&lt;&gt;"""", SPLIT(Account!$F807, "" ""), """")"),"")</f>
        <v/>
      </c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</row>
    <row r="808">
      <c r="A808" s="341"/>
      <c r="B808" s="341"/>
      <c r="C808" s="341"/>
      <c r="D808" s="341"/>
      <c r="E808" s="341"/>
      <c r="F808" s="373"/>
      <c r="G808" s="341"/>
      <c r="H808" s="341"/>
      <c r="I808" s="341"/>
      <c r="J808" s="341"/>
      <c r="K808" s="341"/>
      <c r="L808" s="26" t="str">
        <f t="shared" si="1"/>
        <v/>
      </c>
      <c r="M808" s="28" t="str">
        <f>IFERROR(__xludf.DUMMYFUNCTION("IF(Account!$F808&lt;&gt;"""", VALUE(REGEXREPLACE($I808, ""\,"", ""."")), """")"),"")</f>
        <v/>
      </c>
      <c r="N808" s="31" t="str">
        <f>IF(Account!$F808&lt;&gt;"", DATEVALUE(MID($A808,4,3) &amp; LEFT($A808,3) &amp; RIGHT($A808,4)) + TIMEVALUE($B808), "")</f>
        <v/>
      </c>
      <c r="O808" s="33" t="str">
        <f>IF(Account!$F808&lt;&gt;"", DATEVALUE(MID($A808,4,3) &amp; LEFT($A808,3) &amp; RIGHT($A808,4)), "")</f>
        <v/>
      </c>
      <c r="P808" s="34" t="str">
        <f>IFERROR(VLOOKUP($Q808,Selection!$F:$G,2,false))</f>
        <v/>
      </c>
      <c r="Q808" s="36" t="str">
        <f>IF(AND($X808="change",$H808="EUR"),IF(AND($Z808="Crédit",$N808=$N809),$Q809,IF(AND($Z808="Débit",$N808=$N807),$Q807)),IF(OR(AND(OR($E808&lt;&gt;"",$L808=""),$M808&lt;&gt;0),$A808=""),IFERROR(VLOOKUP($E808,Selection!$E:$F,2,false)),IFERROR(VLOOKUP(SUBSTITUTE($I808,"-","",1),$K809:$Q1119,7,false),VLOOKUP($K808,$K809:$Q1119,7,false))))</f>
        <v/>
      </c>
      <c r="R808" s="34" t="str">
        <f t="shared" si="2"/>
        <v/>
      </c>
      <c r="S808" s="37" t="str">
        <f t="shared" si="3"/>
        <v/>
      </c>
      <c r="T808" s="38" t="str">
        <f t="shared" si="4"/>
        <v/>
      </c>
      <c r="U808" s="28" t="str">
        <f t="shared" si="5"/>
        <v/>
      </c>
      <c r="V808" s="39" t="str">
        <f>IFERROR(__xludf.DUMMYFUNCTION(" IF(Account!$F808&lt;&gt;"""", SPLIT(Account!$F808, "" ""), """")"),"")</f>
        <v/>
      </c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</row>
    <row r="809">
      <c r="A809" s="341"/>
      <c r="B809" s="341"/>
      <c r="C809" s="341"/>
      <c r="D809" s="341"/>
      <c r="E809" s="341"/>
      <c r="F809" s="373"/>
      <c r="G809" s="341"/>
      <c r="H809" s="341"/>
      <c r="I809" s="341"/>
      <c r="J809" s="341"/>
      <c r="K809" s="341"/>
      <c r="L809" s="26" t="str">
        <f t="shared" si="1"/>
        <v/>
      </c>
      <c r="M809" s="28" t="str">
        <f>IFERROR(__xludf.DUMMYFUNCTION("IF(Account!$F809&lt;&gt;"""", VALUE(REGEXREPLACE($I809, ""\,"", ""."")), """")"),"")</f>
        <v/>
      </c>
      <c r="N809" s="31" t="str">
        <f>IF(Account!$F809&lt;&gt;"", DATEVALUE(MID($A809,4,3) &amp; LEFT($A809,3) &amp; RIGHT($A809,4)) + TIMEVALUE($B809), "")</f>
        <v/>
      </c>
      <c r="O809" s="33" t="str">
        <f>IF(Account!$F809&lt;&gt;"", DATEVALUE(MID($A809,4,3) &amp; LEFT($A809,3) &amp; RIGHT($A809,4)), "")</f>
        <v/>
      </c>
      <c r="P809" s="34" t="str">
        <f>IFERROR(VLOOKUP($Q809,Selection!$F:$G,2,false))</f>
        <v/>
      </c>
      <c r="Q809" s="36" t="str">
        <f>IF(AND($X809="change",$H809="EUR"),IF(AND($Z809="Crédit",$N809=$N810),$Q810,IF(AND($Z809="Débit",$N809=$N808),$Q808)),IF(OR(AND(OR($E809&lt;&gt;"",$L809=""),$M809&lt;&gt;0),$A809=""),IFERROR(VLOOKUP($E809,Selection!$E:$F,2,false)),IFERROR(VLOOKUP(SUBSTITUTE($I809,"-","",1),$K810:$Q1119,7,false),VLOOKUP($K809,$K810:$Q1119,7,false))))</f>
        <v/>
      </c>
      <c r="R809" s="34" t="str">
        <f t="shared" si="2"/>
        <v/>
      </c>
      <c r="S809" s="37" t="str">
        <f t="shared" si="3"/>
        <v/>
      </c>
      <c r="T809" s="38" t="str">
        <f t="shared" si="4"/>
        <v/>
      </c>
      <c r="U809" s="28" t="str">
        <f t="shared" si="5"/>
        <v/>
      </c>
      <c r="V809" s="39" t="str">
        <f>IFERROR(__xludf.DUMMYFUNCTION(" IF(Account!$F809&lt;&gt;"""", SPLIT(Account!$F809, "" ""), """")"),"")</f>
        <v/>
      </c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</row>
    <row r="810">
      <c r="A810" s="341"/>
      <c r="B810" s="341"/>
      <c r="C810" s="341"/>
      <c r="D810" s="341"/>
      <c r="E810" s="341"/>
      <c r="F810" s="373"/>
      <c r="G810" s="341"/>
      <c r="H810" s="341"/>
      <c r="I810" s="341"/>
      <c r="J810" s="341"/>
      <c r="K810" s="341"/>
      <c r="L810" s="26" t="str">
        <f t="shared" si="1"/>
        <v/>
      </c>
      <c r="M810" s="28" t="str">
        <f>IFERROR(__xludf.DUMMYFUNCTION("IF(Account!$F810&lt;&gt;"""", VALUE(REGEXREPLACE($I810, ""\,"", ""."")), """")"),"")</f>
        <v/>
      </c>
      <c r="N810" s="31" t="str">
        <f>IF(Account!$F810&lt;&gt;"", DATEVALUE(MID($A810,4,3) &amp; LEFT($A810,3) &amp; RIGHT($A810,4)) + TIMEVALUE($B810), "")</f>
        <v/>
      </c>
      <c r="O810" s="33" t="str">
        <f>IF(Account!$F810&lt;&gt;"", DATEVALUE(MID($A810,4,3) &amp; LEFT($A810,3) &amp; RIGHT($A810,4)), "")</f>
        <v/>
      </c>
      <c r="P810" s="34" t="str">
        <f>IFERROR(VLOOKUP($Q810,Selection!$F:$G,2,false))</f>
        <v/>
      </c>
      <c r="Q810" s="36" t="str">
        <f>IF(AND($X810="change",$H810="EUR"),IF(AND($Z810="Crédit",$N810=$N811),$Q811,IF(AND($Z810="Débit",$N810=$N809),$Q809)),IF(OR(AND(OR($E810&lt;&gt;"",$L810=""),$M810&lt;&gt;0),$A810=""),IFERROR(VLOOKUP($E810,Selection!$E:$F,2,false)),IFERROR(VLOOKUP(SUBSTITUTE($I810,"-","",1),$K811:$Q1119,7,false),VLOOKUP($K810,$K811:$Q1119,7,false))))</f>
        <v/>
      </c>
      <c r="R810" s="34" t="str">
        <f t="shared" si="2"/>
        <v/>
      </c>
      <c r="S810" s="37" t="str">
        <f t="shared" si="3"/>
        <v/>
      </c>
      <c r="T810" s="38" t="str">
        <f t="shared" si="4"/>
        <v/>
      </c>
      <c r="U810" s="28" t="str">
        <f t="shared" si="5"/>
        <v/>
      </c>
      <c r="V810" s="39" t="str">
        <f>IFERROR(__xludf.DUMMYFUNCTION(" IF(Account!$F810&lt;&gt;"""", SPLIT(Account!$F810, "" ""), """")"),"")</f>
        <v/>
      </c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</row>
    <row r="811">
      <c r="A811" s="341"/>
      <c r="B811" s="341"/>
      <c r="C811" s="341"/>
      <c r="D811" s="341"/>
      <c r="E811" s="341"/>
      <c r="F811" s="373"/>
      <c r="G811" s="341"/>
      <c r="H811" s="341"/>
      <c r="I811" s="341"/>
      <c r="J811" s="341"/>
      <c r="K811" s="341"/>
      <c r="L811" s="26" t="str">
        <f t="shared" si="1"/>
        <v/>
      </c>
      <c r="M811" s="28" t="str">
        <f>IFERROR(__xludf.DUMMYFUNCTION("IF(Account!$F811&lt;&gt;"""", VALUE(REGEXREPLACE($I811, ""\,"", ""."")), """")"),"")</f>
        <v/>
      </c>
      <c r="N811" s="31" t="str">
        <f>IF(Account!$F811&lt;&gt;"", DATEVALUE(MID($A811,4,3) &amp; LEFT($A811,3) &amp; RIGHT($A811,4)) + TIMEVALUE($B811), "")</f>
        <v/>
      </c>
      <c r="O811" s="33" t="str">
        <f>IF(Account!$F811&lt;&gt;"", DATEVALUE(MID($A811,4,3) &amp; LEFT($A811,3) &amp; RIGHT($A811,4)), "")</f>
        <v/>
      </c>
      <c r="P811" s="34" t="str">
        <f>IFERROR(VLOOKUP($Q811,Selection!$F:$G,2,false))</f>
        <v/>
      </c>
      <c r="Q811" s="36" t="str">
        <f>IF(AND($X811="change",$H811="EUR"),IF(AND($Z811="Crédit",$N811=$N812),$Q812,IF(AND($Z811="Débit",$N811=$N810),$Q810)),IF(OR(AND(OR($E811&lt;&gt;"",$L811=""),$M811&lt;&gt;0),$A811=""),IFERROR(VLOOKUP($E811,Selection!$E:$F,2,false)),IFERROR(VLOOKUP(SUBSTITUTE($I811,"-","",1),$K812:$Q1119,7,false),VLOOKUP($K811,$K812:$Q1119,7,false))))</f>
        <v/>
      </c>
      <c r="R811" s="34" t="str">
        <f t="shared" si="2"/>
        <v/>
      </c>
      <c r="S811" s="37" t="str">
        <f t="shared" si="3"/>
        <v/>
      </c>
      <c r="T811" s="38" t="str">
        <f t="shared" si="4"/>
        <v/>
      </c>
      <c r="U811" s="28" t="str">
        <f t="shared" si="5"/>
        <v/>
      </c>
      <c r="V811" s="39" t="str">
        <f>IFERROR(__xludf.DUMMYFUNCTION(" IF(Account!$F811&lt;&gt;"""", SPLIT(Account!$F811, "" ""), """")"),"")</f>
        <v/>
      </c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</row>
    <row r="812">
      <c r="A812" s="341"/>
      <c r="B812" s="341"/>
      <c r="C812" s="341"/>
      <c r="D812" s="341"/>
      <c r="E812" s="341"/>
      <c r="F812" s="373"/>
      <c r="G812" s="341"/>
      <c r="H812" s="341"/>
      <c r="I812" s="341"/>
      <c r="J812" s="341"/>
      <c r="K812" s="341"/>
      <c r="L812" s="26" t="str">
        <f t="shared" si="1"/>
        <v/>
      </c>
      <c r="M812" s="28" t="str">
        <f>IFERROR(__xludf.DUMMYFUNCTION("IF(Account!$F812&lt;&gt;"""", VALUE(REGEXREPLACE($I812, ""\,"", ""."")), """")"),"")</f>
        <v/>
      </c>
      <c r="N812" s="31" t="str">
        <f>IF(Account!$F812&lt;&gt;"", DATEVALUE(MID($A812,4,3) &amp; LEFT($A812,3) &amp; RIGHT($A812,4)) + TIMEVALUE($B812), "")</f>
        <v/>
      </c>
      <c r="O812" s="33" t="str">
        <f>IF(Account!$F812&lt;&gt;"", DATEVALUE(MID($A812,4,3) &amp; LEFT($A812,3) &amp; RIGHT($A812,4)), "")</f>
        <v/>
      </c>
      <c r="P812" s="34" t="str">
        <f>IFERROR(VLOOKUP($Q812,Selection!$F:$G,2,false))</f>
        <v/>
      </c>
      <c r="Q812" s="36" t="str">
        <f>IF(AND($X812="change",$H812="EUR"),IF(AND($Z812="Crédit",$N812=$N813),$Q813,IF(AND($Z812="Débit",$N812=$N811),$Q811)),IF(OR(AND(OR($E812&lt;&gt;"",$L812=""),$M812&lt;&gt;0),$A812=""),IFERROR(VLOOKUP($E812,Selection!$E:$F,2,false)),IFERROR(VLOOKUP(SUBSTITUTE($I812,"-","",1),$K813:$Q1119,7,false),VLOOKUP($K812,$K813:$Q1119,7,false))))</f>
        <v/>
      </c>
      <c r="R812" s="34" t="str">
        <f t="shared" si="2"/>
        <v/>
      </c>
      <c r="S812" s="37" t="str">
        <f t="shared" si="3"/>
        <v/>
      </c>
      <c r="T812" s="38" t="str">
        <f t="shared" si="4"/>
        <v/>
      </c>
      <c r="U812" s="28" t="str">
        <f t="shared" si="5"/>
        <v/>
      </c>
      <c r="V812" s="39" t="str">
        <f>IFERROR(__xludf.DUMMYFUNCTION(" IF(Account!$F812&lt;&gt;"""", SPLIT(Account!$F812, "" ""), """")"),"")</f>
        <v/>
      </c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</row>
    <row r="813">
      <c r="A813" s="341"/>
      <c r="B813" s="341"/>
      <c r="C813" s="341"/>
      <c r="D813" s="341"/>
      <c r="E813" s="341"/>
      <c r="F813" s="373"/>
      <c r="G813" s="341"/>
      <c r="H813" s="341"/>
      <c r="I813" s="341"/>
      <c r="J813" s="341"/>
      <c r="K813" s="341"/>
      <c r="L813" s="26" t="str">
        <f t="shared" si="1"/>
        <v/>
      </c>
      <c r="M813" s="28" t="str">
        <f>IFERROR(__xludf.DUMMYFUNCTION("IF(Account!$F813&lt;&gt;"""", VALUE(REGEXREPLACE($I813, ""\,"", ""."")), """")"),"")</f>
        <v/>
      </c>
      <c r="N813" s="31" t="str">
        <f>IF(Account!$F813&lt;&gt;"", DATEVALUE(MID($A813,4,3) &amp; LEFT($A813,3) &amp; RIGHT($A813,4)) + TIMEVALUE($B813), "")</f>
        <v/>
      </c>
      <c r="O813" s="33" t="str">
        <f>IF(Account!$F813&lt;&gt;"", DATEVALUE(MID($A813,4,3) &amp; LEFT($A813,3) &amp; RIGHT($A813,4)), "")</f>
        <v/>
      </c>
      <c r="P813" s="34" t="str">
        <f>IFERROR(VLOOKUP($Q813,Selection!$F:$G,2,false))</f>
        <v/>
      </c>
      <c r="Q813" s="36" t="str">
        <f>IF(AND($X813="change",$H813="EUR"),IF(AND($Z813="Crédit",$N813=$N814),$Q814,IF(AND($Z813="Débit",$N813=$N812),$Q812)),IF(OR(AND(OR($E813&lt;&gt;"",$L813=""),$M813&lt;&gt;0),$A813=""),IFERROR(VLOOKUP($E813,Selection!$E:$F,2,false)),IFERROR(VLOOKUP(SUBSTITUTE($I813,"-","",1),$K814:$Q1119,7,false),VLOOKUP($K813,$K814:$Q1119,7,false))))</f>
        <v/>
      </c>
      <c r="R813" s="34" t="str">
        <f t="shared" si="2"/>
        <v/>
      </c>
      <c r="S813" s="37" t="str">
        <f t="shared" si="3"/>
        <v/>
      </c>
      <c r="T813" s="38" t="str">
        <f t="shared" si="4"/>
        <v/>
      </c>
      <c r="U813" s="28" t="str">
        <f t="shared" si="5"/>
        <v/>
      </c>
      <c r="V813" s="39" t="str">
        <f>IFERROR(__xludf.DUMMYFUNCTION(" IF(Account!$F813&lt;&gt;"""", SPLIT(Account!$F813, "" ""), """")"),"")</f>
        <v/>
      </c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</row>
    <row r="814">
      <c r="A814" s="341"/>
      <c r="B814" s="341"/>
      <c r="C814" s="341"/>
      <c r="D814" s="341"/>
      <c r="E814" s="341"/>
      <c r="F814" s="373"/>
      <c r="G814" s="341"/>
      <c r="H814" s="341"/>
      <c r="I814" s="341"/>
      <c r="J814" s="341"/>
      <c r="K814" s="341"/>
      <c r="L814" s="26" t="str">
        <f t="shared" si="1"/>
        <v/>
      </c>
      <c r="M814" s="28" t="str">
        <f>IFERROR(__xludf.DUMMYFUNCTION("IF(Account!$F814&lt;&gt;"""", VALUE(REGEXREPLACE($I814, ""\,"", ""."")), """")"),"")</f>
        <v/>
      </c>
      <c r="N814" s="31" t="str">
        <f>IF(Account!$F814&lt;&gt;"", DATEVALUE(MID($A814,4,3) &amp; LEFT($A814,3) &amp; RIGHT($A814,4)) + TIMEVALUE($B814), "")</f>
        <v/>
      </c>
      <c r="O814" s="33" t="str">
        <f>IF(Account!$F814&lt;&gt;"", DATEVALUE(MID($A814,4,3) &amp; LEFT($A814,3) &amp; RIGHT($A814,4)), "")</f>
        <v/>
      </c>
      <c r="P814" s="34" t="str">
        <f>IFERROR(VLOOKUP($Q814,Selection!$F:$G,2,false))</f>
        <v/>
      </c>
      <c r="Q814" s="36" t="str">
        <f>IF(AND($X814="change",$H814="EUR"),IF(AND($Z814="Crédit",$N814=$N815),$Q815,IF(AND($Z814="Débit",$N814=$N813),$Q813)),IF(OR(AND(OR($E814&lt;&gt;"",$L814=""),$M814&lt;&gt;0),$A814=""),IFERROR(VLOOKUP($E814,Selection!$E:$F,2,false)),IFERROR(VLOOKUP(SUBSTITUTE($I814,"-","",1),$K815:$Q1119,7,false),VLOOKUP($K814,$K815:$Q1119,7,false))))</f>
        <v/>
      </c>
      <c r="R814" s="34" t="str">
        <f t="shared" si="2"/>
        <v/>
      </c>
      <c r="S814" s="37" t="str">
        <f t="shared" si="3"/>
        <v/>
      </c>
      <c r="T814" s="38" t="str">
        <f t="shared" si="4"/>
        <v/>
      </c>
      <c r="U814" s="28" t="str">
        <f t="shared" si="5"/>
        <v/>
      </c>
      <c r="V814" s="39" t="str">
        <f>IFERROR(__xludf.DUMMYFUNCTION(" IF(Account!$F814&lt;&gt;"""", SPLIT(Account!$F814, "" ""), """")"),"")</f>
        <v/>
      </c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</row>
    <row r="815">
      <c r="A815" s="341"/>
      <c r="B815" s="341"/>
      <c r="C815" s="341"/>
      <c r="D815" s="341"/>
      <c r="E815" s="341"/>
      <c r="F815" s="373"/>
      <c r="G815" s="341"/>
      <c r="H815" s="341"/>
      <c r="I815" s="341"/>
      <c r="J815" s="341"/>
      <c r="K815" s="341"/>
      <c r="L815" s="26" t="str">
        <f t="shared" si="1"/>
        <v/>
      </c>
      <c r="M815" s="28" t="str">
        <f>IFERROR(__xludf.DUMMYFUNCTION("IF(Account!$F815&lt;&gt;"""", VALUE(REGEXREPLACE($I815, ""\,"", ""."")), """")"),"")</f>
        <v/>
      </c>
      <c r="N815" s="31" t="str">
        <f>IF(Account!$F815&lt;&gt;"", DATEVALUE(MID($A815,4,3) &amp; LEFT($A815,3) &amp; RIGHT($A815,4)) + TIMEVALUE($B815), "")</f>
        <v/>
      </c>
      <c r="O815" s="33" t="str">
        <f>IF(Account!$F815&lt;&gt;"", DATEVALUE(MID($A815,4,3) &amp; LEFT($A815,3) &amp; RIGHT($A815,4)), "")</f>
        <v/>
      </c>
      <c r="P815" s="34" t="str">
        <f>IFERROR(VLOOKUP($Q815,Selection!$F:$G,2,false))</f>
        <v/>
      </c>
      <c r="Q815" s="36" t="str">
        <f>IF(AND($X815="change",$H815="EUR"),IF(AND($Z815="Crédit",$N815=$N816),$Q816,IF(AND($Z815="Débit",$N815=$N814),$Q814)),IF(OR(AND(OR($E815&lt;&gt;"",$L815=""),$M815&lt;&gt;0),$A815=""),IFERROR(VLOOKUP($E815,Selection!$E:$F,2,false)),IFERROR(VLOOKUP(SUBSTITUTE($I815,"-","",1),$K816:$Q1119,7,false),VLOOKUP($K815,$K816:$Q1119,7,false))))</f>
        <v/>
      </c>
      <c r="R815" s="34" t="str">
        <f t="shared" si="2"/>
        <v/>
      </c>
      <c r="S815" s="37" t="str">
        <f t="shared" si="3"/>
        <v/>
      </c>
      <c r="T815" s="38" t="str">
        <f t="shared" si="4"/>
        <v/>
      </c>
      <c r="U815" s="28" t="str">
        <f t="shared" si="5"/>
        <v/>
      </c>
      <c r="V815" s="39" t="str">
        <f>IFERROR(__xludf.DUMMYFUNCTION(" IF(Account!$F815&lt;&gt;"""", SPLIT(Account!$F815, "" ""), """")"),"")</f>
        <v/>
      </c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</row>
    <row r="816">
      <c r="A816" s="341"/>
      <c r="B816" s="341"/>
      <c r="C816" s="341"/>
      <c r="D816" s="341"/>
      <c r="E816" s="341"/>
      <c r="F816" s="373"/>
      <c r="G816" s="341"/>
      <c r="H816" s="341"/>
      <c r="I816" s="341"/>
      <c r="J816" s="341"/>
      <c r="K816" s="341"/>
      <c r="L816" s="26" t="str">
        <f t="shared" si="1"/>
        <v/>
      </c>
      <c r="M816" s="28" t="str">
        <f>IFERROR(__xludf.DUMMYFUNCTION("IF(Account!$F816&lt;&gt;"""", VALUE(REGEXREPLACE($I816, ""\,"", ""."")), """")"),"")</f>
        <v/>
      </c>
      <c r="N816" s="31" t="str">
        <f>IF(Account!$F816&lt;&gt;"", DATEVALUE(MID($A816,4,3) &amp; LEFT($A816,3) &amp; RIGHT($A816,4)) + TIMEVALUE($B816), "")</f>
        <v/>
      </c>
      <c r="O816" s="33" t="str">
        <f>IF(Account!$F816&lt;&gt;"", DATEVALUE(MID($A816,4,3) &amp; LEFT($A816,3) &amp; RIGHT($A816,4)), "")</f>
        <v/>
      </c>
      <c r="P816" s="34" t="str">
        <f>IFERROR(VLOOKUP($Q816,Selection!$F:$G,2,false))</f>
        <v/>
      </c>
      <c r="Q816" s="36" t="str">
        <f>IF(AND($X816="change",$H816="EUR"),IF(AND($Z816="Crédit",$N816=$N817),$Q817,IF(AND($Z816="Débit",$N816=$N815),$Q815)),IF(OR(AND(OR($E816&lt;&gt;"",$L816=""),$M816&lt;&gt;0),$A816=""),IFERROR(VLOOKUP($E816,Selection!$E:$F,2,false)),IFERROR(VLOOKUP(SUBSTITUTE($I816,"-","",1),$K817:$Q1119,7,false),VLOOKUP($K816,$K817:$Q1119,7,false))))</f>
        <v/>
      </c>
      <c r="R816" s="34" t="str">
        <f t="shared" si="2"/>
        <v/>
      </c>
      <c r="S816" s="37" t="str">
        <f t="shared" si="3"/>
        <v/>
      </c>
      <c r="T816" s="38" t="str">
        <f t="shared" si="4"/>
        <v/>
      </c>
      <c r="U816" s="28" t="str">
        <f t="shared" si="5"/>
        <v/>
      </c>
      <c r="V816" s="39" t="str">
        <f>IFERROR(__xludf.DUMMYFUNCTION(" IF(Account!$F816&lt;&gt;"""", SPLIT(Account!$F816, "" ""), """")"),"")</f>
        <v/>
      </c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</row>
    <row r="817">
      <c r="A817" s="341"/>
      <c r="B817" s="341"/>
      <c r="C817" s="341"/>
      <c r="D817" s="341"/>
      <c r="E817" s="341"/>
      <c r="F817" s="373"/>
      <c r="G817" s="341"/>
      <c r="H817" s="341"/>
      <c r="I817" s="341"/>
      <c r="J817" s="341"/>
      <c r="K817" s="341"/>
      <c r="L817" s="26" t="str">
        <f t="shared" si="1"/>
        <v/>
      </c>
      <c r="M817" s="28" t="str">
        <f>IFERROR(__xludf.DUMMYFUNCTION("IF(Account!$F817&lt;&gt;"""", VALUE(REGEXREPLACE($I817, ""\,"", ""."")), """")"),"")</f>
        <v/>
      </c>
      <c r="N817" s="31" t="str">
        <f>IF(Account!$F817&lt;&gt;"", DATEVALUE(MID($A817,4,3) &amp; LEFT($A817,3) &amp; RIGHT($A817,4)) + TIMEVALUE($B817), "")</f>
        <v/>
      </c>
      <c r="O817" s="33" t="str">
        <f>IF(Account!$F817&lt;&gt;"", DATEVALUE(MID($A817,4,3) &amp; LEFT($A817,3) &amp; RIGHT($A817,4)), "")</f>
        <v/>
      </c>
      <c r="P817" s="34" t="str">
        <f>IFERROR(VLOOKUP($Q817,Selection!$F:$G,2,false))</f>
        <v/>
      </c>
      <c r="Q817" s="36" t="str">
        <f>IF(AND($X817="change",$H817="EUR"),IF(AND($Z817="Crédit",$N817=$N818),$Q818,IF(AND($Z817="Débit",$N817=$N816),$Q816)),IF(OR(AND(OR($E817&lt;&gt;"",$L817=""),$M817&lt;&gt;0),$A817=""),IFERROR(VLOOKUP($E817,Selection!$E:$F,2,false)),IFERROR(VLOOKUP(SUBSTITUTE($I817,"-","",1),$K818:$Q1119,7,false),VLOOKUP($K817,$K818:$Q1119,7,false))))</f>
        <v/>
      </c>
      <c r="R817" s="34" t="str">
        <f t="shared" si="2"/>
        <v/>
      </c>
      <c r="S817" s="37" t="str">
        <f t="shared" si="3"/>
        <v/>
      </c>
      <c r="T817" s="38" t="str">
        <f t="shared" si="4"/>
        <v/>
      </c>
      <c r="U817" s="28" t="str">
        <f t="shared" si="5"/>
        <v/>
      </c>
      <c r="V817" s="39" t="str">
        <f>IFERROR(__xludf.DUMMYFUNCTION(" IF(Account!$F817&lt;&gt;"""", SPLIT(Account!$F817, "" ""), """")"),"")</f>
        <v/>
      </c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</row>
    <row r="818">
      <c r="A818" s="341"/>
      <c r="B818" s="341"/>
      <c r="C818" s="341"/>
      <c r="D818" s="341"/>
      <c r="E818" s="341"/>
      <c r="F818" s="373"/>
      <c r="G818" s="341"/>
      <c r="H818" s="341"/>
      <c r="I818" s="341"/>
      <c r="J818" s="341"/>
      <c r="K818" s="341"/>
      <c r="L818" s="26" t="str">
        <f t="shared" si="1"/>
        <v/>
      </c>
      <c r="M818" s="28" t="str">
        <f>IFERROR(__xludf.DUMMYFUNCTION("IF(Account!$F818&lt;&gt;"""", VALUE(REGEXREPLACE($I818, ""\,"", ""."")), """")"),"")</f>
        <v/>
      </c>
      <c r="N818" s="31" t="str">
        <f>IF(Account!$F818&lt;&gt;"", DATEVALUE(MID($A818,4,3) &amp; LEFT($A818,3) &amp; RIGHT($A818,4)) + TIMEVALUE($B818), "")</f>
        <v/>
      </c>
      <c r="O818" s="33" t="str">
        <f>IF(Account!$F818&lt;&gt;"", DATEVALUE(MID($A818,4,3) &amp; LEFT($A818,3) &amp; RIGHT($A818,4)), "")</f>
        <v/>
      </c>
      <c r="P818" s="34" t="str">
        <f>IFERROR(VLOOKUP($Q818,Selection!$F:$G,2,false))</f>
        <v/>
      </c>
      <c r="Q818" s="36" t="str">
        <f>IF(AND($X818="change",$H818="EUR"),IF(AND($Z818="Crédit",$N818=$N819),$Q819,IF(AND($Z818="Débit",$N818=$N817),$Q817)),IF(OR(AND(OR($E818&lt;&gt;"",$L818=""),$M818&lt;&gt;0),$A818=""),IFERROR(VLOOKUP($E818,Selection!$E:$F,2,false)),IFERROR(VLOOKUP(SUBSTITUTE($I818,"-","",1),$K819:$Q1119,7,false),VLOOKUP($K818,$K819:$Q1119,7,false))))</f>
        <v/>
      </c>
      <c r="R818" s="34" t="str">
        <f t="shared" si="2"/>
        <v/>
      </c>
      <c r="S818" s="37" t="str">
        <f t="shared" si="3"/>
        <v/>
      </c>
      <c r="T818" s="38" t="str">
        <f t="shared" si="4"/>
        <v/>
      </c>
      <c r="U818" s="28" t="str">
        <f t="shared" si="5"/>
        <v/>
      </c>
      <c r="V818" s="39" t="str">
        <f>IFERROR(__xludf.DUMMYFUNCTION(" IF(Account!$F818&lt;&gt;"""", SPLIT(Account!$F818, "" ""), """")"),"")</f>
        <v/>
      </c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</row>
    <row r="819">
      <c r="A819" s="341"/>
      <c r="B819" s="341"/>
      <c r="C819" s="341"/>
      <c r="D819" s="341"/>
      <c r="E819" s="341"/>
      <c r="F819" s="373"/>
      <c r="G819" s="341"/>
      <c r="H819" s="341"/>
      <c r="I819" s="341"/>
      <c r="J819" s="341"/>
      <c r="K819" s="341"/>
      <c r="L819" s="26" t="str">
        <f t="shared" si="1"/>
        <v/>
      </c>
      <c r="M819" s="28" t="str">
        <f>IFERROR(__xludf.DUMMYFUNCTION("IF(Account!$F819&lt;&gt;"""", VALUE(REGEXREPLACE($I819, ""\,"", ""."")), """")"),"")</f>
        <v/>
      </c>
      <c r="N819" s="31" t="str">
        <f>IF(Account!$F819&lt;&gt;"", DATEVALUE(MID($A819,4,3) &amp; LEFT($A819,3) &amp; RIGHT($A819,4)) + TIMEVALUE($B819), "")</f>
        <v/>
      </c>
      <c r="O819" s="33" t="str">
        <f>IF(Account!$F819&lt;&gt;"", DATEVALUE(MID($A819,4,3) &amp; LEFT($A819,3) &amp; RIGHT($A819,4)), "")</f>
        <v/>
      </c>
      <c r="P819" s="34" t="str">
        <f>IFERROR(VLOOKUP($Q819,Selection!$F:$G,2,false))</f>
        <v/>
      </c>
      <c r="Q819" s="36" t="str">
        <f>IF(AND($X819="change",$H819="EUR"),IF(AND($Z819="Crédit",$N819=$N820),$Q820,IF(AND($Z819="Débit",$N819=$N818),$Q818)),IF(OR(AND(OR($E819&lt;&gt;"",$L819=""),$M819&lt;&gt;0),$A819=""),IFERROR(VLOOKUP($E819,Selection!$E:$F,2,false)),IFERROR(VLOOKUP(SUBSTITUTE($I819,"-","",1),$K820:$Q1119,7,false),VLOOKUP($K819,$K820:$Q1119,7,false))))</f>
        <v/>
      </c>
      <c r="R819" s="34" t="str">
        <f t="shared" si="2"/>
        <v/>
      </c>
      <c r="S819" s="37" t="str">
        <f t="shared" si="3"/>
        <v/>
      </c>
      <c r="T819" s="38" t="str">
        <f t="shared" si="4"/>
        <v/>
      </c>
      <c r="U819" s="28" t="str">
        <f t="shared" si="5"/>
        <v/>
      </c>
      <c r="V819" s="39" t="str">
        <f>IFERROR(__xludf.DUMMYFUNCTION(" IF(Account!$F819&lt;&gt;"""", SPLIT(Account!$F819, "" ""), """")"),"")</f>
        <v/>
      </c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</row>
    <row r="820">
      <c r="A820" s="341"/>
      <c r="B820" s="341"/>
      <c r="C820" s="341"/>
      <c r="D820" s="341"/>
      <c r="E820" s="341"/>
      <c r="F820" s="373"/>
      <c r="G820" s="341"/>
      <c r="H820" s="341"/>
      <c r="I820" s="341"/>
      <c r="J820" s="341"/>
      <c r="K820" s="341"/>
      <c r="L820" s="26" t="str">
        <f t="shared" si="1"/>
        <v/>
      </c>
      <c r="M820" s="28" t="str">
        <f>IFERROR(__xludf.DUMMYFUNCTION("IF(Account!$F820&lt;&gt;"""", VALUE(REGEXREPLACE($I820, ""\,"", ""."")), """")"),"")</f>
        <v/>
      </c>
      <c r="N820" s="31" t="str">
        <f>IF(Account!$F820&lt;&gt;"", DATEVALUE(MID($A820,4,3) &amp; LEFT($A820,3) &amp; RIGHT($A820,4)) + TIMEVALUE($B820), "")</f>
        <v/>
      </c>
      <c r="O820" s="33" t="str">
        <f>IF(Account!$F820&lt;&gt;"", DATEVALUE(MID($A820,4,3) &amp; LEFT($A820,3) &amp; RIGHT($A820,4)), "")</f>
        <v/>
      </c>
      <c r="P820" s="34" t="str">
        <f>IFERROR(VLOOKUP($Q820,Selection!$F:$G,2,false))</f>
        <v/>
      </c>
      <c r="Q820" s="36" t="str">
        <f>IF(AND($X820="change",$H820="EUR"),IF(AND($Z820="Crédit",$N820=$N821),$Q821,IF(AND($Z820="Débit",$N820=$N819),$Q819)),IF(OR(AND(OR($E820&lt;&gt;"",$L820=""),$M820&lt;&gt;0),$A820=""),IFERROR(VLOOKUP($E820,Selection!$E:$F,2,false)),IFERROR(VLOOKUP(SUBSTITUTE($I820,"-","",1),$K821:$Q1119,7,false),VLOOKUP($K820,$K821:$Q1119,7,false))))</f>
        <v/>
      </c>
      <c r="R820" s="34" t="str">
        <f t="shared" si="2"/>
        <v/>
      </c>
      <c r="S820" s="37" t="str">
        <f t="shared" si="3"/>
        <v/>
      </c>
      <c r="T820" s="38" t="str">
        <f t="shared" si="4"/>
        <v/>
      </c>
      <c r="U820" s="28" t="str">
        <f t="shared" si="5"/>
        <v/>
      </c>
      <c r="V820" s="39" t="str">
        <f>IFERROR(__xludf.DUMMYFUNCTION(" IF(Account!$F820&lt;&gt;"""", SPLIT(Account!$F820, "" ""), """")"),"")</f>
        <v/>
      </c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</row>
    <row r="821">
      <c r="A821" s="341"/>
      <c r="B821" s="341"/>
      <c r="C821" s="341"/>
      <c r="D821" s="341"/>
      <c r="E821" s="341"/>
      <c r="F821" s="373"/>
      <c r="G821" s="341"/>
      <c r="H821" s="341"/>
      <c r="I821" s="341"/>
      <c r="J821" s="341"/>
      <c r="K821" s="341"/>
      <c r="L821" s="26" t="str">
        <f t="shared" si="1"/>
        <v/>
      </c>
      <c r="M821" s="28" t="str">
        <f>IFERROR(__xludf.DUMMYFUNCTION("IF(Account!$F821&lt;&gt;"""", VALUE(REGEXREPLACE($I821, ""\,"", ""."")), """")"),"")</f>
        <v/>
      </c>
      <c r="N821" s="31" t="str">
        <f>IF(Account!$F821&lt;&gt;"", DATEVALUE(MID($A821,4,3) &amp; LEFT($A821,3) &amp; RIGHT($A821,4)) + TIMEVALUE($B821), "")</f>
        <v/>
      </c>
      <c r="O821" s="33" t="str">
        <f>IF(Account!$F821&lt;&gt;"", DATEVALUE(MID($A821,4,3) &amp; LEFT($A821,3) &amp; RIGHT($A821,4)), "")</f>
        <v/>
      </c>
      <c r="P821" s="34" t="str">
        <f>IFERROR(VLOOKUP($Q821,Selection!$F:$G,2,false))</f>
        <v/>
      </c>
      <c r="Q821" s="36" t="str">
        <f>IF(AND($X821="change",$H821="EUR"),IF(AND($Z821="Crédit",$N821=$N822),$Q822,IF(AND($Z821="Débit",$N821=$N820),$Q820)),IF(OR(AND(OR($E821&lt;&gt;"",$L821=""),$M821&lt;&gt;0),$A821=""),IFERROR(VLOOKUP($E821,Selection!$E:$F,2,false)),IFERROR(VLOOKUP(SUBSTITUTE($I821,"-","",1),$K822:$Q1119,7,false),VLOOKUP($K821,$K822:$Q1119,7,false))))</f>
        <v/>
      </c>
      <c r="R821" s="34" t="str">
        <f t="shared" si="2"/>
        <v/>
      </c>
      <c r="S821" s="37" t="str">
        <f t="shared" si="3"/>
        <v/>
      </c>
      <c r="T821" s="38" t="str">
        <f t="shared" si="4"/>
        <v/>
      </c>
      <c r="U821" s="28" t="str">
        <f t="shared" si="5"/>
        <v/>
      </c>
      <c r="V821" s="39" t="str">
        <f>IFERROR(__xludf.DUMMYFUNCTION(" IF(Account!$F821&lt;&gt;"""", SPLIT(Account!$F821, "" ""), """")"),"")</f>
        <v/>
      </c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</row>
    <row r="822">
      <c r="A822" s="341"/>
      <c r="B822" s="341"/>
      <c r="C822" s="341"/>
      <c r="D822" s="341"/>
      <c r="E822" s="341"/>
      <c r="F822" s="373"/>
      <c r="G822" s="341"/>
      <c r="H822" s="341"/>
      <c r="I822" s="341"/>
      <c r="J822" s="341"/>
      <c r="K822" s="341"/>
      <c r="L822" s="26" t="str">
        <f t="shared" si="1"/>
        <v/>
      </c>
      <c r="M822" s="28" t="str">
        <f>IFERROR(__xludf.DUMMYFUNCTION("IF(Account!$F822&lt;&gt;"""", VALUE(REGEXREPLACE($I822, ""\,"", ""."")), """")"),"")</f>
        <v/>
      </c>
      <c r="N822" s="31" t="str">
        <f>IF(Account!$F822&lt;&gt;"", DATEVALUE(MID($A822,4,3) &amp; LEFT($A822,3) &amp; RIGHT($A822,4)) + TIMEVALUE($B822), "")</f>
        <v/>
      </c>
      <c r="O822" s="33" t="str">
        <f>IF(Account!$F822&lt;&gt;"", DATEVALUE(MID($A822,4,3) &amp; LEFT($A822,3) &amp; RIGHT($A822,4)), "")</f>
        <v/>
      </c>
      <c r="P822" s="34" t="str">
        <f>IFERROR(VLOOKUP($Q822,Selection!$F:$G,2,false))</f>
        <v/>
      </c>
      <c r="Q822" s="36" t="str">
        <f>IF(AND($X822="change",$H822="EUR"),IF(AND($Z822="Crédit",$N822=$N823),$Q823,IF(AND($Z822="Débit",$N822=$N821),$Q821)),IF(OR(AND(OR($E822&lt;&gt;"",$L822=""),$M822&lt;&gt;0),$A822=""),IFERROR(VLOOKUP($E822,Selection!$E:$F,2,false)),IFERROR(VLOOKUP(SUBSTITUTE($I822,"-","",1),$K823:$Q1119,7,false),VLOOKUP($K822,$K823:$Q1119,7,false))))</f>
        <v/>
      </c>
      <c r="R822" s="34" t="str">
        <f t="shared" si="2"/>
        <v/>
      </c>
      <c r="S822" s="37" t="str">
        <f t="shared" si="3"/>
        <v/>
      </c>
      <c r="T822" s="38" t="str">
        <f t="shared" si="4"/>
        <v/>
      </c>
      <c r="U822" s="28" t="str">
        <f t="shared" si="5"/>
        <v/>
      </c>
      <c r="V822" s="39" t="str">
        <f>IFERROR(__xludf.DUMMYFUNCTION(" IF(Account!$F822&lt;&gt;"""", SPLIT(Account!$F822, "" ""), """")"),"")</f>
        <v/>
      </c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</row>
    <row r="823">
      <c r="A823" s="341"/>
      <c r="B823" s="341"/>
      <c r="C823" s="341"/>
      <c r="D823" s="341"/>
      <c r="E823" s="341"/>
      <c r="F823" s="373"/>
      <c r="G823" s="341"/>
      <c r="H823" s="341"/>
      <c r="I823" s="341"/>
      <c r="J823" s="341"/>
      <c r="K823" s="341"/>
      <c r="L823" s="26" t="str">
        <f t="shared" si="1"/>
        <v/>
      </c>
      <c r="M823" s="28" t="str">
        <f>IFERROR(__xludf.DUMMYFUNCTION("IF(Account!$F823&lt;&gt;"""", VALUE(REGEXREPLACE($I823, ""\,"", ""."")), """")"),"")</f>
        <v/>
      </c>
      <c r="N823" s="31" t="str">
        <f>IF(Account!$F823&lt;&gt;"", DATEVALUE(MID($A823,4,3) &amp; LEFT($A823,3) &amp; RIGHT($A823,4)) + TIMEVALUE($B823), "")</f>
        <v/>
      </c>
      <c r="O823" s="33" t="str">
        <f>IF(Account!$F823&lt;&gt;"", DATEVALUE(MID($A823,4,3) &amp; LEFT($A823,3) &amp; RIGHT($A823,4)), "")</f>
        <v/>
      </c>
      <c r="P823" s="34" t="str">
        <f>IFERROR(VLOOKUP($Q823,Selection!$F:$G,2,false))</f>
        <v/>
      </c>
      <c r="Q823" s="36" t="str">
        <f>IF(AND($X823="change",$H823="EUR"),IF(AND($Z823="Crédit",$N823=$N824),$Q824,IF(AND($Z823="Débit",$N823=$N822),$Q822)),IF(OR(AND(OR($E823&lt;&gt;"",$L823=""),$M823&lt;&gt;0),$A823=""),IFERROR(VLOOKUP($E823,Selection!$E:$F,2,false)),IFERROR(VLOOKUP(SUBSTITUTE($I823,"-","",1),$K824:$Q1119,7,false),VLOOKUP($K823,$K824:$Q1119,7,false))))</f>
        <v/>
      </c>
      <c r="R823" s="34" t="str">
        <f t="shared" si="2"/>
        <v/>
      </c>
      <c r="S823" s="37" t="str">
        <f t="shared" si="3"/>
        <v/>
      </c>
      <c r="T823" s="38" t="str">
        <f t="shared" si="4"/>
        <v/>
      </c>
      <c r="U823" s="28" t="str">
        <f t="shared" si="5"/>
        <v/>
      </c>
      <c r="V823" s="39" t="str">
        <f>IFERROR(__xludf.DUMMYFUNCTION(" IF(Account!$F823&lt;&gt;"""", SPLIT(Account!$F823, "" ""), """")"),"")</f>
        <v/>
      </c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</row>
    <row r="824">
      <c r="A824" s="341"/>
      <c r="B824" s="341"/>
      <c r="C824" s="341"/>
      <c r="D824" s="341"/>
      <c r="E824" s="341"/>
      <c r="F824" s="373"/>
      <c r="G824" s="341"/>
      <c r="H824" s="341"/>
      <c r="I824" s="341"/>
      <c r="J824" s="341"/>
      <c r="K824" s="341"/>
      <c r="L824" s="26" t="str">
        <f t="shared" si="1"/>
        <v/>
      </c>
      <c r="M824" s="28" t="str">
        <f>IFERROR(__xludf.DUMMYFUNCTION("IF(Account!$F824&lt;&gt;"""", VALUE(REGEXREPLACE($I824, ""\,"", ""."")), """")"),"")</f>
        <v/>
      </c>
      <c r="N824" s="31" t="str">
        <f>IF(Account!$F824&lt;&gt;"", DATEVALUE(MID($A824,4,3) &amp; LEFT($A824,3) &amp; RIGHT($A824,4)) + TIMEVALUE($B824), "")</f>
        <v/>
      </c>
      <c r="O824" s="33" t="str">
        <f>IF(Account!$F824&lt;&gt;"", DATEVALUE(MID($A824,4,3) &amp; LEFT($A824,3) &amp; RIGHT($A824,4)), "")</f>
        <v/>
      </c>
      <c r="P824" s="34" t="str">
        <f>IFERROR(VLOOKUP($Q824,Selection!$F:$G,2,false))</f>
        <v/>
      </c>
      <c r="Q824" s="36" t="str">
        <f>IF(AND($X824="change",$H824="EUR"),IF(AND($Z824="Crédit",$N824=$N825),$Q825,IF(AND($Z824="Débit",$N824=$N823),$Q823)),IF(OR(AND(OR($E824&lt;&gt;"",$L824=""),$M824&lt;&gt;0),$A824=""),IFERROR(VLOOKUP($E824,Selection!$E:$F,2,false)),IFERROR(VLOOKUP(SUBSTITUTE($I824,"-","",1),$K825:$Q1119,7,false),VLOOKUP($K824,$K825:$Q1119,7,false))))</f>
        <v/>
      </c>
      <c r="R824" s="34" t="str">
        <f t="shared" si="2"/>
        <v/>
      </c>
      <c r="S824" s="37" t="str">
        <f t="shared" si="3"/>
        <v/>
      </c>
      <c r="T824" s="38" t="str">
        <f t="shared" si="4"/>
        <v/>
      </c>
      <c r="U824" s="28" t="str">
        <f t="shared" si="5"/>
        <v/>
      </c>
      <c r="V824" s="39" t="str">
        <f>IFERROR(__xludf.DUMMYFUNCTION(" IF(Account!$F824&lt;&gt;"""", SPLIT(Account!$F824, "" ""), """")"),"")</f>
        <v/>
      </c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</row>
    <row r="825">
      <c r="A825" s="341"/>
      <c r="B825" s="341"/>
      <c r="C825" s="341"/>
      <c r="D825" s="341"/>
      <c r="E825" s="341"/>
      <c r="F825" s="373"/>
      <c r="G825" s="341"/>
      <c r="H825" s="341"/>
      <c r="I825" s="341"/>
      <c r="J825" s="341"/>
      <c r="K825" s="341"/>
      <c r="L825" s="26" t="str">
        <f t="shared" si="1"/>
        <v/>
      </c>
      <c r="M825" s="28" t="str">
        <f>IFERROR(__xludf.DUMMYFUNCTION("IF(Account!$F825&lt;&gt;"""", VALUE(REGEXREPLACE($I825, ""\,"", ""."")), """")"),"")</f>
        <v/>
      </c>
      <c r="N825" s="31" t="str">
        <f>IF(Account!$F825&lt;&gt;"", DATEVALUE(MID($A825,4,3) &amp; LEFT($A825,3) &amp; RIGHT($A825,4)) + TIMEVALUE($B825), "")</f>
        <v/>
      </c>
      <c r="O825" s="33" t="str">
        <f>IF(Account!$F825&lt;&gt;"", DATEVALUE(MID($A825,4,3) &amp; LEFT($A825,3) &amp; RIGHT($A825,4)), "")</f>
        <v/>
      </c>
      <c r="P825" s="34" t="str">
        <f>IFERROR(VLOOKUP($Q825,Selection!$F:$G,2,false))</f>
        <v/>
      </c>
      <c r="Q825" s="36" t="str">
        <f>IF(AND($X825="change",$H825="EUR"),IF(AND($Z825="Crédit",$N825=$N826),$Q826,IF(AND($Z825="Débit",$N825=$N824),$Q824)),IF(OR(AND(OR($E825&lt;&gt;"",$L825=""),$M825&lt;&gt;0),$A825=""),IFERROR(VLOOKUP($E825,Selection!$E:$F,2,false)),IFERROR(VLOOKUP(SUBSTITUTE($I825,"-","",1),$K826:$Q1119,7,false),VLOOKUP($K825,$K826:$Q1119,7,false))))</f>
        <v/>
      </c>
      <c r="R825" s="34" t="str">
        <f t="shared" si="2"/>
        <v/>
      </c>
      <c r="S825" s="37" t="str">
        <f t="shared" si="3"/>
        <v/>
      </c>
      <c r="T825" s="38" t="str">
        <f t="shared" si="4"/>
        <v/>
      </c>
      <c r="U825" s="28" t="str">
        <f t="shared" si="5"/>
        <v/>
      </c>
      <c r="V825" s="39" t="str">
        <f>IFERROR(__xludf.DUMMYFUNCTION(" IF(Account!$F825&lt;&gt;"""", SPLIT(Account!$F825, "" ""), """")"),"")</f>
        <v/>
      </c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</row>
    <row r="826">
      <c r="A826" s="341"/>
      <c r="B826" s="341"/>
      <c r="C826" s="341"/>
      <c r="D826" s="341"/>
      <c r="E826" s="341"/>
      <c r="F826" s="373"/>
      <c r="G826" s="341"/>
      <c r="H826" s="341"/>
      <c r="I826" s="341"/>
      <c r="J826" s="341"/>
      <c r="K826" s="341"/>
      <c r="L826" s="26" t="str">
        <f t="shared" si="1"/>
        <v/>
      </c>
      <c r="M826" s="28" t="str">
        <f>IFERROR(__xludf.DUMMYFUNCTION("IF(Account!$F826&lt;&gt;"""", VALUE(REGEXREPLACE($I826, ""\,"", ""."")), """")"),"")</f>
        <v/>
      </c>
      <c r="N826" s="31" t="str">
        <f>IF(Account!$F826&lt;&gt;"", DATEVALUE(MID($A826,4,3) &amp; LEFT($A826,3) &amp; RIGHT($A826,4)) + TIMEVALUE($B826), "")</f>
        <v/>
      </c>
      <c r="O826" s="33" t="str">
        <f>IF(Account!$F826&lt;&gt;"", DATEVALUE(MID($A826,4,3) &amp; LEFT($A826,3) &amp; RIGHT($A826,4)), "")</f>
        <v/>
      </c>
      <c r="P826" s="34" t="str">
        <f>IFERROR(VLOOKUP($Q826,Selection!$F:$G,2,false))</f>
        <v/>
      </c>
      <c r="Q826" s="36" t="str">
        <f>IF(AND($X826="change",$H826="EUR"),IF(AND($Z826="Crédit",$N826=$N827),$Q827,IF(AND($Z826="Débit",$N826=$N825),$Q825)),IF(OR(AND(OR($E826&lt;&gt;"",$L826=""),$M826&lt;&gt;0),$A826=""),IFERROR(VLOOKUP($E826,Selection!$E:$F,2,false)),IFERROR(VLOOKUP(SUBSTITUTE($I826,"-","",1),$K827:$Q1119,7,false),VLOOKUP($K826,$K827:$Q1119,7,false))))</f>
        <v/>
      </c>
      <c r="R826" s="34" t="str">
        <f t="shared" si="2"/>
        <v/>
      </c>
      <c r="S826" s="37" t="str">
        <f t="shared" si="3"/>
        <v/>
      </c>
      <c r="T826" s="38" t="str">
        <f t="shared" si="4"/>
        <v/>
      </c>
      <c r="U826" s="28" t="str">
        <f t="shared" si="5"/>
        <v/>
      </c>
      <c r="V826" s="39" t="str">
        <f>IFERROR(__xludf.DUMMYFUNCTION(" IF(Account!$F826&lt;&gt;"""", SPLIT(Account!$F826, "" ""), """")"),"")</f>
        <v/>
      </c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</row>
    <row r="827">
      <c r="A827" s="341"/>
      <c r="B827" s="341"/>
      <c r="C827" s="341"/>
      <c r="D827" s="341"/>
      <c r="E827" s="341"/>
      <c r="F827" s="373"/>
      <c r="G827" s="341"/>
      <c r="H827" s="341"/>
      <c r="I827" s="341"/>
      <c r="J827" s="341"/>
      <c r="K827" s="341"/>
      <c r="L827" s="26" t="str">
        <f t="shared" si="1"/>
        <v/>
      </c>
      <c r="M827" s="28" t="str">
        <f>IFERROR(__xludf.DUMMYFUNCTION("IF(Account!$F827&lt;&gt;"""", VALUE(REGEXREPLACE($I827, ""\,"", ""."")), """")"),"")</f>
        <v/>
      </c>
      <c r="N827" s="31" t="str">
        <f>IF(Account!$F827&lt;&gt;"", DATEVALUE(MID($A827,4,3) &amp; LEFT($A827,3) &amp; RIGHT($A827,4)) + TIMEVALUE($B827), "")</f>
        <v/>
      </c>
      <c r="O827" s="33" t="str">
        <f>IF(Account!$F827&lt;&gt;"", DATEVALUE(MID($A827,4,3) &amp; LEFT($A827,3) &amp; RIGHT($A827,4)), "")</f>
        <v/>
      </c>
      <c r="P827" s="34" t="str">
        <f>IFERROR(VLOOKUP($Q827,Selection!$F:$G,2,false))</f>
        <v/>
      </c>
      <c r="Q827" s="36" t="str">
        <f>IF(AND($X827="change",$H827="EUR"),IF(AND($Z827="Crédit",$N827=$N828),$Q828,IF(AND($Z827="Débit",$N827=$N826),$Q826)),IF(OR(AND(OR($E827&lt;&gt;"",$L827=""),$M827&lt;&gt;0),$A827=""),IFERROR(VLOOKUP($E827,Selection!$E:$F,2,false)),IFERROR(VLOOKUP(SUBSTITUTE($I827,"-","",1),$K828:$Q1119,7,false),VLOOKUP($K827,$K828:$Q1119,7,false))))</f>
        <v/>
      </c>
      <c r="R827" s="34" t="str">
        <f t="shared" si="2"/>
        <v/>
      </c>
      <c r="S827" s="37" t="str">
        <f t="shared" si="3"/>
        <v/>
      </c>
      <c r="T827" s="38" t="str">
        <f t="shared" si="4"/>
        <v/>
      </c>
      <c r="U827" s="28" t="str">
        <f t="shared" si="5"/>
        <v/>
      </c>
      <c r="V827" s="39" t="str">
        <f>IFERROR(__xludf.DUMMYFUNCTION(" IF(Account!$F827&lt;&gt;"""", SPLIT(Account!$F827, "" ""), """")"),"")</f>
        <v/>
      </c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</row>
    <row r="828">
      <c r="A828" s="341"/>
      <c r="B828" s="341"/>
      <c r="C828" s="341"/>
      <c r="D828" s="341"/>
      <c r="E828" s="341"/>
      <c r="F828" s="373"/>
      <c r="G828" s="341"/>
      <c r="H828" s="341"/>
      <c r="I828" s="341"/>
      <c r="J828" s="341"/>
      <c r="K828" s="341"/>
      <c r="L828" s="26" t="str">
        <f t="shared" si="1"/>
        <v/>
      </c>
      <c r="M828" s="28" t="str">
        <f>IFERROR(__xludf.DUMMYFUNCTION("IF(Account!$F828&lt;&gt;"""", VALUE(REGEXREPLACE($I828, ""\,"", ""."")), """")"),"")</f>
        <v/>
      </c>
      <c r="N828" s="31" t="str">
        <f>IF(Account!$F828&lt;&gt;"", DATEVALUE(MID($A828,4,3) &amp; LEFT($A828,3) &amp; RIGHT($A828,4)) + TIMEVALUE($B828), "")</f>
        <v/>
      </c>
      <c r="O828" s="33" t="str">
        <f>IF(Account!$F828&lt;&gt;"", DATEVALUE(MID($A828,4,3) &amp; LEFT($A828,3) &amp; RIGHT($A828,4)), "")</f>
        <v/>
      </c>
      <c r="P828" s="34" t="str">
        <f>IFERROR(VLOOKUP($Q828,Selection!$F:$G,2,false))</f>
        <v/>
      </c>
      <c r="Q828" s="36" t="str">
        <f>IF(AND($X828="change",$H828="EUR"),IF(AND($Z828="Crédit",$N828=$N829),$Q829,IF(AND($Z828="Débit",$N828=$N827),$Q827)),IF(OR(AND(OR($E828&lt;&gt;"",$L828=""),$M828&lt;&gt;0),$A828=""),IFERROR(VLOOKUP($E828,Selection!$E:$F,2,false)),IFERROR(VLOOKUP(SUBSTITUTE($I828,"-","",1),$K829:$Q1119,7,false),VLOOKUP($K828,$K829:$Q1119,7,false))))</f>
        <v/>
      </c>
      <c r="R828" s="34" t="str">
        <f t="shared" si="2"/>
        <v/>
      </c>
      <c r="S828" s="37" t="str">
        <f t="shared" si="3"/>
        <v/>
      </c>
      <c r="T828" s="38" t="str">
        <f t="shared" si="4"/>
        <v/>
      </c>
      <c r="U828" s="28" t="str">
        <f t="shared" si="5"/>
        <v/>
      </c>
      <c r="V828" s="39" t="str">
        <f>IFERROR(__xludf.DUMMYFUNCTION(" IF(Account!$F828&lt;&gt;"""", SPLIT(Account!$F828, "" ""), """")"),"")</f>
        <v/>
      </c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</row>
    <row r="829">
      <c r="A829" s="341"/>
      <c r="B829" s="341"/>
      <c r="C829" s="341"/>
      <c r="D829" s="341"/>
      <c r="E829" s="341"/>
      <c r="F829" s="373"/>
      <c r="G829" s="341"/>
      <c r="H829" s="341"/>
      <c r="I829" s="341"/>
      <c r="J829" s="341"/>
      <c r="K829" s="341"/>
      <c r="L829" s="26" t="str">
        <f t="shared" si="1"/>
        <v/>
      </c>
      <c r="M829" s="28" t="str">
        <f>IFERROR(__xludf.DUMMYFUNCTION("IF(Account!$F829&lt;&gt;"""", VALUE(REGEXREPLACE($I829, ""\,"", ""."")), """")"),"")</f>
        <v/>
      </c>
      <c r="N829" s="31" t="str">
        <f>IF(Account!$F829&lt;&gt;"", DATEVALUE(MID($A829,4,3) &amp; LEFT($A829,3) &amp; RIGHT($A829,4)) + TIMEVALUE($B829), "")</f>
        <v/>
      </c>
      <c r="O829" s="33" t="str">
        <f>IF(Account!$F829&lt;&gt;"", DATEVALUE(MID($A829,4,3) &amp; LEFT($A829,3) &amp; RIGHT($A829,4)), "")</f>
        <v/>
      </c>
      <c r="P829" s="34" t="str">
        <f>IFERROR(VLOOKUP($Q829,Selection!$F:$G,2,false))</f>
        <v/>
      </c>
      <c r="Q829" s="36" t="str">
        <f>IF(AND($X829="change",$H829="EUR"),IF(AND($Z829="Crédit",$N829=$N830),$Q830,IF(AND($Z829="Débit",$N829=$N828),$Q828)),IF(OR(AND(OR($E829&lt;&gt;"",$L829=""),$M829&lt;&gt;0),$A829=""),IFERROR(VLOOKUP($E829,Selection!$E:$F,2,false)),IFERROR(VLOOKUP(SUBSTITUTE($I829,"-","",1),$K830:$Q1119,7,false),VLOOKUP($K829,$K830:$Q1119,7,false))))</f>
        <v/>
      </c>
      <c r="R829" s="34" t="str">
        <f t="shared" si="2"/>
        <v/>
      </c>
      <c r="S829" s="37" t="str">
        <f t="shared" si="3"/>
        <v/>
      </c>
      <c r="T829" s="38" t="str">
        <f t="shared" si="4"/>
        <v/>
      </c>
      <c r="U829" s="28" t="str">
        <f t="shared" si="5"/>
        <v/>
      </c>
      <c r="V829" s="39" t="str">
        <f>IFERROR(__xludf.DUMMYFUNCTION(" IF(Account!$F829&lt;&gt;"""", SPLIT(Account!$F829, "" ""), """")"),"")</f>
        <v/>
      </c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</row>
    <row r="830">
      <c r="A830" s="341"/>
      <c r="B830" s="341"/>
      <c r="C830" s="341"/>
      <c r="D830" s="341"/>
      <c r="E830" s="341"/>
      <c r="F830" s="373"/>
      <c r="G830" s="341"/>
      <c r="H830" s="341"/>
      <c r="I830" s="341"/>
      <c r="J830" s="341"/>
      <c r="K830" s="341"/>
      <c r="L830" s="26" t="str">
        <f t="shared" si="1"/>
        <v/>
      </c>
      <c r="M830" s="28" t="str">
        <f>IFERROR(__xludf.DUMMYFUNCTION("IF(Account!$F830&lt;&gt;"""", VALUE(REGEXREPLACE($I830, ""\,"", ""."")), """")"),"")</f>
        <v/>
      </c>
      <c r="N830" s="31" t="str">
        <f>IF(Account!$F830&lt;&gt;"", DATEVALUE(MID($A830,4,3) &amp; LEFT($A830,3) &amp; RIGHT($A830,4)) + TIMEVALUE($B830), "")</f>
        <v/>
      </c>
      <c r="O830" s="33" t="str">
        <f>IF(Account!$F830&lt;&gt;"", DATEVALUE(MID($A830,4,3) &amp; LEFT($A830,3) &amp; RIGHT($A830,4)), "")</f>
        <v/>
      </c>
      <c r="P830" s="34" t="str">
        <f>IFERROR(VLOOKUP($Q830,Selection!$F:$G,2,false))</f>
        <v/>
      </c>
      <c r="Q830" s="36" t="str">
        <f>IF(AND($X830="change",$H830="EUR"),IF(AND($Z830="Crédit",$N830=$N831),$Q831,IF(AND($Z830="Débit",$N830=$N829),$Q829)),IF(OR(AND(OR($E830&lt;&gt;"",$L830=""),$M830&lt;&gt;0),$A830=""),IFERROR(VLOOKUP($E830,Selection!$E:$F,2,false)),IFERROR(VLOOKUP(SUBSTITUTE($I830,"-","",1),$K831:$Q1119,7,false),VLOOKUP($K830,$K831:$Q1119,7,false))))</f>
        <v/>
      </c>
      <c r="R830" s="34" t="str">
        <f t="shared" si="2"/>
        <v/>
      </c>
      <c r="S830" s="37" t="str">
        <f t="shared" si="3"/>
        <v/>
      </c>
      <c r="T830" s="38" t="str">
        <f t="shared" si="4"/>
        <v/>
      </c>
      <c r="U830" s="28" t="str">
        <f t="shared" si="5"/>
        <v/>
      </c>
      <c r="V830" s="39" t="str">
        <f>IFERROR(__xludf.DUMMYFUNCTION(" IF(Account!$F830&lt;&gt;"""", SPLIT(Account!$F830, "" ""), """")"),"")</f>
        <v/>
      </c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</row>
    <row r="831">
      <c r="A831" s="341"/>
      <c r="B831" s="341"/>
      <c r="C831" s="341"/>
      <c r="D831" s="341"/>
      <c r="E831" s="341"/>
      <c r="F831" s="373"/>
      <c r="G831" s="341"/>
      <c r="H831" s="341"/>
      <c r="I831" s="341"/>
      <c r="J831" s="341"/>
      <c r="K831" s="341"/>
      <c r="L831" s="26" t="str">
        <f t="shared" si="1"/>
        <v/>
      </c>
      <c r="M831" s="28" t="str">
        <f>IFERROR(__xludf.DUMMYFUNCTION("IF(Account!$F831&lt;&gt;"""", VALUE(REGEXREPLACE($I831, ""\,"", ""."")), """")"),"")</f>
        <v/>
      </c>
      <c r="N831" s="31" t="str">
        <f>IF(Account!$F831&lt;&gt;"", DATEVALUE(MID($A831,4,3) &amp; LEFT($A831,3) &amp; RIGHT($A831,4)) + TIMEVALUE($B831), "")</f>
        <v/>
      </c>
      <c r="O831" s="33" t="str">
        <f>IF(Account!$F831&lt;&gt;"", DATEVALUE(MID($A831,4,3) &amp; LEFT($A831,3) &amp; RIGHT($A831,4)), "")</f>
        <v/>
      </c>
      <c r="P831" s="34" t="str">
        <f>IFERROR(VLOOKUP($Q831,Selection!$F:$G,2,false))</f>
        <v/>
      </c>
      <c r="Q831" s="36" t="str">
        <f>IF(AND($X831="change",$H831="EUR"),IF(AND($Z831="Crédit",$N831=$N832),$Q832,IF(AND($Z831="Débit",$N831=$N830),$Q830)),IF(OR(AND(OR($E831&lt;&gt;"",$L831=""),$M831&lt;&gt;0),$A831=""),IFERROR(VLOOKUP($E831,Selection!$E:$F,2,false)),IFERROR(VLOOKUP(SUBSTITUTE($I831,"-","",1),$K832:$Q1119,7,false),VLOOKUP($K831,$K832:$Q1119,7,false))))</f>
        <v/>
      </c>
      <c r="R831" s="34" t="str">
        <f t="shared" si="2"/>
        <v/>
      </c>
      <c r="S831" s="37" t="str">
        <f t="shared" si="3"/>
        <v/>
      </c>
      <c r="T831" s="38" t="str">
        <f t="shared" si="4"/>
        <v/>
      </c>
      <c r="U831" s="28" t="str">
        <f t="shared" si="5"/>
        <v/>
      </c>
      <c r="V831" s="39" t="str">
        <f>IFERROR(__xludf.DUMMYFUNCTION(" IF(Account!$F831&lt;&gt;"""", SPLIT(Account!$F831, "" ""), """")"),"")</f>
        <v/>
      </c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</row>
    <row r="832">
      <c r="A832" s="341"/>
      <c r="B832" s="341"/>
      <c r="C832" s="341"/>
      <c r="D832" s="341"/>
      <c r="E832" s="341"/>
      <c r="F832" s="373"/>
      <c r="G832" s="341"/>
      <c r="H832" s="341"/>
      <c r="I832" s="341"/>
      <c r="J832" s="341"/>
      <c r="K832" s="341"/>
      <c r="L832" s="26" t="str">
        <f t="shared" si="1"/>
        <v/>
      </c>
      <c r="M832" s="28" t="str">
        <f>IFERROR(__xludf.DUMMYFUNCTION("IF(Account!$F832&lt;&gt;"""", VALUE(REGEXREPLACE($I832, ""\,"", ""."")), """")"),"")</f>
        <v/>
      </c>
      <c r="N832" s="31" t="str">
        <f>IF(Account!$F832&lt;&gt;"", DATEVALUE(MID($A832,4,3) &amp; LEFT($A832,3) &amp; RIGHT($A832,4)) + TIMEVALUE($B832), "")</f>
        <v/>
      </c>
      <c r="O832" s="33" t="str">
        <f>IF(Account!$F832&lt;&gt;"", DATEVALUE(MID($A832,4,3) &amp; LEFT($A832,3) &amp; RIGHT($A832,4)), "")</f>
        <v/>
      </c>
      <c r="P832" s="34" t="str">
        <f>IFERROR(VLOOKUP($Q832,Selection!$F:$G,2,false))</f>
        <v/>
      </c>
      <c r="Q832" s="36" t="str">
        <f>IF(AND($X832="change",$H832="EUR"),IF(AND($Z832="Crédit",$N832=$N833),$Q833,IF(AND($Z832="Débit",$N832=$N831),$Q831)),IF(OR(AND(OR($E832&lt;&gt;"",$L832=""),$M832&lt;&gt;0),$A832=""),IFERROR(VLOOKUP($E832,Selection!$E:$F,2,false)),IFERROR(VLOOKUP(SUBSTITUTE($I832,"-","",1),$K833:$Q1119,7,false),VLOOKUP($K832,$K833:$Q1119,7,false))))</f>
        <v/>
      </c>
      <c r="R832" s="34" t="str">
        <f t="shared" si="2"/>
        <v/>
      </c>
      <c r="S832" s="37" t="str">
        <f t="shared" si="3"/>
        <v/>
      </c>
      <c r="T832" s="38" t="str">
        <f t="shared" si="4"/>
        <v/>
      </c>
      <c r="U832" s="28" t="str">
        <f t="shared" si="5"/>
        <v/>
      </c>
      <c r="V832" s="39" t="str">
        <f>IFERROR(__xludf.DUMMYFUNCTION(" IF(Account!$F832&lt;&gt;"""", SPLIT(Account!$F832, "" ""), """")"),"")</f>
        <v/>
      </c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</row>
    <row r="833">
      <c r="A833" s="341"/>
      <c r="B833" s="341"/>
      <c r="C833" s="341"/>
      <c r="D833" s="341"/>
      <c r="E833" s="341"/>
      <c r="F833" s="373"/>
      <c r="G833" s="341"/>
      <c r="H833" s="341"/>
      <c r="I833" s="341"/>
      <c r="J833" s="341"/>
      <c r="K833" s="341"/>
      <c r="L833" s="26" t="str">
        <f t="shared" si="1"/>
        <v/>
      </c>
      <c r="M833" s="28" t="str">
        <f>IFERROR(__xludf.DUMMYFUNCTION("IF(Account!$F833&lt;&gt;"""", VALUE(REGEXREPLACE($I833, ""\,"", ""."")), """")"),"")</f>
        <v/>
      </c>
      <c r="N833" s="31" t="str">
        <f>IF(Account!$F833&lt;&gt;"", DATEVALUE(MID($A833,4,3) &amp; LEFT($A833,3) &amp; RIGHT($A833,4)) + TIMEVALUE($B833), "")</f>
        <v/>
      </c>
      <c r="O833" s="33" t="str">
        <f>IF(Account!$F833&lt;&gt;"", DATEVALUE(MID($A833,4,3) &amp; LEFT($A833,3) &amp; RIGHT($A833,4)), "")</f>
        <v/>
      </c>
      <c r="P833" s="34" t="str">
        <f>IFERROR(VLOOKUP($Q833,Selection!$F:$G,2,false))</f>
        <v/>
      </c>
      <c r="Q833" s="36" t="str">
        <f>IF(AND($X833="change",$H833="EUR"),IF(AND($Z833="Crédit",$N833=$N834),$Q834,IF(AND($Z833="Débit",$N833=$N832),$Q832)),IF(OR(AND(OR($E833&lt;&gt;"",$L833=""),$M833&lt;&gt;0),$A833=""),IFERROR(VLOOKUP($E833,Selection!$E:$F,2,false)),IFERROR(VLOOKUP(SUBSTITUTE($I833,"-","",1),$K834:$Q1119,7,false),VLOOKUP($K833,$K834:$Q1119,7,false))))</f>
        <v/>
      </c>
      <c r="R833" s="34" t="str">
        <f t="shared" si="2"/>
        <v/>
      </c>
      <c r="S833" s="37" t="str">
        <f t="shared" si="3"/>
        <v/>
      </c>
      <c r="T833" s="38" t="str">
        <f t="shared" si="4"/>
        <v/>
      </c>
      <c r="U833" s="28" t="str">
        <f t="shared" si="5"/>
        <v/>
      </c>
      <c r="V833" s="39" t="str">
        <f>IFERROR(__xludf.DUMMYFUNCTION(" IF(Account!$F833&lt;&gt;"""", SPLIT(Account!$F833, "" ""), """")"),"")</f>
        <v/>
      </c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</row>
    <row r="834">
      <c r="A834" s="341"/>
      <c r="B834" s="341"/>
      <c r="C834" s="341"/>
      <c r="D834" s="341"/>
      <c r="E834" s="341"/>
      <c r="F834" s="373"/>
      <c r="G834" s="341"/>
      <c r="H834" s="341"/>
      <c r="I834" s="341"/>
      <c r="J834" s="341"/>
      <c r="K834" s="341"/>
      <c r="L834" s="26" t="str">
        <f t="shared" si="1"/>
        <v/>
      </c>
      <c r="M834" s="28" t="str">
        <f>IFERROR(__xludf.DUMMYFUNCTION("IF(Account!$F834&lt;&gt;"""", VALUE(REGEXREPLACE($I834, ""\,"", ""."")), """")"),"")</f>
        <v/>
      </c>
      <c r="N834" s="31" t="str">
        <f>IF(Account!$F834&lt;&gt;"", DATEVALUE(MID($A834,4,3) &amp; LEFT($A834,3) &amp; RIGHT($A834,4)) + TIMEVALUE($B834), "")</f>
        <v/>
      </c>
      <c r="O834" s="33" t="str">
        <f>IF(Account!$F834&lt;&gt;"", DATEVALUE(MID($A834,4,3) &amp; LEFT($A834,3) &amp; RIGHT($A834,4)), "")</f>
        <v/>
      </c>
      <c r="P834" s="34" t="str">
        <f>IFERROR(VLOOKUP($Q834,Selection!$F:$G,2,false))</f>
        <v/>
      </c>
      <c r="Q834" s="36" t="str">
        <f>IF(AND($X834="change",$H834="EUR"),IF(AND($Z834="Crédit",$N834=$N835),$Q835,IF(AND($Z834="Débit",$N834=$N833),$Q833)),IF(OR(AND(OR($E834&lt;&gt;"",$L834=""),$M834&lt;&gt;0),$A834=""),IFERROR(VLOOKUP($E834,Selection!$E:$F,2,false)),IFERROR(VLOOKUP(SUBSTITUTE($I834,"-","",1),$K835:$Q1119,7,false),VLOOKUP($K834,$K835:$Q1119,7,false))))</f>
        <v/>
      </c>
      <c r="R834" s="34" t="str">
        <f t="shared" si="2"/>
        <v/>
      </c>
      <c r="S834" s="37" t="str">
        <f t="shared" si="3"/>
        <v/>
      </c>
      <c r="T834" s="38" t="str">
        <f t="shared" si="4"/>
        <v/>
      </c>
      <c r="U834" s="28" t="str">
        <f t="shared" si="5"/>
        <v/>
      </c>
      <c r="V834" s="39" t="str">
        <f>IFERROR(__xludf.DUMMYFUNCTION(" IF(Account!$F834&lt;&gt;"""", SPLIT(Account!$F834, "" ""), """")"),"")</f>
        <v/>
      </c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</row>
    <row r="835">
      <c r="A835" s="341"/>
      <c r="B835" s="341"/>
      <c r="C835" s="341"/>
      <c r="D835" s="341"/>
      <c r="E835" s="341"/>
      <c r="F835" s="373"/>
      <c r="G835" s="341"/>
      <c r="H835" s="341"/>
      <c r="I835" s="341"/>
      <c r="J835" s="341"/>
      <c r="K835" s="341"/>
      <c r="L835" s="26" t="str">
        <f t="shared" si="1"/>
        <v/>
      </c>
      <c r="M835" s="28" t="str">
        <f>IFERROR(__xludf.DUMMYFUNCTION("IF(Account!$F835&lt;&gt;"""", VALUE(REGEXREPLACE($I835, ""\,"", ""."")), """")"),"")</f>
        <v/>
      </c>
      <c r="N835" s="31" t="str">
        <f>IF(Account!$F835&lt;&gt;"", DATEVALUE(MID($A835,4,3) &amp; LEFT($A835,3) &amp; RIGHT($A835,4)) + TIMEVALUE($B835), "")</f>
        <v/>
      </c>
      <c r="O835" s="33" t="str">
        <f>IF(Account!$F835&lt;&gt;"", DATEVALUE(MID($A835,4,3) &amp; LEFT($A835,3) &amp; RIGHT($A835,4)), "")</f>
        <v/>
      </c>
      <c r="P835" s="34" t="str">
        <f>IFERROR(VLOOKUP($Q835,Selection!$F:$G,2,false))</f>
        <v/>
      </c>
      <c r="Q835" s="36" t="str">
        <f>IF(AND($X835="change",$H835="EUR"),IF(AND($Z835="Crédit",$N835=$N836),$Q836,IF(AND($Z835="Débit",$N835=$N834),$Q834)),IF(OR(AND(OR($E835&lt;&gt;"",$L835=""),$M835&lt;&gt;0),$A835=""),IFERROR(VLOOKUP($E835,Selection!$E:$F,2,false)),IFERROR(VLOOKUP(SUBSTITUTE($I835,"-","",1),$K836:$Q1119,7,false),VLOOKUP($K835,$K836:$Q1119,7,false))))</f>
        <v/>
      </c>
      <c r="R835" s="34" t="str">
        <f t="shared" si="2"/>
        <v/>
      </c>
      <c r="S835" s="37" t="str">
        <f t="shared" si="3"/>
        <v/>
      </c>
      <c r="T835" s="38" t="str">
        <f t="shared" si="4"/>
        <v/>
      </c>
      <c r="U835" s="28" t="str">
        <f t="shared" si="5"/>
        <v/>
      </c>
      <c r="V835" s="39" t="str">
        <f>IFERROR(__xludf.DUMMYFUNCTION(" IF(Account!$F835&lt;&gt;"""", SPLIT(Account!$F835, "" ""), """")"),"")</f>
        <v/>
      </c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</row>
    <row r="836">
      <c r="A836" s="341"/>
      <c r="B836" s="341"/>
      <c r="C836" s="341"/>
      <c r="D836" s="341"/>
      <c r="E836" s="341"/>
      <c r="F836" s="373"/>
      <c r="G836" s="341"/>
      <c r="H836" s="341"/>
      <c r="I836" s="341"/>
      <c r="J836" s="341"/>
      <c r="K836" s="341"/>
      <c r="L836" s="26" t="str">
        <f t="shared" si="1"/>
        <v/>
      </c>
      <c r="M836" s="28" t="str">
        <f>IFERROR(__xludf.DUMMYFUNCTION("IF(Account!$F836&lt;&gt;"""", VALUE(REGEXREPLACE($I836, ""\,"", ""."")), """")"),"")</f>
        <v/>
      </c>
      <c r="N836" s="31" t="str">
        <f>IF(Account!$F836&lt;&gt;"", DATEVALUE(MID($A836,4,3) &amp; LEFT($A836,3) &amp; RIGHT($A836,4)) + TIMEVALUE($B836), "")</f>
        <v/>
      </c>
      <c r="O836" s="33" t="str">
        <f>IF(Account!$F836&lt;&gt;"", DATEVALUE(MID($A836,4,3) &amp; LEFT($A836,3) &amp; RIGHT($A836,4)), "")</f>
        <v/>
      </c>
      <c r="P836" s="34" t="str">
        <f>IFERROR(VLOOKUP($Q836,Selection!$F:$G,2,false))</f>
        <v/>
      </c>
      <c r="Q836" s="36" t="str">
        <f>IF(AND($X836="change",$H836="EUR"),IF(AND($Z836="Crédit",$N836=$N837),$Q837,IF(AND($Z836="Débit",$N836=$N835),$Q835)),IF(OR(AND(OR($E836&lt;&gt;"",$L836=""),$M836&lt;&gt;0),$A836=""),IFERROR(VLOOKUP($E836,Selection!$E:$F,2,false)),IFERROR(VLOOKUP(SUBSTITUTE($I836,"-","",1),$K837:$Q1119,7,false),VLOOKUP($K836,$K837:$Q1119,7,false))))</f>
        <v/>
      </c>
      <c r="R836" s="34" t="str">
        <f t="shared" si="2"/>
        <v/>
      </c>
      <c r="S836" s="37" t="str">
        <f t="shared" si="3"/>
        <v/>
      </c>
      <c r="T836" s="38" t="str">
        <f t="shared" si="4"/>
        <v/>
      </c>
      <c r="U836" s="28" t="str">
        <f t="shared" si="5"/>
        <v/>
      </c>
      <c r="V836" s="39" t="str">
        <f>IFERROR(__xludf.DUMMYFUNCTION(" IF(Account!$F836&lt;&gt;"""", SPLIT(Account!$F836, "" ""), """")"),"")</f>
        <v/>
      </c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</row>
    <row r="837">
      <c r="A837" s="341"/>
      <c r="B837" s="341"/>
      <c r="C837" s="341"/>
      <c r="D837" s="341"/>
      <c r="E837" s="341"/>
      <c r="F837" s="373"/>
      <c r="G837" s="341"/>
      <c r="H837" s="341"/>
      <c r="I837" s="341"/>
      <c r="J837" s="341"/>
      <c r="K837" s="341"/>
      <c r="L837" s="26" t="str">
        <f t="shared" si="1"/>
        <v/>
      </c>
      <c r="M837" s="28" t="str">
        <f>IFERROR(__xludf.DUMMYFUNCTION("IF(Account!$F837&lt;&gt;"""", VALUE(REGEXREPLACE($I837, ""\,"", ""."")), """")"),"")</f>
        <v/>
      </c>
      <c r="N837" s="31" t="str">
        <f>IF(Account!$F837&lt;&gt;"", DATEVALUE(MID($A837,4,3) &amp; LEFT($A837,3) &amp; RIGHT($A837,4)) + TIMEVALUE($B837), "")</f>
        <v/>
      </c>
      <c r="O837" s="33" t="str">
        <f>IF(Account!$F837&lt;&gt;"", DATEVALUE(MID($A837,4,3) &amp; LEFT($A837,3) &amp; RIGHT($A837,4)), "")</f>
        <v/>
      </c>
      <c r="P837" s="34" t="str">
        <f>IFERROR(VLOOKUP($Q837,Selection!$F:$G,2,false))</f>
        <v/>
      </c>
      <c r="Q837" s="36" t="str">
        <f>IF(AND($X837="change",$H837="EUR"),IF(AND($Z837="Crédit",$N837=$N838),$Q838,IF(AND($Z837="Débit",$N837=$N836),$Q836)),IF(OR(AND(OR($E837&lt;&gt;"",$L837=""),$M837&lt;&gt;0),$A837=""),IFERROR(VLOOKUP($E837,Selection!$E:$F,2,false)),IFERROR(VLOOKUP(SUBSTITUTE($I837,"-","",1),$K838:$Q1119,7,false),VLOOKUP($K837,$K838:$Q1119,7,false))))</f>
        <v/>
      </c>
      <c r="R837" s="34" t="str">
        <f t="shared" si="2"/>
        <v/>
      </c>
      <c r="S837" s="37" t="str">
        <f t="shared" si="3"/>
        <v/>
      </c>
      <c r="T837" s="38" t="str">
        <f t="shared" si="4"/>
        <v/>
      </c>
      <c r="U837" s="28" t="str">
        <f t="shared" si="5"/>
        <v/>
      </c>
      <c r="V837" s="39" t="str">
        <f>IFERROR(__xludf.DUMMYFUNCTION(" IF(Account!$F837&lt;&gt;"""", SPLIT(Account!$F837, "" ""), """")"),"")</f>
        <v/>
      </c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</row>
    <row r="838">
      <c r="A838" s="341"/>
      <c r="B838" s="341"/>
      <c r="C838" s="341"/>
      <c r="D838" s="341"/>
      <c r="E838" s="341"/>
      <c r="F838" s="373"/>
      <c r="G838" s="341"/>
      <c r="H838" s="341"/>
      <c r="I838" s="341"/>
      <c r="J838" s="341"/>
      <c r="K838" s="341"/>
      <c r="L838" s="26" t="str">
        <f t="shared" si="1"/>
        <v/>
      </c>
      <c r="M838" s="28" t="str">
        <f>IFERROR(__xludf.DUMMYFUNCTION("IF(Account!$F838&lt;&gt;"""", VALUE(REGEXREPLACE($I838, ""\,"", ""."")), """")"),"")</f>
        <v/>
      </c>
      <c r="N838" s="31" t="str">
        <f>IF(Account!$F838&lt;&gt;"", DATEVALUE(MID($A838,4,3) &amp; LEFT($A838,3) &amp; RIGHT($A838,4)) + TIMEVALUE($B838), "")</f>
        <v/>
      </c>
      <c r="O838" s="33" t="str">
        <f>IF(Account!$F838&lt;&gt;"", DATEVALUE(MID($A838,4,3) &amp; LEFT($A838,3) &amp; RIGHT($A838,4)), "")</f>
        <v/>
      </c>
      <c r="P838" s="34" t="str">
        <f>IFERROR(VLOOKUP($Q838,Selection!$F:$G,2,false))</f>
        <v/>
      </c>
      <c r="Q838" s="36" t="str">
        <f>IF(AND($X838="change",$H838="EUR"),IF(AND($Z838="Crédit",$N838=$N839),$Q839,IF(AND($Z838="Débit",$N838=$N837),$Q837)),IF(OR(AND(OR($E838&lt;&gt;"",$L838=""),$M838&lt;&gt;0),$A838=""),IFERROR(VLOOKUP($E838,Selection!$E:$F,2,false)),IFERROR(VLOOKUP(SUBSTITUTE($I838,"-","",1),$K839:$Q1119,7,false),VLOOKUP($K838,$K839:$Q1119,7,false))))</f>
        <v/>
      </c>
      <c r="R838" s="34" t="str">
        <f t="shared" si="2"/>
        <v/>
      </c>
      <c r="S838" s="37" t="str">
        <f t="shared" si="3"/>
        <v/>
      </c>
      <c r="T838" s="38" t="str">
        <f t="shared" si="4"/>
        <v/>
      </c>
      <c r="U838" s="28" t="str">
        <f t="shared" si="5"/>
        <v/>
      </c>
      <c r="V838" s="39" t="str">
        <f>IFERROR(__xludf.DUMMYFUNCTION(" IF(Account!$F838&lt;&gt;"""", SPLIT(Account!$F838, "" ""), """")"),"")</f>
        <v/>
      </c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</row>
    <row r="839">
      <c r="A839" s="341"/>
      <c r="B839" s="341"/>
      <c r="C839" s="341"/>
      <c r="D839" s="341"/>
      <c r="E839" s="341"/>
      <c r="F839" s="373"/>
      <c r="G839" s="341"/>
      <c r="H839" s="341"/>
      <c r="I839" s="341"/>
      <c r="J839" s="341"/>
      <c r="K839" s="341"/>
      <c r="L839" s="26" t="str">
        <f t="shared" si="1"/>
        <v/>
      </c>
      <c r="M839" s="28" t="str">
        <f>IFERROR(__xludf.DUMMYFUNCTION("IF(Account!$F839&lt;&gt;"""", VALUE(REGEXREPLACE($I839, ""\,"", ""."")), """")"),"")</f>
        <v/>
      </c>
      <c r="N839" s="31" t="str">
        <f>IF(Account!$F839&lt;&gt;"", DATEVALUE(MID($A839,4,3) &amp; LEFT($A839,3) &amp; RIGHT($A839,4)) + TIMEVALUE($B839), "")</f>
        <v/>
      </c>
      <c r="O839" s="33" t="str">
        <f>IF(Account!$F839&lt;&gt;"", DATEVALUE(MID($A839,4,3) &amp; LEFT($A839,3) &amp; RIGHT($A839,4)), "")</f>
        <v/>
      </c>
      <c r="P839" s="34" t="str">
        <f>IFERROR(VLOOKUP($Q839,Selection!$F:$G,2,false))</f>
        <v/>
      </c>
      <c r="Q839" s="36" t="str">
        <f>IF(AND($X839="change",$H839="EUR"),IF(AND($Z839="Crédit",$N839=$N840),$Q840,IF(AND($Z839="Débit",$N839=$N838),$Q838)),IF(OR(AND(OR($E839&lt;&gt;"",$L839=""),$M839&lt;&gt;0),$A839=""),IFERROR(VLOOKUP($E839,Selection!$E:$F,2,false)),IFERROR(VLOOKUP(SUBSTITUTE($I839,"-","",1),$K840:$Q1119,7,false),VLOOKUP($K839,$K840:$Q1119,7,false))))</f>
        <v/>
      </c>
      <c r="R839" s="34" t="str">
        <f t="shared" si="2"/>
        <v/>
      </c>
      <c r="S839" s="37" t="str">
        <f t="shared" si="3"/>
        <v/>
      </c>
      <c r="T839" s="38" t="str">
        <f t="shared" si="4"/>
        <v/>
      </c>
      <c r="U839" s="28" t="str">
        <f t="shared" si="5"/>
        <v/>
      </c>
      <c r="V839" s="39" t="str">
        <f>IFERROR(__xludf.DUMMYFUNCTION(" IF(Account!$F839&lt;&gt;"""", SPLIT(Account!$F839, "" ""), """")"),"")</f>
        <v/>
      </c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</row>
    <row r="840">
      <c r="A840" s="341"/>
      <c r="B840" s="341"/>
      <c r="C840" s="341"/>
      <c r="D840" s="341"/>
      <c r="E840" s="341"/>
      <c r="F840" s="373"/>
      <c r="G840" s="341"/>
      <c r="H840" s="341"/>
      <c r="I840" s="341"/>
      <c r="J840" s="341"/>
      <c r="K840" s="341"/>
      <c r="L840" s="26" t="str">
        <f t="shared" si="1"/>
        <v/>
      </c>
      <c r="M840" s="28" t="str">
        <f>IFERROR(__xludf.DUMMYFUNCTION("IF(Account!$F840&lt;&gt;"""", VALUE(REGEXREPLACE($I840, ""\,"", ""."")), """")"),"")</f>
        <v/>
      </c>
      <c r="N840" s="31" t="str">
        <f>IF(Account!$F840&lt;&gt;"", DATEVALUE(MID($A840,4,3) &amp; LEFT($A840,3) &amp; RIGHT($A840,4)) + TIMEVALUE($B840), "")</f>
        <v/>
      </c>
      <c r="O840" s="33" t="str">
        <f>IF(Account!$F840&lt;&gt;"", DATEVALUE(MID($A840,4,3) &amp; LEFT($A840,3) &amp; RIGHT($A840,4)), "")</f>
        <v/>
      </c>
      <c r="P840" s="34" t="str">
        <f>IFERROR(VLOOKUP($Q840,Selection!$F:$G,2,false))</f>
        <v/>
      </c>
      <c r="Q840" s="36" t="str">
        <f>IF(AND($X840="change",$H840="EUR"),IF(AND($Z840="Crédit",$N840=$N841),$Q841,IF(AND($Z840="Débit",$N840=$N839),$Q839)),IF(OR(AND(OR($E840&lt;&gt;"",$L840=""),$M840&lt;&gt;0),$A840=""),IFERROR(VLOOKUP($E840,Selection!$E:$F,2,false)),IFERROR(VLOOKUP(SUBSTITUTE($I840,"-","",1),$K841:$Q1119,7,false),VLOOKUP($K840,$K841:$Q1119,7,false))))</f>
        <v/>
      </c>
      <c r="R840" s="34" t="str">
        <f t="shared" si="2"/>
        <v/>
      </c>
      <c r="S840" s="37" t="str">
        <f t="shared" si="3"/>
        <v/>
      </c>
      <c r="T840" s="38" t="str">
        <f t="shared" si="4"/>
        <v/>
      </c>
      <c r="U840" s="28" t="str">
        <f t="shared" si="5"/>
        <v/>
      </c>
      <c r="V840" s="39" t="str">
        <f>IFERROR(__xludf.DUMMYFUNCTION(" IF(Account!$F840&lt;&gt;"""", SPLIT(Account!$F840, "" ""), """")"),"")</f>
        <v/>
      </c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</row>
    <row r="841">
      <c r="A841" s="341"/>
      <c r="B841" s="341"/>
      <c r="C841" s="341"/>
      <c r="D841" s="341"/>
      <c r="E841" s="341"/>
      <c r="F841" s="373"/>
      <c r="G841" s="341"/>
      <c r="H841" s="341"/>
      <c r="I841" s="341"/>
      <c r="J841" s="341"/>
      <c r="K841" s="341"/>
      <c r="L841" s="26" t="str">
        <f t="shared" si="1"/>
        <v/>
      </c>
      <c r="M841" s="28" t="str">
        <f>IFERROR(__xludf.DUMMYFUNCTION("IF(Account!$F841&lt;&gt;"""", VALUE(REGEXREPLACE($I841, ""\,"", ""."")), """")"),"")</f>
        <v/>
      </c>
      <c r="N841" s="31" t="str">
        <f>IF(Account!$F841&lt;&gt;"", DATEVALUE(MID($A841,4,3) &amp; LEFT($A841,3) &amp; RIGHT($A841,4)) + TIMEVALUE($B841), "")</f>
        <v/>
      </c>
      <c r="O841" s="33" t="str">
        <f>IF(Account!$F841&lt;&gt;"", DATEVALUE(MID($A841,4,3) &amp; LEFT($A841,3) &amp; RIGHT($A841,4)), "")</f>
        <v/>
      </c>
      <c r="P841" s="34" t="str">
        <f>IFERROR(VLOOKUP($Q841,Selection!$F:$G,2,false))</f>
        <v/>
      </c>
      <c r="Q841" s="36" t="str">
        <f>IF(AND($X841="change",$H841="EUR"),IF(AND($Z841="Crédit",$N841=$N842),$Q842,IF(AND($Z841="Débit",$N841=$N840),$Q840)),IF(OR(AND(OR($E841&lt;&gt;"",$L841=""),$M841&lt;&gt;0),$A841=""),IFERROR(VLOOKUP($E841,Selection!$E:$F,2,false)),IFERROR(VLOOKUP(SUBSTITUTE($I841,"-","",1),$K842:$Q1119,7,false),VLOOKUP($K841,$K842:$Q1119,7,false))))</f>
        <v/>
      </c>
      <c r="R841" s="34" t="str">
        <f t="shared" si="2"/>
        <v/>
      </c>
      <c r="S841" s="37" t="str">
        <f t="shared" si="3"/>
        <v/>
      </c>
      <c r="T841" s="38" t="str">
        <f t="shared" si="4"/>
        <v/>
      </c>
      <c r="U841" s="28" t="str">
        <f t="shared" si="5"/>
        <v/>
      </c>
      <c r="V841" s="39" t="str">
        <f>IFERROR(__xludf.DUMMYFUNCTION(" IF(Account!$F841&lt;&gt;"""", SPLIT(Account!$F841, "" ""), """")"),"")</f>
        <v/>
      </c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</row>
    <row r="842">
      <c r="A842" s="341"/>
      <c r="B842" s="341"/>
      <c r="C842" s="341"/>
      <c r="D842" s="341"/>
      <c r="E842" s="341"/>
      <c r="F842" s="373"/>
      <c r="G842" s="341"/>
      <c r="H842" s="341"/>
      <c r="I842" s="341"/>
      <c r="J842" s="341"/>
      <c r="K842" s="341"/>
      <c r="L842" s="26" t="str">
        <f t="shared" si="1"/>
        <v/>
      </c>
      <c r="M842" s="28" t="str">
        <f>IFERROR(__xludf.DUMMYFUNCTION("IF(Account!$F842&lt;&gt;"""", VALUE(REGEXREPLACE($I842, ""\,"", ""."")), """")"),"")</f>
        <v/>
      </c>
      <c r="N842" s="31" t="str">
        <f>IF(Account!$F842&lt;&gt;"", DATEVALUE(MID($A842,4,3) &amp; LEFT($A842,3) &amp; RIGHT($A842,4)) + TIMEVALUE($B842), "")</f>
        <v/>
      </c>
      <c r="O842" s="33" t="str">
        <f>IF(Account!$F842&lt;&gt;"", DATEVALUE(MID($A842,4,3) &amp; LEFT($A842,3) &amp; RIGHT($A842,4)), "")</f>
        <v/>
      </c>
      <c r="P842" s="34" t="str">
        <f>IFERROR(VLOOKUP($Q842,Selection!$F:$G,2,false))</f>
        <v/>
      </c>
      <c r="Q842" s="36" t="str">
        <f>IF(AND($X842="change",$H842="EUR"),IF(AND($Z842="Crédit",$N842=$N843),$Q843,IF(AND($Z842="Débit",$N842=$N841),$Q841)),IF(OR(AND(OR($E842&lt;&gt;"",$L842=""),$M842&lt;&gt;0),$A842=""),IFERROR(VLOOKUP($E842,Selection!$E:$F,2,false)),IFERROR(VLOOKUP(SUBSTITUTE($I842,"-","",1),$K843:$Q1119,7,false),VLOOKUP($K842,$K843:$Q1119,7,false))))</f>
        <v/>
      </c>
      <c r="R842" s="34" t="str">
        <f t="shared" si="2"/>
        <v/>
      </c>
      <c r="S842" s="37" t="str">
        <f t="shared" si="3"/>
        <v/>
      </c>
      <c r="T842" s="38" t="str">
        <f t="shared" si="4"/>
        <v/>
      </c>
      <c r="U842" s="28" t="str">
        <f t="shared" si="5"/>
        <v/>
      </c>
      <c r="V842" s="39" t="str">
        <f>IFERROR(__xludf.DUMMYFUNCTION(" IF(Account!$F842&lt;&gt;"""", SPLIT(Account!$F842, "" ""), """")"),"")</f>
        <v/>
      </c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</row>
    <row r="843">
      <c r="A843" s="341"/>
      <c r="B843" s="341"/>
      <c r="C843" s="341"/>
      <c r="D843" s="341"/>
      <c r="E843" s="341"/>
      <c r="F843" s="373"/>
      <c r="G843" s="341"/>
      <c r="H843" s="341"/>
      <c r="I843" s="341"/>
      <c r="J843" s="341"/>
      <c r="K843" s="341"/>
      <c r="L843" s="26" t="str">
        <f t="shared" si="1"/>
        <v/>
      </c>
      <c r="M843" s="28" t="str">
        <f>IFERROR(__xludf.DUMMYFUNCTION("IF(Account!$F843&lt;&gt;"""", VALUE(REGEXREPLACE($I843, ""\,"", ""."")), """")"),"")</f>
        <v/>
      </c>
      <c r="N843" s="31" t="str">
        <f>IF(Account!$F843&lt;&gt;"", DATEVALUE(MID($A843,4,3) &amp; LEFT($A843,3) &amp; RIGHT($A843,4)) + TIMEVALUE($B843), "")</f>
        <v/>
      </c>
      <c r="O843" s="33" t="str">
        <f>IF(Account!$F843&lt;&gt;"", DATEVALUE(MID($A843,4,3) &amp; LEFT($A843,3) &amp; RIGHT($A843,4)), "")</f>
        <v/>
      </c>
      <c r="P843" s="34" t="str">
        <f>IFERROR(VLOOKUP($Q843,Selection!$F:$G,2,false))</f>
        <v/>
      </c>
      <c r="Q843" s="36" t="str">
        <f>IF(AND($X843="change",$H843="EUR"),IF(AND($Z843="Crédit",$N843=$N844),$Q844,IF(AND($Z843="Débit",$N843=$N842),$Q842)),IF(OR(AND(OR($E843&lt;&gt;"",$L843=""),$M843&lt;&gt;0),$A843=""),IFERROR(VLOOKUP($E843,Selection!$E:$F,2,false)),IFERROR(VLOOKUP(SUBSTITUTE($I843,"-","",1),$K844:$Q1119,7,false),VLOOKUP($K843,$K844:$Q1119,7,false))))</f>
        <v/>
      </c>
      <c r="R843" s="34" t="str">
        <f t="shared" si="2"/>
        <v/>
      </c>
      <c r="S843" s="37" t="str">
        <f t="shared" si="3"/>
        <v/>
      </c>
      <c r="T843" s="38" t="str">
        <f t="shared" si="4"/>
        <v/>
      </c>
      <c r="U843" s="28" t="str">
        <f t="shared" si="5"/>
        <v/>
      </c>
      <c r="V843" s="39" t="str">
        <f>IFERROR(__xludf.DUMMYFUNCTION(" IF(Account!$F843&lt;&gt;"""", SPLIT(Account!$F843, "" ""), """")"),"")</f>
        <v/>
      </c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</row>
    <row r="844">
      <c r="A844" s="341"/>
      <c r="B844" s="341"/>
      <c r="C844" s="341"/>
      <c r="D844" s="341"/>
      <c r="E844" s="341"/>
      <c r="F844" s="373"/>
      <c r="G844" s="341"/>
      <c r="H844" s="341"/>
      <c r="I844" s="341"/>
      <c r="J844" s="341"/>
      <c r="K844" s="341"/>
      <c r="L844" s="26" t="str">
        <f t="shared" si="1"/>
        <v/>
      </c>
      <c r="M844" s="28" t="str">
        <f>IFERROR(__xludf.DUMMYFUNCTION("IF(Account!$F844&lt;&gt;"""", VALUE(REGEXREPLACE($I844, ""\,"", ""."")), """")"),"")</f>
        <v/>
      </c>
      <c r="N844" s="31" t="str">
        <f>IF(Account!$F844&lt;&gt;"", DATEVALUE(MID($A844,4,3) &amp; LEFT($A844,3) &amp; RIGHT($A844,4)) + TIMEVALUE($B844), "")</f>
        <v/>
      </c>
      <c r="O844" s="33" t="str">
        <f>IF(Account!$F844&lt;&gt;"", DATEVALUE(MID($A844,4,3) &amp; LEFT($A844,3) &amp; RIGHT($A844,4)), "")</f>
        <v/>
      </c>
      <c r="P844" s="34" t="str">
        <f>IFERROR(VLOOKUP($Q844,Selection!$F:$G,2,false))</f>
        <v/>
      </c>
      <c r="Q844" s="36" t="str">
        <f>IF(AND($X844="change",$H844="EUR"),IF(AND($Z844="Crédit",$N844=$N845),$Q845,IF(AND($Z844="Débit",$N844=$N843),$Q843)),IF(OR(AND(OR($E844&lt;&gt;"",$L844=""),$M844&lt;&gt;0),$A844=""),IFERROR(VLOOKUP($E844,Selection!$E:$F,2,false)),IFERROR(VLOOKUP(SUBSTITUTE($I844,"-","",1),$K845:$Q1119,7,false),VLOOKUP($K844,$K845:$Q1119,7,false))))</f>
        <v/>
      </c>
      <c r="R844" s="34" t="str">
        <f t="shared" si="2"/>
        <v/>
      </c>
      <c r="S844" s="37" t="str">
        <f t="shared" si="3"/>
        <v/>
      </c>
      <c r="T844" s="38" t="str">
        <f t="shared" si="4"/>
        <v/>
      </c>
      <c r="U844" s="28" t="str">
        <f t="shared" si="5"/>
        <v/>
      </c>
      <c r="V844" s="39" t="str">
        <f>IFERROR(__xludf.DUMMYFUNCTION(" IF(Account!$F844&lt;&gt;"""", SPLIT(Account!$F844, "" ""), """")"),"")</f>
        <v/>
      </c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</row>
    <row r="845">
      <c r="A845" s="341"/>
      <c r="B845" s="341"/>
      <c r="C845" s="341"/>
      <c r="D845" s="341"/>
      <c r="E845" s="341"/>
      <c r="F845" s="373"/>
      <c r="G845" s="341"/>
      <c r="H845" s="341"/>
      <c r="I845" s="341"/>
      <c r="J845" s="341"/>
      <c r="K845" s="341"/>
      <c r="L845" s="26" t="str">
        <f t="shared" si="1"/>
        <v/>
      </c>
      <c r="M845" s="28" t="str">
        <f>IFERROR(__xludf.DUMMYFUNCTION("IF(Account!$F845&lt;&gt;"""", VALUE(REGEXREPLACE($I845, ""\,"", ""."")), """")"),"")</f>
        <v/>
      </c>
      <c r="N845" s="31" t="str">
        <f>IF(Account!$F845&lt;&gt;"", DATEVALUE(MID($A845,4,3) &amp; LEFT($A845,3) &amp; RIGHT($A845,4)) + TIMEVALUE($B845), "")</f>
        <v/>
      </c>
      <c r="O845" s="33" t="str">
        <f>IF(Account!$F845&lt;&gt;"", DATEVALUE(MID($A845,4,3) &amp; LEFT($A845,3) &amp; RIGHT($A845,4)), "")</f>
        <v/>
      </c>
      <c r="P845" s="34" t="str">
        <f>IFERROR(VLOOKUP($Q845,Selection!$F:$G,2,false))</f>
        <v/>
      </c>
      <c r="Q845" s="36" t="str">
        <f>IF(AND($X845="change",$H845="EUR"),IF(AND($Z845="Crédit",$N845=$N846),$Q846,IF(AND($Z845="Débit",$N845=$N844),$Q844)),IF(OR(AND(OR($E845&lt;&gt;"",$L845=""),$M845&lt;&gt;0),$A845=""),IFERROR(VLOOKUP($E845,Selection!$E:$F,2,false)),IFERROR(VLOOKUP(SUBSTITUTE($I845,"-","",1),$K846:$Q1119,7,false),VLOOKUP($K845,$K846:$Q1119,7,false))))</f>
        <v/>
      </c>
      <c r="R845" s="34" t="str">
        <f t="shared" si="2"/>
        <v/>
      </c>
      <c r="S845" s="37" t="str">
        <f t="shared" si="3"/>
        <v/>
      </c>
      <c r="T845" s="38" t="str">
        <f t="shared" si="4"/>
        <v/>
      </c>
      <c r="U845" s="28" t="str">
        <f t="shared" si="5"/>
        <v/>
      </c>
      <c r="V845" s="39" t="str">
        <f>IFERROR(__xludf.DUMMYFUNCTION(" IF(Account!$F845&lt;&gt;"""", SPLIT(Account!$F845, "" ""), """")"),"")</f>
        <v/>
      </c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</row>
    <row r="846">
      <c r="A846" s="341"/>
      <c r="B846" s="341"/>
      <c r="C846" s="341"/>
      <c r="D846" s="341"/>
      <c r="E846" s="341"/>
      <c r="F846" s="373"/>
      <c r="G846" s="341"/>
      <c r="H846" s="341"/>
      <c r="I846" s="341"/>
      <c r="J846" s="341"/>
      <c r="K846" s="341"/>
      <c r="L846" s="26" t="str">
        <f t="shared" si="1"/>
        <v/>
      </c>
      <c r="M846" s="28" t="str">
        <f>IFERROR(__xludf.DUMMYFUNCTION("IF(Account!$F846&lt;&gt;"""", VALUE(REGEXREPLACE($I846, ""\,"", ""."")), """")"),"")</f>
        <v/>
      </c>
      <c r="N846" s="31" t="str">
        <f>IF(Account!$F846&lt;&gt;"", DATEVALUE(MID($A846,4,3) &amp; LEFT($A846,3) &amp; RIGHT($A846,4)) + TIMEVALUE($B846), "")</f>
        <v/>
      </c>
      <c r="O846" s="33" t="str">
        <f>IF(Account!$F846&lt;&gt;"", DATEVALUE(MID($A846,4,3) &amp; LEFT($A846,3) &amp; RIGHT($A846,4)), "")</f>
        <v/>
      </c>
      <c r="P846" s="34" t="str">
        <f>IFERROR(VLOOKUP($Q846,Selection!$F:$G,2,false))</f>
        <v/>
      </c>
      <c r="Q846" s="36" t="str">
        <f>IF(AND($X846="change",$H846="EUR"),IF(AND($Z846="Crédit",$N846=$N847),$Q847,IF(AND($Z846="Débit",$N846=$N845),$Q845)),IF(OR(AND(OR($E846&lt;&gt;"",$L846=""),$M846&lt;&gt;0),$A846=""),IFERROR(VLOOKUP($E846,Selection!$E:$F,2,false)),IFERROR(VLOOKUP(SUBSTITUTE($I846,"-","",1),$K847:$Q1119,7,false),VLOOKUP($K846,$K847:$Q1119,7,false))))</f>
        <v/>
      </c>
      <c r="R846" s="34" t="str">
        <f t="shared" si="2"/>
        <v/>
      </c>
      <c r="S846" s="37" t="str">
        <f t="shared" si="3"/>
        <v/>
      </c>
      <c r="T846" s="38" t="str">
        <f t="shared" si="4"/>
        <v/>
      </c>
      <c r="U846" s="28" t="str">
        <f t="shared" si="5"/>
        <v/>
      </c>
      <c r="V846" s="39" t="str">
        <f>IFERROR(__xludf.DUMMYFUNCTION(" IF(Account!$F846&lt;&gt;"""", SPLIT(Account!$F846, "" ""), """")"),"")</f>
        <v/>
      </c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</row>
    <row r="847">
      <c r="A847" s="341"/>
      <c r="B847" s="341"/>
      <c r="C847" s="341"/>
      <c r="D847" s="341"/>
      <c r="E847" s="341"/>
      <c r="F847" s="373"/>
      <c r="G847" s="341"/>
      <c r="H847" s="341"/>
      <c r="I847" s="341"/>
      <c r="J847" s="341"/>
      <c r="K847" s="341"/>
      <c r="L847" s="26" t="str">
        <f t="shared" si="1"/>
        <v/>
      </c>
      <c r="M847" s="28" t="str">
        <f>IFERROR(__xludf.DUMMYFUNCTION("IF(Account!$F847&lt;&gt;"""", VALUE(REGEXREPLACE($I847, ""\,"", ""."")), """")"),"")</f>
        <v/>
      </c>
      <c r="N847" s="31" t="str">
        <f>IF(Account!$F847&lt;&gt;"", DATEVALUE(MID($A847,4,3) &amp; LEFT($A847,3) &amp; RIGHT($A847,4)) + TIMEVALUE($B847), "")</f>
        <v/>
      </c>
      <c r="O847" s="33" t="str">
        <f>IF(Account!$F847&lt;&gt;"", DATEVALUE(MID($A847,4,3) &amp; LEFT($A847,3) &amp; RIGHT($A847,4)), "")</f>
        <v/>
      </c>
      <c r="P847" s="34" t="str">
        <f>IFERROR(VLOOKUP($Q847,Selection!$F:$G,2,false))</f>
        <v/>
      </c>
      <c r="Q847" s="36" t="str">
        <f>IF(AND($X847="change",$H847="EUR"),IF(AND($Z847="Crédit",$N847=$N848),$Q848,IF(AND($Z847="Débit",$N847=$N846),$Q846)),IF(OR(AND(OR($E847&lt;&gt;"",$L847=""),$M847&lt;&gt;0),$A847=""),IFERROR(VLOOKUP($E847,Selection!$E:$F,2,false)),IFERROR(VLOOKUP(SUBSTITUTE($I847,"-","",1),$K848:$Q1119,7,false),VLOOKUP($K847,$K848:$Q1119,7,false))))</f>
        <v/>
      </c>
      <c r="R847" s="34" t="str">
        <f t="shared" si="2"/>
        <v/>
      </c>
      <c r="S847" s="37" t="str">
        <f t="shared" si="3"/>
        <v/>
      </c>
      <c r="T847" s="38" t="str">
        <f t="shared" si="4"/>
        <v/>
      </c>
      <c r="U847" s="28" t="str">
        <f t="shared" si="5"/>
        <v/>
      </c>
      <c r="V847" s="39" t="str">
        <f>IFERROR(__xludf.DUMMYFUNCTION(" IF(Account!$F847&lt;&gt;"""", SPLIT(Account!$F847, "" ""), """")"),"")</f>
        <v/>
      </c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</row>
    <row r="848">
      <c r="A848" s="341"/>
      <c r="B848" s="341"/>
      <c r="C848" s="341"/>
      <c r="D848" s="341"/>
      <c r="E848" s="341"/>
      <c r="F848" s="373"/>
      <c r="G848" s="341"/>
      <c r="H848" s="341"/>
      <c r="I848" s="341"/>
      <c r="J848" s="341"/>
      <c r="K848" s="341"/>
      <c r="L848" s="26" t="str">
        <f t="shared" si="1"/>
        <v/>
      </c>
      <c r="M848" s="28" t="str">
        <f>IFERROR(__xludf.DUMMYFUNCTION("IF(Account!$F848&lt;&gt;"""", VALUE(REGEXREPLACE($I848, ""\,"", ""."")), """")"),"")</f>
        <v/>
      </c>
      <c r="N848" s="31" t="str">
        <f>IF(Account!$F848&lt;&gt;"", DATEVALUE(MID($A848,4,3) &amp; LEFT($A848,3) &amp; RIGHT($A848,4)) + TIMEVALUE($B848), "")</f>
        <v/>
      </c>
      <c r="O848" s="33" t="str">
        <f>IF(Account!$F848&lt;&gt;"", DATEVALUE(MID($A848,4,3) &amp; LEFT($A848,3) &amp; RIGHT($A848,4)), "")</f>
        <v/>
      </c>
      <c r="P848" s="34" t="str">
        <f>IFERROR(VLOOKUP($Q848,Selection!$F:$G,2,false))</f>
        <v/>
      </c>
      <c r="Q848" s="36" t="str">
        <f>IF(AND($X848="change",$H848="EUR"),IF(AND($Z848="Crédit",$N848=$N849),$Q849,IF(AND($Z848="Débit",$N848=$N847),$Q847)),IF(OR(AND(OR($E848&lt;&gt;"",$L848=""),$M848&lt;&gt;0),$A848=""),IFERROR(VLOOKUP($E848,Selection!$E:$F,2,false)),IFERROR(VLOOKUP(SUBSTITUTE($I848,"-","",1),$K849:$Q1119,7,false),VLOOKUP($K848,$K849:$Q1119,7,false))))</f>
        <v/>
      </c>
      <c r="R848" s="34" t="str">
        <f t="shared" si="2"/>
        <v/>
      </c>
      <c r="S848" s="37" t="str">
        <f t="shared" si="3"/>
        <v/>
      </c>
      <c r="T848" s="38" t="str">
        <f t="shared" si="4"/>
        <v/>
      </c>
      <c r="U848" s="28" t="str">
        <f t="shared" si="5"/>
        <v/>
      </c>
      <c r="V848" s="39" t="str">
        <f>IFERROR(__xludf.DUMMYFUNCTION(" IF(Account!$F848&lt;&gt;"""", SPLIT(Account!$F848, "" ""), """")"),"")</f>
        <v/>
      </c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</row>
    <row r="849">
      <c r="A849" s="341"/>
      <c r="B849" s="341"/>
      <c r="C849" s="341"/>
      <c r="D849" s="341"/>
      <c r="E849" s="341"/>
      <c r="F849" s="373"/>
      <c r="G849" s="341"/>
      <c r="H849" s="341"/>
      <c r="I849" s="341"/>
      <c r="J849" s="341"/>
      <c r="K849" s="341"/>
      <c r="L849" s="26" t="str">
        <f t="shared" si="1"/>
        <v/>
      </c>
      <c r="M849" s="28" t="str">
        <f>IFERROR(__xludf.DUMMYFUNCTION("IF(Account!$F849&lt;&gt;"""", VALUE(REGEXREPLACE($I849, ""\,"", ""."")), """")"),"")</f>
        <v/>
      </c>
      <c r="N849" s="31" t="str">
        <f>IF(Account!$F849&lt;&gt;"", DATEVALUE(MID($A849,4,3) &amp; LEFT($A849,3) &amp; RIGHT($A849,4)) + TIMEVALUE($B849), "")</f>
        <v/>
      </c>
      <c r="O849" s="33" t="str">
        <f>IF(Account!$F849&lt;&gt;"", DATEVALUE(MID($A849,4,3) &amp; LEFT($A849,3) &amp; RIGHT($A849,4)), "")</f>
        <v/>
      </c>
      <c r="P849" s="34" t="str">
        <f>IFERROR(VLOOKUP($Q849,Selection!$F:$G,2,false))</f>
        <v/>
      </c>
      <c r="Q849" s="36" t="str">
        <f>IF(AND($X849="change",$H849="EUR"),IF(AND($Z849="Crédit",$N849=$N850),$Q850,IF(AND($Z849="Débit",$N849=$N848),$Q848)),IF(OR(AND(OR($E849&lt;&gt;"",$L849=""),$M849&lt;&gt;0),$A849=""),IFERROR(VLOOKUP($E849,Selection!$E:$F,2,false)),IFERROR(VLOOKUP(SUBSTITUTE($I849,"-","",1),$K850:$Q1119,7,false),VLOOKUP($K849,$K850:$Q1119,7,false))))</f>
        <v/>
      </c>
      <c r="R849" s="34" t="str">
        <f t="shared" si="2"/>
        <v/>
      </c>
      <c r="S849" s="37" t="str">
        <f t="shared" si="3"/>
        <v/>
      </c>
      <c r="T849" s="38" t="str">
        <f t="shared" si="4"/>
        <v/>
      </c>
      <c r="U849" s="28" t="str">
        <f t="shared" si="5"/>
        <v/>
      </c>
      <c r="V849" s="39" t="str">
        <f>IFERROR(__xludf.DUMMYFUNCTION(" IF(Account!$F849&lt;&gt;"""", SPLIT(Account!$F849, "" ""), """")"),"")</f>
        <v/>
      </c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</row>
    <row r="850">
      <c r="A850" s="341"/>
      <c r="B850" s="341"/>
      <c r="C850" s="341"/>
      <c r="D850" s="341"/>
      <c r="E850" s="341"/>
      <c r="F850" s="373"/>
      <c r="G850" s="341"/>
      <c r="H850" s="341"/>
      <c r="I850" s="341"/>
      <c r="J850" s="341"/>
      <c r="K850" s="341"/>
      <c r="L850" s="26" t="str">
        <f t="shared" si="1"/>
        <v/>
      </c>
      <c r="M850" s="28" t="str">
        <f>IFERROR(__xludf.DUMMYFUNCTION("IF(Account!$F850&lt;&gt;"""", VALUE(REGEXREPLACE($I850, ""\,"", ""."")), """")"),"")</f>
        <v/>
      </c>
      <c r="N850" s="31" t="str">
        <f>IF(Account!$F850&lt;&gt;"", DATEVALUE(MID($A850,4,3) &amp; LEFT($A850,3) &amp; RIGHT($A850,4)) + TIMEVALUE($B850), "")</f>
        <v/>
      </c>
      <c r="O850" s="33" t="str">
        <f>IF(Account!$F850&lt;&gt;"", DATEVALUE(MID($A850,4,3) &amp; LEFT($A850,3) &amp; RIGHT($A850,4)), "")</f>
        <v/>
      </c>
      <c r="P850" s="34" t="str">
        <f>IFERROR(VLOOKUP($Q850,Selection!$F:$G,2,false))</f>
        <v/>
      </c>
      <c r="Q850" s="36" t="str">
        <f>IF(AND($X850="change",$H850="EUR"),IF(AND($Z850="Crédit",$N850=$N851),$Q851,IF(AND($Z850="Débit",$N850=$N849),$Q849)),IF(OR(AND(OR($E850&lt;&gt;"",$L850=""),$M850&lt;&gt;0),$A850=""),IFERROR(VLOOKUP($E850,Selection!$E:$F,2,false)),IFERROR(VLOOKUP(SUBSTITUTE($I850,"-","",1),$K851:$Q1119,7,false),VLOOKUP($K850,$K851:$Q1119,7,false))))</f>
        <v/>
      </c>
      <c r="R850" s="34" t="str">
        <f t="shared" si="2"/>
        <v/>
      </c>
      <c r="S850" s="37" t="str">
        <f t="shared" si="3"/>
        <v/>
      </c>
      <c r="T850" s="38" t="str">
        <f t="shared" si="4"/>
        <v/>
      </c>
      <c r="U850" s="28" t="str">
        <f t="shared" si="5"/>
        <v/>
      </c>
      <c r="V850" s="39" t="str">
        <f>IFERROR(__xludf.DUMMYFUNCTION(" IF(Account!$F850&lt;&gt;"""", SPLIT(Account!$F850, "" ""), """")"),"")</f>
        <v/>
      </c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</row>
    <row r="851">
      <c r="A851" s="341"/>
      <c r="B851" s="341"/>
      <c r="C851" s="341"/>
      <c r="D851" s="341"/>
      <c r="E851" s="341"/>
      <c r="F851" s="373"/>
      <c r="G851" s="341"/>
      <c r="H851" s="341"/>
      <c r="I851" s="341"/>
      <c r="J851" s="341"/>
      <c r="K851" s="341"/>
      <c r="L851" s="26" t="str">
        <f t="shared" si="1"/>
        <v/>
      </c>
      <c r="M851" s="28" t="str">
        <f>IFERROR(__xludf.DUMMYFUNCTION("IF(Account!$F851&lt;&gt;"""", VALUE(REGEXREPLACE($I851, ""\,"", ""."")), """")"),"")</f>
        <v/>
      </c>
      <c r="N851" s="31" t="str">
        <f>IF(Account!$F851&lt;&gt;"", DATEVALUE(MID($A851,4,3) &amp; LEFT($A851,3) &amp; RIGHT($A851,4)) + TIMEVALUE($B851), "")</f>
        <v/>
      </c>
      <c r="O851" s="33" t="str">
        <f>IF(Account!$F851&lt;&gt;"", DATEVALUE(MID($A851,4,3) &amp; LEFT($A851,3) &amp; RIGHT($A851,4)), "")</f>
        <v/>
      </c>
      <c r="P851" s="34" t="str">
        <f>IFERROR(VLOOKUP($Q851,Selection!$F:$G,2,false))</f>
        <v/>
      </c>
      <c r="Q851" s="36" t="str">
        <f>IF(AND($X851="change",$H851="EUR"),IF(AND($Z851="Crédit",$N851=$N852),$Q852,IF(AND($Z851="Débit",$N851=$N850),$Q850)),IF(OR(AND(OR($E851&lt;&gt;"",$L851=""),$M851&lt;&gt;0),$A851=""),IFERROR(VLOOKUP($E851,Selection!$E:$F,2,false)),IFERROR(VLOOKUP(SUBSTITUTE($I851,"-","",1),$K852:$Q1119,7,false),VLOOKUP($K851,$K852:$Q1119,7,false))))</f>
        <v/>
      </c>
      <c r="R851" s="34" t="str">
        <f t="shared" si="2"/>
        <v/>
      </c>
      <c r="S851" s="37" t="str">
        <f t="shared" si="3"/>
        <v/>
      </c>
      <c r="T851" s="38" t="str">
        <f t="shared" si="4"/>
        <v/>
      </c>
      <c r="U851" s="28" t="str">
        <f t="shared" si="5"/>
        <v/>
      </c>
      <c r="V851" s="39" t="str">
        <f>IFERROR(__xludf.DUMMYFUNCTION(" IF(Account!$F851&lt;&gt;"""", SPLIT(Account!$F851, "" ""), """")"),"")</f>
        <v/>
      </c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</row>
    <row r="852">
      <c r="A852" s="341"/>
      <c r="B852" s="341"/>
      <c r="C852" s="341"/>
      <c r="D852" s="341"/>
      <c r="E852" s="341"/>
      <c r="F852" s="373"/>
      <c r="G852" s="341"/>
      <c r="H852" s="341"/>
      <c r="I852" s="341"/>
      <c r="J852" s="341"/>
      <c r="K852" s="341"/>
      <c r="L852" s="26" t="str">
        <f t="shared" si="1"/>
        <v/>
      </c>
      <c r="M852" s="28" t="str">
        <f>IFERROR(__xludf.DUMMYFUNCTION("IF(Account!$F852&lt;&gt;"""", VALUE(REGEXREPLACE($I852, ""\,"", ""."")), """")"),"")</f>
        <v/>
      </c>
      <c r="N852" s="31" t="str">
        <f>IF(Account!$F852&lt;&gt;"", DATEVALUE(MID($A852,4,3) &amp; LEFT($A852,3) &amp; RIGHT($A852,4)) + TIMEVALUE($B852), "")</f>
        <v/>
      </c>
      <c r="O852" s="33" t="str">
        <f>IF(Account!$F852&lt;&gt;"", DATEVALUE(MID($A852,4,3) &amp; LEFT($A852,3) &amp; RIGHT($A852,4)), "")</f>
        <v/>
      </c>
      <c r="P852" s="34" t="str">
        <f>IFERROR(VLOOKUP($Q852,Selection!$F:$G,2,false))</f>
        <v/>
      </c>
      <c r="Q852" s="36" t="str">
        <f>IF(AND($X852="change",$H852="EUR"),IF(AND($Z852="Crédit",$N852=$N853),$Q853,IF(AND($Z852="Débit",$N852=$N851),$Q851)),IF(OR(AND(OR($E852&lt;&gt;"",$L852=""),$M852&lt;&gt;0),$A852=""),IFERROR(VLOOKUP($E852,Selection!$E:$F,2,false)),IFERROR(VLOOKUP(SUBSTITUTE($I852,"-","",1),$K853:$Q1119,7,false),VLOOKUP($K852,$K853:$Q1119,7,false))))</f>
        <v/>
      </c>
      <c r="R852" s="34" t="str">
        <f t="shared" si="2"/>
        <v/>
      </c>
      <c r="S852" s="37" t="str">
        <f t="shared" si="3"/>
        <v/>
      </c>
      <c r="T852" s="38" t="str">
        <f t="shared" si="4"/>
        <v/>
      </c>
      <c r="U852" s="28" t="str">
        <f t="shared" si="5"/>
        <v/>
      </c>
      <c r="V852" s="39" t="str">
        <f>IFERROR(__xludf.DUMMYFUNCTION(" IF(Account!$F852&lt;&gt;"""", SPLIT(Account!$F852, "" ""), """")"),"")</f>
        <v/>
      </c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</row>
    <row r="853">
      <c r="A853" s="341"/>
      <c r="B853" s="341"/>
      <c r="C853" s="341"/>
      <c r="D853" s="341"/>
      <c r="E853" s="341"/>
      <c r="F853" s="373"/>
      <c r="G853" s="341"/>
      <c r="H853" s="341"/>
      <c r="I853" s="341"/>
      <c r="J853" s="341"/>
      <c r="K853" s="341"/>
      <c r="L853" s="26" t="str">
        <f t="shared" si="1"/>
        <v/>
      </c>
      <c r="M853" s="28" t="str">
        <f>IFERROR(__xludf.DUMMYFUNCTION("IF(Account!$F853&lt;&gt;"""", VALUE(REGEXREPLACE($I853, ""\,"", ""."")), """")"),"")</f>
        <v/>
      </c>
      <c r="N853" s="31" t="str">
        <f>IF(Account!$F853&lt;&gt;"", DATEVALUE(MID($A853,4,3) &amp; LEFT($A853,3) &amp; RIGHT($A853,4)) + TIMEVALUE($B853), "")</f>
        <v/>
      </c>
      <c r="O853" s="33" t="str">
        <f>IF(Account!$F853&lt;&gt;"", DATEVALUE(MID($A853,4,3) &amp; LEFT($A853,3) &amp; RIGHT($A853,4)), "")</f>
        <v/>
      </c>
      <c r="P853" s="34" t="str">
        <f>IFERROR(VLOOKUP($Q853,Selection!$F:$G,2,false))</f>
        <v/>
      </c>
      <c r="Q853" s="36" t="str">
        <f>IF(AND($X853="change",$H853="EUR"),IF(AND($Z853="Crédit",$N853=$N854),$Q854,IF(AND($Z853="Débit",$N853=$N852),$Q852)),IF(OR(AND(OR($E853&lt;&gt;"",$L853=""),$M853&lt;&gt;0),$A853=""),IFERROR(VLOOKUP($E853,Selection!$E:$F,2,false)),IFERROR(VLOOKUP(SUBSTITUTE($I853,"-","",1),$K854:$Q1119,7,false),VLOOKUP($K853,$K854:$Q1119,7,false))))</f>
        <v/>
      </c>
      <c r="R853" s="34" t="str">
        <f t="shared" si="2"/>
        <v/>
      </c>
      <c r="S853" s="37" t="str">
        <f t="shared" si="3"/>
        <v/>
      </c>
      <c r="T853" s="38" t="str">
        <f t="shared" si="4"/>
        <v/>
      </c>
      <c r="U853" s="28" t="str">
        <f t="shared" si="5"/>
        <v/>
      </c>
      <c r="V853" s="39" t="str">
        <f>IFERROR(__xludf.DUMMYFUNCTION(" IF(Account!$F853&lt;&gt;"""", SPLIT(Account!$F853, "" ""), """")"),"")</f>
        <v/>
      </c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</row>
    <row r="854">
      <c r="A854" s="341"/>
      <c r="B854" s="341"/>
      <c r="C854" s="341"/>
      <c r="D854" s="341"/>
      <c r="E854" s="341"/>
      <c r="F854" s="373"/>
      <c r="G854" s="341"/>
      <c r="H854" s="341"/>
      <c r="I854" s="341"/>
      <c r="J854" s="341"/>
      <c r="K854" s="341"/>
      <c r="L854" s="26" t="str">
        <f t="shared" si="1"/>
        <v/>
      </c>
      <c r="M854" s="28" t="str">
        <f>IFERROR(__xludf.DUMMYFUNCTION("IF(Account!$F854&lt;&gt;"""", VALUE(REGEXREPLACE($I854, ""\,"", ""."")), """")"),"")</f>
        <v/>
      </c>
      <c r="N854" s="31" t="str">
        <f>IF(Account!$F854&lt;&gt;"", DATEVALUE(MID($A854,4,3) &amp; LEFT($A854,3) &amp; RIGHT($A854,4)) + TIMEVALUE($B854), "")</f>
        <v/>
      </c>
      <c r="O854" s="33" t="str">
        <f>IF(Account!$F854&lt;&gt;"", DATEVALUE(MID($A854,4,3) &amp; LEFT($A854,3) &amp; RIGHT($A854,4)), "")</f>
        <v/>
      </c>
      <c r="P854" s="34" t="str">
        <f>IFERROR(VLOOKUP($Q854,Selection!$F:$G,2,false))</f>
        <v/>
      </c>
      <c r="Q854" s="36" t="str">
        <f>IF(AND($X854="change",$H854="EUR"),IF(AND($Z854="Crédit",$N854=$N855),$Q855,IF(AND($Z854="Débit",$N854=$N853),$Q853)),IF(OR(AND(OR($E854&lt;&gt;"",$L854=""),$M854&lt;&gt;0),$A854=""),IFERROR(VLOOKUP($E854,Selection!$E:$F,2,false)),IFERROR(VLOOKUP(SUBSTITUTE($I854,"-","",1),$K855:$Q1119,7,false),VLOOKUP($K854,$K855:$Q1119,7,false))))</f>
        <v/>
      </c>
      <c r="R854" s="34" t="str">
        <f t="shared" si="2"/>
        <v/>
      </c>
      <c r="S854" s="37" t="str">
        <f t="shared" si="3"/>
        <v/>
      </c>
      <c r="T854" s="38" t="str">
        <f t="shared" si="4"/>
        <v/>
      </c>
      <c r="U854" s="28" t="str">
        <f t="shared" si="5"/>
        <v/>
      </c>
      <c r="V854" s="39" t="str">
        <f>IFERROR(__xludf.DUMMYFUNCTION(" IF(Account!$F854&lt;&gt;"""", SPLIT(Account!$F854, "" ""), """")"),"")</f>
        <v/>
      </c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</row>
    <row r="855">
      <c r="A855" s="341"/>
      <c r="B855" s="341"/>
      <c r="C855" s="341"/>
      <c r="D855" s="341"/>
      <c r="E855" s="341"/>
      <c r="F855" s="373"/>
      <c r="G855" s="341"/>
      <c r="H855" s="341"/>
      <c r="I855" s="341"/>
      <c r="J855" s="341"/>
      <c r="K855" s="341"/>
      <c r="L855" s="26" t="str">
        <f t="shared" si="1"/>
        <v/>
      </c>
      <c r="M855" s="28" t="str">
        <f>IFERROR(__xludf.DUMMYFUNCTION("IF(Account!$F855&lt;&gt;"""", VALUE(REGEXREPLACE($I855, ""\,"", ""."")), """")"),"")</f>
        <v/>
      </c>
      <c r="N855" s="31" t="str">
        <f>IF(Account!$F855&lt;&gt;"", DATEVALUE(MID($A855,4,3) &amp; LEFT($A855,3) &amp; RIGHT($A855,4)) + TIMEVALUE($B855), "")</f>
        <v/>
      </c>
      <c r="O855" s="33" t="str">
        <f>IF(Account!$F855&lt;&gt;"", DATEVALUE(MID($A855,4,3) &amp; LEFT($A855,3) &amp; RIGHT($A855,4)), "")</f>
        <v/>
      </c>
      <c r="P855" s="34" t="str">
        <f>IFERROR(VLOOKUP($Q855,Selection!$F:$G,2,false))</f>
        <v/>
      </c>
      <c r="Q855" s="36" t="str">
        <f>IF(AND($X855="change",$H855="EUR"),IF(AND($Z855="Crédit",$N855=$N856),$Q856,IF(AND($Z855="Débit",$N855=$N854),$Q854)),IF(OR(AND(OR($E855&lt;&gt;"",$L855=""),$M855&lt;&gt;0),$A855=""),IFERROR(VLOOKUP($E855,Selection!$E:$F,2,false)),IFERROR(VLOOKUP(SUBSTITUTE($I855,"-","",1),$K856:$Q1119,7,false),VLOOKUP($K855,$K856:$Q1119,7,false))))</f>
        <v/>
      </c>
      <c r="R855" s="34" t="str">
        <f t="shared" si="2"/>
        <v/>
      </c>
      <c r="S855" s="37" t="str">
        <f t="shared" si="3"/>
        <v/>
      </c>
      <c r="T855" s="38" t="str">
        <f t="shared" si="4"/>
        <v/>
      </c>
      <c r="U855" s="28" t="str">
        <f t="shared" si="5"/>
        <v/>
      </c>
      <c r="V855" s="39" t="str">
        <f>IFERROR(__xludf.DUMMYFUNCTION(" IF(Account!$F855&lt;&gt;"""", SPLIT(Account!$F855, "" ""), """")"),"")</f>
        <v/>
      </c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</row>
    <row r="856">
      <c r="A856" s="341"/>
      <c r="B856" s="341"/>
      <c r="C856" s="341"/>
      <c r="D856" s="341"/>
      <c r="E856" s="341"/>
      <c r="F856" s="373"/>
      <c r="G856" s="341"/>
      <c r="H856" s="341"/>
      <c r="I856" s="341"/>
      <c r="J856" s="341"/>
      <c r="K856" s="341"/>
      <c r="L856" s="26" t="str">
        <f t="shared" si="1"/>
        <v/>
      </c>
      <c r="M856" s="28" t="str">
        <f>IFERROR(__xludf.DUMMYFUNCTION("IF(Account!$F856&lt;&gt;"""", VALUE(REGEXREPLACE($I856, ""\,"", ""."")), """")"),"")</f>
        <v/>
      </c>
      <c r="N856" s="31" t="str">
        <f>IF(Account!$F856&lt;&gt;"", DATEVALUE(MID($A856,4,3) &amp; LEFT($A856,3) &amp; RIGHT($A856,4)) + TIMEVALUE($B856), "")</f>
        <v/>
      </c>
      <c r="O856" s="33" t="str">
        <f>IF(Account!$F856&lt;&gt;"", DATEVALUE(MID($A856,4,3) &amp; LEFT($A856,3) &amp; RIGHT($A856,4)), "")</f>
        <v/>
      </c>
      <c r="P856" s="34" t="str">
        <f>IFERROR(VLOOKUP($Q856,Selection!$F:$G,2,false))</f>
        <v/>
      </c>
      <c r="Q856" s="36" t="str">
        <f>IF(AND($X856="change",$H856="EUR"),IF(AND($Z856="Crédit",$N856=$N857),$Q857,IF(AND($Z856="Débit",$N856=$N855),$Q855)),IF(OR(AND(OR($E856&lt;&gt;"",$L856=""),$M856&lt;&gt;0),$A856=""),IFERROR(VLOOKUP($E856,Selection!$E:$F,2,false)),IFERROR(VLOOKUP(SUBSTITUTE($I856,"-","",1),$K857:$Q1119,7,false),VLOOKUP($K856,$K857:$Q1119,7,false))))</f>
        <v/>
      </c>
      <c r="R856" s="34" t="str">
        <f t="shared" si="2"/>
        <v/>
      </c>
      <c r="S856" s="37" t="str">
        <f t="shared" si="3"/>
        <v/>
      </c>
      <c r="T856" s="38" t="str">
        <f t="shared" si="4"/>
        <v/>
      </c>
      <c r="U856" s="28" t="str">
        <f t="shared" si="5"/>
        <v/>
      </c>
      <c r="V856" s="39" t="str">
        <f>IFERROR(__xludf.DUMMYFUNCTION(" IF(Account!$F856&lt;&gt;"""", SPLIT(Account!$F856, "" ""), """")"),"")</f>
        <v/>
      </c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</row>
    <row r="857">
      <c r="A857" s="341"/>
      <c r="B857" s="341"/>
      <c r="C857" s="341"/>
      <c r="D857" s="341"/>
      <c r="E857" s="341"/>
      <c r="F857" s="373"/>
      <c r="G857" s="341"/>
      <c r="H857" s="341"/>
      <c r="I857" s="341"/>
      <c r="J857" s="341"/>
      <c r="K857" s="341"/>
      <c r="L857" s="26" t="str">
        <f t="shared" si="1"/>
        <v/>
      </c>
      <c r="M857" s="28" t="str">
        <f>IFERROR(__xludf.DUMMYFUNCTION("IF(Account!$F857&lt;&gt;"""", VALUE(REGEXREPLACE($I857, ""\,"", ""."")), """")"),"")</f>
        <v/>
      </c>
      <c r="N857" s="31" t="str">
        <f>IF(Account!$F857&lt;&gt;"", DATEVALUE(MID($A857,4,3) &amp; LEFT($A857,3) &amp; RIGHT($A857,4)) + TIMEVALUE($B857), "")</f>
        <v/>
      </c>
      <c r="O857" s="33" t="str">
        <f>IF(Account!$F857&lt;&gt;"", DATEVALUE(MID($A857,4,3) &amp; LEFT($A857,3) &amp; RIGHT($A857,4)), "")</f>
        <v/>
      </c>
      <c r="P857" s="34" t="str">
        <f>IFERROR(VLOOKUP($Q857,Selection!$F:$G,2,false))</f>
        <v/>
      </c>
      <c r="Q857" s="36" t="str">
        <f>IF(AND($X857="change",$H857="EUR"),IF(AND($Z857="Crédit",$N857=$N858),$Q858,IF(AND($Z857="Débit",$N857=$N856),$Q856)),IF(OR(AND(OR($E857&lt;&gt;"",$L857=""),$M857&lt;&gt;0),$A857=""),IFERROR(VLOOKUP($E857,Selection!$E:$F,2,false)),IFERROR(VLOOKUP(SUBSTITUTE($I857,"-","",1),$K858:$Q1119,7,false),VLOOKUP($K857,$K858:$Q1119,7,false))))</f>
        <v/>
      </c>
      <c r="R857" s="34" t="str">
        <f t="shared" si="2"/>
        <v/>
      </c>
      <c r="S857" s="37" t="str">
        <f t="shared" si="3"/>
        <v/>
      </c>
      <c r="T857" s="38" t="str">
        <f t="shared" si="4"/>
        <v/>
      </c>
      <c r="U857" s="28" t="str">
        <f t="shared" si="5"/>
        <v/>
      </c>
      <c r="V857" s="39" t="str">
        <f>IFERROR(__xludf.DUMMYFUNCTION(" IF(Account!$F857&lt;&gt;"""", SPLIT(Account!$F857, "" ""), """")"),"")</f>
        <v/>
      </c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</row>
    <row r="858">
      <c r="A858" s="341"/>
      <c r="B858" s="341"/>
      <c r="C858" s="341"/>
      <c r="D858" s="341"/>
      <c r="E858" s="341"/>
      <c r="F858" s="373"/>
      <c r="G858" s="341"/>
      <c r="H858" s="341"/>
      <c r="I858" s="341"/>
      <c r="J858" s="341"/>
      <c r="K858" s="341"/>
      <c r="L858" s="26" t="str">
        <f t="shared" si="1"/>
        <v/>
      </c>
      <c r="M858" s="28" t="str">
        <f>IFERROR(__xludf.DUMMYFUNCTION("IF(Account!$F858&lt;&gt;"""", VALUE(REGEXREPLACE($I858, ""\,"", ""."")), """")"),"")</f>
        <v/>
      </c>
      <c r="N858" s="31" t="str">
        <f>IF(Account!$F858&lt;&gt;"", DATEVALUE(MID($A858,4,3) &amp; LEFT($A858,3) &amp; RIGHT($A858,4)) + TIMEVALUE($B858), "")</f>
        <v/>
      </c>
      <c r="O858" s="33" t="str">
        <f>IF(Account!$F858&lt;&gt;"", DATEVALUE(MID($A858,4,3) &amp; LEFT($A858,3) &amp; RIGHT($A858,4)), "")</f>
        <v/>
      </c>
      <c r="P858" s="34" t="str">
        <f>IFERROR(VLOOKUP($Q858,Selection!$F:$G,2,false))</f>
        <v/>
      </c>
      <c r="Q858" s="36" t="str">
        <f>IF(AND($X858="change",$H858="EUR"),IF(AND($Z858="Crédit",$N858=$N859),$Q859,IF(AND($Z858="Débit",$N858=$N857),$Q857)),IF(OR(AND(OR($E858&lt;&gt;"",$L858=""),$M858&lt;&gt;0),$A858=""),IFERROR(VLOOKUP($E858,Selection!$E:$F,2,false)),IFERROR(VLOOKUP(SUBSTITUTE($I858,"-","",1),$K859:$Q1119,7,false),VLOOKUP($K858,$K859:$Q1119,7,false))))</f>
        <v/>
      </c>
      <c r="R858" s="34" t="str">
        <f t="shared" si="2"/>
        <v/>
      </c>
      <c r="S858" s="37" t="str">
        <f t="shared" si="3"/>
        <v/>
      </c>
      <c r="T858" s="38" t="str">
        <f t="shared" si="4"/>
        <v/>
      </c>
      <c r="U858" s="28" t="str">
        <f t="shared" si="5"/>
        <v/>
      </c>
      <c r="V858" s="39" t="str">
        <f>IFERROR(__xludf.DUMMYFUNCTION(" IF(Account!$F858&lt;&gt;"""", SPLIT(Account!$F858, "" ""), """")"),"")</f>
        <v/>
      </c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</row>
    <row r="859">
      <c r="A859" s="341"/>
      <c r="B859" s="341"/>
      <c r="C859" s="341"/>
      <c r="D859" s="341"/>
      <c r="E859" s="341"/>
      <c r="F859" s="373"/>
      <c r="G859" s="341"/>
      <c r="H859" s="341"/>
      <c r="I859" s="341"/>
      <c r="J859" s="341"/>
      <c r="K859" s="341"/>
      <c r="L859" s="26" t="str">
        <f t="shared" si="1"/>
        <v/>
      </c>
      <c r="M859" s="28" t="str">
        <f>IFERROR(__xludf.DUMMYFUNCTION("IF(Account!$F859&lt;&gt;"""", VALUE(REGEXREPLACE($I859, ""\,"", ""."")), """")"),"")</f>
        <v/>
      </c>
      <c r="N859" s="31" t="str">
        <f>IF(Account!$F859&lt;&gt;"", DATEVALUE(MID($A859,4,3) &amp; LEFT($A859,3) &amp; RIGHT($A859,4)) + TIMEVALUE($B859), "")</f>
        <v/>
      </c>
      <c r="O859" s="33" t="str">
        <f>IF(Account!$F859&lt;&gt;"", DATEVALUE(MID($A859,4,3) &amp; LEFT($A859,3) &amp; RIGHT($A859,4)), "")</f>
        <v/>
      </c>
      <c r="P859" s="34" t="str">
        <f>IFERROR(VLOOKUP($Q859,Selection!$F:$G,2,false))</f>
        <v/>
      </c>
      <c r="Q859" s="36" t="str">
        <f>IF(AND($X859="change",$H859="EUR"),IF(AND($Z859="Crédit",$N859=$N860),$Q860,IF(AND($Z859="Débit",$N859=$N858),$Q858)),IF(OR(AND(OR($E859&lt;&gt;"",$L859=""),$M859&lt;&gt;0),$A859=""),IFERROR(VLOOKUP($E859,Selection!$E:$F,2,false)),IFERROR(VLOOKUP(SUBSTITUTE($I859,"-","",1),$K860:$Q1119,7,false),VLOOKUP($K859,$K860:$Q1119,7,false))))</f>
        <v/>
      </c>
      <c r="R859" s="34" t="str">
        <f t="shared" si="2"/>
        <v/>
      </c>
      <c r="S859" s="37" t="str">
        <f t="shared" si="3"/>
        <v/>
      </c>
      <c r="T859" s="38" t="str">
        <f t="shared" si="4"/>
        <v/>
      </c>
      <c r="U859" s="28" t="str">
        <f t="shared" si="5"/>
        <v/>
      </c>
      <c r="V859" s="39" t="str">
        <f>IFERROR(__xludf.DUMMYFUNCTION(" IF(Account!$F859&lt;&gt;"""", SPLIT(Account!$F859, "" ""), """")"),"")</f>
        <v/>
      </c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</row>
    <row r="860">
      <c r="A860" s="341"/>
      <c r="B860" s="341"/>
      <c r="C860" s="341"/>
      <c r="D860" s="341"/>
      <c r="E860" s="341"/>
      <c r="F860" s="373"/>
      <c r="G860" s="341"/>
      <c r="H860" s="341"/>
      <c r="I860" s="341"/>
      <c r="J860" s="341"/>
      <c r="K860" s="341"/>
      <c r="L860" s="26" t="str">
        <f t="shared" si="1"/>
        <v/>
      </c>
      <c r="M860" s="28" t="str">
        <f>IFERROR(__xludf.DUMMYFUNCTION("IF(Account!$F860&lt;&gt;"""", VALUE(REGEXREPLACE($I860, ""\,"", ""."")), """")"),"")</f>
        <v/>
      </c>
      <c r="N860" s="31" t="str">
        <f>IF(Account!$F860&lt;&gt;"", DATEVALUE(MID($A860,4,3) &amp; LEFT($A860,3) &amp; RIGHT($A860,4)) + TIMEVALUE($B860), "")</f>
        <v/>
      </c>
      <c r="O860" s="33" t="str">
        <f>IF(Account!$F860&lt;&gt;"", DATEVALUE(MID($A860,4,3) &amp; LEFT($A860,3) &amp; RIGHT($A860,4)), "")</f>
        <v/>
      </c>
      <c r="P860" s="34" t="str">
        <f>IFERROR(VLOOKUP($Q860,Selection!$F:$G,2,false))</f>
        <v/>
      </c>
      <c r="Q860" s="36" t="str">
        <f>IF(AND($X860="change",$H860="EUR"),IF(AND($Z860="Crédit",$N860=$N861),$Q861,IF(AND($Z860="Débit",$N860=$N859),$Q859)),IF(OR(AND(OR($E860&lt;&gt;"",$L860=""),$M860&lt;&gt;0),$A860=""),IFERROR(VLOOKUP($E860,Selection!$E:$F,2,false)),IFERROR(VLOOKUP(SUBSTITUTE($I860,"-","",1),$K861:$Q1119,7,false),VLOOKUP($K860,$K861:$Q1119,7,false))))</f>
        <v/>
      </c>
      <c r="R860" s="34" t="str">
        <f t="shared" si="2"/>
        <v/>
      </c>
      <c r="S860" s="37" t="str">
        <f t="shared" si="3"/>
        <v/>
      </c>
      <c r="T860" s="38" t="str">
        <f t="shared" si="4"/>
        <v/>
      </c>
      <c r="U860" s="28" t="str">
        <f t="shared" si="5"/>
        <v/>
      </c>
      <c r="V860" s="39" t="str">
        <f>IFERROR(__xludf.DUMMYFUNCTION(" IF(Account!$F860&lt;&gt;"""", SPLIT(Account!$F860, "" ""), """")"),"")</f>
        <v/>
      </c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</row>
    <row r="861">
      <c r="A861" s="341"/>
      <c r="B861" s="341"/>
      <c r="C861" s="341"/>
      <c r="D861" s="341"/>
      <c r="E861" s="341"/>
      <c r="F861" s="373"/>
      <c r="G861" s="341"/>
      <c r="H861" s="341"/>
      <c r="I861" s="341"/>
      <c r="J861" s="341"/>
      <c r="K861" s="341"/>
      <c r="L861" s="26" t="str">
        <f t="shared" si="1"/>
        <v/>
      </c>
      <c r="M861" s="28" t="str">
        <f>IFERROR(__xludf.DUMMYFUNCTION("IF(Account!$F861&lt;&gt;"""", VALUE(REGEXREPLACE($I861, ""\,"", ""."")), """")"),"")</f>
        <v/>
      </c>
      <c r="N861" s="31" t="str">
        <f>IF(Account!$F861&lt;&gt;"", DATEVALUE(MID($A861,4,3) &amp; LEFT($A861,3) &amp; RIGHT($A861,4)) + TIMEVALUE($B861), "")</f>
        <v/>
      </c>
      <c r="O861" s="33" t="str">
        <f>IF(Account!$F861&lt;&gt;"", DATEVALUE(MID($A861,4,3) &amp; LEFT($A861,3) &amp; RIGHT($A861,4)), "")</f>
        <v/>
      </c>
      <c r="P861" s="34" t="str">
        <f>IFERROR(VLOOKUP($Q861,Selection!$F:$G,2,false))</f>
        <v/>
      </c>
      <c r="Q861" s="36" t="str">
        <f>IF(AND($X861="change",$H861="EUR"),IF(AND($Z861="Crédit",$N861=$N862),$Q862,IF(AND($Z861="Débit",$N861=$N860),$Q860)),IF(OR(AND(OR($E861&lt;&gt;"",$L861=""),$M861&lt;&gt;0),$A861=""),IFERROR(VLOOKUP($E861,Selection!$E:$F,2,false)),IFERROR(VLOOKUP(SUBSTITUTE($I861,"-","",1),$K862:$Q1119,7,false),VLOOKUP($K861,$K862:$Q1119,7,false))))</f>
        <v/>
      </c>
      <c r="R861" s="34" t="str">
        <f t="shared" si="2"/>
        <v/>
      </c>
      <c r="S861" s="37" t="str">
        <f t="shared" si="3"/>
        <v/>
      </c>
      <c r="T861" s="38" t="str">
        <f t="shared" si="4"/>
        <v/>
      </c>
      <c r="U861" s="28" t="str">
        <f t="shared" si="5"/>
        <v/>
      </c>
      <c r="V861" s="39" t="str">
        <f>IFERROR(__xludf.DUMMYFUNCTION(" IF(Account!$F861&lt;&gt;"""", SPLIT(Account!$F861, "" ""), """")"),"")</f>
        <v/>
      </c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</row>
    <row r="862">
      <c r="A862" s="341"/>
      <c r="B862" s="341"/>
      <c r="C862" s="341"/>
      <c r="D862" s="341"/>
      <c r="E862" s="341"/>
      <c r="F862" s="373"/>
      <c r="G862" s="341"/>
      <c r="H862" s="341"/>
      <c r="I862" s="341"/>
      <c r="J862" s="341"/>
      <c r="K862" s="341"/>
      <c r="L862" s="26" t="str">
        <f t="shared" si="1"/>
        <v/>
      </c>
      <c r="M862" s="28" t="str">
        <f>IFERROR(__xludf.DUMMYFUNCTION("IF(Account!$F862&lt;&gt;"""", VALUE(REGEXREPLACE($I862, ""\,"", ""."")), """")"),"")</f>
        <v/>
      </c>
      <c r="N862" s="31" t="str">
        <f>IF(Account!$F862&lt;&gt;"", DATEVALUE(MID($A862,4,3) &amp; LEFT($A862,3) &amp; RIGHT($A862,4)) + TIMEVALUE($B862), "")</f>
        <v/>
      </c>
      <c r="O862" s="33" t="str">
        <f>IF(Account!$F862&lt;&gt;"", DATEVALUE(MID($A862,4,3) &amp; LEFT($A862,3) &amp; RIGHT($A862,4)), "")</f>
        <v/>
      </c>
      <c r="P862" s="34" t="str">
        <f>IFERROR(VLOOKUP($Q862,Selection!$F:$G,2,false))</f>
        <v/>
      </c>
      <c r="Q862" s="36" t="str">
        <f>IF(AND($X862="change",$H862="EUR"),IF(AND($Z862="Crédit",$N862=$N863),$Q863,IF(AND($Z862="Débit",$N862=$N861),$Q861)),IF(OR(AND(OR($E862&lt;&gt;"",$L862=""),$M862&lt;&gt;0),$A862=""),IFERROR(VLOOKUP($E862,Selection!$E:$F,2,false)),IFERROR(VLOOKUP(SUBSTITUTE($I862,"-","",1),$K863:$Q1119,7,false),VLOOKUP($K862,$K863:$Q1119,7,false))))</f>
        <v/>
      </c>
      <c r="R862" s="34" t="str">
        <f t="shared" si="2"/>
        <v/>
      </c>
      <c r="S862" s="37" t="str">
        <f t="shared" si="3"/>
        <v/>
      </c>
      <c r="T862" s="38" t="str">
        <f t="shared" si="4"/>
        <v/>
      </c>
      <c r="U862" s="28" t="str">
        <f t="shared" si="5"/>
        <v/>
      </c>
      <c r="V862" s="39" t="str">
        <f>IFERROR(__xludf.DUMMYFUNCTION(" IF(Account!$F862&lt;&gt;"""", SPLIT(Account!$F862, "" ""), """")"),"")</f>
        <v/>
      </c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</row>
    <row r="863">
      <c r="A863" s="341"/>
      <c r="B863" s="341"/>
      <c r="C863" s="341"/>
      <c r="D863" s="341"/>
      <c r="E863" s="341"/>
      <c r="F863" s="373"/>
      <c r="G863" s="341"/>
      <c r="H863" s="341"/>
      <c r="I863" s="341"/>
      <c r="J863" s="341"/>
      <c r="K863" s="341"/>
      <c r="L863" s="26" t="str">
        <f t="shared" si="1"/>
        <v/>
      </c>
      <c r="M863" s="28" t="str">
        <f>IFERROR(__xludf.DUMMYFUNCTION("IF(Account!$F863&lt;&gt;"""", VALUE(REGEXREPLACE($I863, ""\,"", ""."")), """")"),"")</f>
        <v/>
      </c>
      <c r="N863" s="31" t="str">
        <f>IF(Account!$F863&lt;&gt;"", DATEVALUE(MID($A863,4,3) &amp; LEFT($A863,3) &amp; RIGHT($A863,4)) + TIMEVALUE($B863), "")</f>
        <v/>
      </c>
      <c r="O863" s="33" t="str">
        <f>IF(Account!$F863&lt;&gt;"", DATEVALUE(MID($A863,4,3) &amp; LEFT($A863,3) &amp; RIGHT($A863,4)), "")</f>
        <v/>
      </c>
      <c r="P863" s="34" t="str">
        <f>IFERROR(VLOOKUP($Q863,Selection!$F:$G,2,false))</f>
        <v/>
      </c>
      <c r="Q863" s="36" t="str">
        <f>IF(AND($X863="change",$H863="EUR"),IF(AND($Z863="Crédit",$N863=$N864),$Q864,IF(AND($Z863="Débit",$N863=$N862),$Q862)),IF(OR(AND(OR($E863&lt;&gt;"",$L863=""),$M863&lt;&gt;0),$A863=""),IFERROR(VLOOKUP($E863,Selection!$E:$F,2,false)),IFERROR(VLOOKUP(SUBSTITUTE($I863,"-","",1),$K864:$Q1119,7,false),VLOOKUP($K863,$K864:$Q1119,7,false))))</f>
        <v/>
      </c>
      <c r="R863" s="34" t="str">
        <f t="shared" si="2"/>
        <v/>
      </c>
      <c r="S863" s="37" t="str">
        <f t="shared" si="3"/>
        <v/>
      </c>
      <c r="T863" s="38" t="str">
        <f t="shared" si="4"/>
        <v/>
      </c>
      <c r="U863" s="28" t="str">
        <f t="shared" si="5"/>
        <v/>
      </c>
      <c r="V863" s="39" t="str">
        <f>IFERROR(__xludf.DUMMYFUNCTION(" IF(Account!$F863&lt;&gt;"""", SPLIT(Account!$F863, "" ""), """")"),"")</f>
        <v/>
      </c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</row>
    <row r="864">
      <c r="A864" s="341"/>
      <c r="B864" s="341"/>
      <c r="C864" s="341"/>
      <c r="D864" s="341"/>
      <c r="E864" s="341"/>
      <c r="F864" s="373"/>
      <c r="G864" s="341"/>
      <c r="H864" s="341"/>
      <c r="I864" s="341"/>
      <c r="J864" s="341"/>
      <c r="K864" s="341"/>
      <c r="L864" s="26" t="str">
        <f t="shared" si="1"/>
        <v/>
      </c>
      <c r="M864" s="28" t="str">
        <f>IFERROR(__xludf.DUMMYFUNCTION("IF(Account!$F864&lt;&gt;"""", VALUE(REGEXREPLACE($I864, ""\,"", ""."")), """")"),"")</f>
        <v/>
      </c>
      <c r="N864" s="31" t="str">
        <f>IF(Account!$F864&lt;&gt;"", DATEVALUE(MID($A864,4,3) &amp; LEFT($A864,3) &amp; RIGHT($A864,4)) + TIMEVALUE($B864), "")</f>
        <v/>
      </c>
      <c r="O864" s="33" t="str">
        <f>IF(Account!$F864&lt;&gt;"", DATEVALUE(MID($A864,4,3) &amp; LEFT($A864,3) &amp; RIGHT($A864,4)), "")</f>
        <v/>
      </c>
      <c r="P864" s="34" t="str">
        <f>IFERROR(VLOOKUP($Q864,Selection!$F:$G,2,false))</f>
        <v/>
      </c>
      <c r="Q864" s="36" t="str">
        <f>IF(AND($X864="change",$H864="EUR"),IF(AND($Z864="Crédit",$N864=$N865),$Q865,IF(AND($Z864="Débit",$N864=$N863),$Q863)),IF(OR(AND(OR($E864&lt;&gt;"",$L864=""),$M864&lt;&gt;0),$A864=""),IFERROR(VLOOKUP($E864,Selection!$E:$F,2,false)),IFERROR(VLOOKUP(SUBSTITUTE($I864,"-","",1),$K865:$Q1119,7,false),VLOOKUP($K864,$K865:$Q1119,7,false))))</f>
        <v/>
      </c>
      <c r="R864" s="34" t="str">
        <f t="shared" si="2"/>
        <v/>
      </c>
      <c r="S864" s="37" t="str">
        <f t="shared" si="3"/>
        <v/>
      </c>
      <c r="T864" s="38" t="str">
        <f t="shared" si="4"/>
        <v/>
      </c>
      <c r="U864" s="28" t="str">
        <f t="shared" si="5"/>
        <v/>
      </c>
      <c r="V864" s="39" t="str">
        <f>IFERROR(__xludf.DUMMYFUNCTION(" IF(Account!$F864&lt;&gt;"""", SPLIT(Account!$F864, "" ""), """")"),"")</f>
        <v/>
      </c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</row>
    <row r="865">
      <c r="A865" s="341"/>
      <c r="B865" s="341"/>
      <c r="C865" s="341"/>
      <c r="D865" s="341"/>
      <c r="E865" s="341"/>
      <c r="F865" s="373"/>
      <c r="G865" s="341"/>
      <c r="H865" s="341"/>
      <c r="I865" s="341"/>
      <c r="J865" s="341"/>
      <c r="K865" s="341"/>
      <c r="L865" s="26" t="str">
        <f t="shared" si="1"/>
        <v/>
      </c>
      <c r="M865" s="28" t="str">
        <f>IFERROR(__xludf.DUMMYFUNCTION("IF(Account!$F865&lt;&gt;"""", VALUE(REGEXREPLACE($I865, ""\,"", ""."")), """")"),"")</f>
        <v/>
      </c>
      <c r="N865" s="31" t="str">
        <f>IF(Account!$F865&lt;&gt;"", DATEVALUE(MID($A865,4,3) &amp; LEFT($A865,3) &amp; RIGHT($A865,4)) + TIMEVALUE($B865), "")</f>
        <v/>
      </c>
      <c r="O865" s="33" t="str">
        <f>IF(Account!$F865&lt;&gt;"", DATEVALUE(MID($A865,4,3) &amp; LEFT($A865,3) &amp; RIGHT($A865,4)), "")</f>
        <v/>
      </c>
      <c r="P865" s="34" t="str">
        <f>IFERROR(VLOOKUP($Q865,Selection!$F:$G,2,false))</f>
        <v/>
      </c>
      <c r="Q865" s="36" t="str">
        <f>IF(AND($X865="change",$H865="EUR"),IF(AND($Z865="Crédit",$N865=$N866),$Q866,IF(AND($Z865="Débit",$N865=$N864),$Q864)),IF(OR(AND(OR($E865&lt;&gt;"",$L865=""),$M865&lt;&gt;0),$A865=""),IFERROR(VLOOKUP($E865,Selection!$E:$F,2,false)),IFERROR(VLOOKUP(SUBSTITUTE($I865,"-","",1),$K866:$Q1119,7,false),VLOOKUP($K865,$K866:$Q1119,7,false))))</f>
        <v/>
      </c>
      <c r="R865" s="34" t="str">
        <f t="shared" si="2"/>
        <v/>
      </c>
      <c r="S865" s="37" t="str">
        <f t="shared" si="3"/>
        <v/>
      </c>
      <c r="T865" s="38" t="str">
        <f t="shared" si="4"/>
        <v/>
      </c>
      <c r="U865" s="28" t="str">
        <f t="shared" si="5"/>
        <v/>
      </c>
      <c r="V865" s="39" t="str">
        <f>IFERROR(__xludf.DUMMYFUNCTION(" IF(Account!$F865&lt;&gt;"""", SPLIT(Account!$F865, "" ""), """")"),"")</f>
        <v/>
      </c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</row>
    <row r="866">
      <c r="A866" s="341"/>
      <c r="B866" s="341"/>
      <c r="C866" s="341"/>
      <c r="D866" s="341"/>
      <c r="E866" s="341"/>
      <c r="F866" s="373"/>
      <c r="G866" s="341"/>
      <c r="H866" s="341"/>
      <c r="I866" s="341"/>
      <c r="J866" s="341"/>
      <c r="K866" s="341"/>
      <c r="L866" s="26" t="str">
        <f t="shared" si="1"/>
        <v/>
      </c>
      <c r="M866" s="28" t="str">
        <f>IFERROR(__xludf.DUMMYFUNCTION("IF(Account!$F866&lt;&gt;"""", VALUE(REGEXREPLACE($I866, ""\,"", ""."")), """")"),"")</f>
        <v/>
      </c>
      <c r="N866" s="31" t="str">
        <f>IF(Account!$F866&lt;&gt;"", DATEVALUE(MID($A866,4,3) &amp; LEFT($A866,3) &amp; RIGHT($A866,4)) + TIMEVALUE($B866), "")</f>
        <v/>
      </c>
      <c r="O866" s="33" t="str">
        <f>IF(Account!$F866&lt;&gt;"", DATEVALUE(MID($A866,4,3) &amp; LEFT($A866,3) &amp; RIGHT($A866,4)), "")</f>
        <v/>
      </c>
      <c r="P866" s="34" t="str">
        <f>IFERROR(VLOOKUP($Q866,Selection!$F:$G,2,false))</f>
        <v/>
      </c>
      <c r="Q866" s="36" t="str">
        <f>IF(AND($X866="change",$H866="EUR"),IF(AND($Z866="Crédit",$N866=$N867),$Q867,IF(AND($Z866="Débit",$N866=$N865),$Q865)),IF(OR(AND(OR($E866&lt;&gt;"",$L866=""),$M866&lt;&gt;0),$A866=""),IFERROR(VLOOKUP($E866,Selection!$E:$F,2,false)),IFERROR(VLOOKUP(SUBSTITUTE($I866,"-","",1),$K867:$Q1119,7,false),VLOOKUP($K866,$K867:$Q1119,7,false))))</f>
        <v/>
      </c>
      <c r="R866" s="34" t="str">
        <f t="shared" si="2"/>
        <v/>
      </c>
      <c r="S866" s="37" t="str">
        <f t="shared" si="3"/>
        <v/>
      </c>
      <c r="T866" s="38" t="str">
        <f t="shared" si="4"/>
        <v/>
      </c>
      <c r="U866" s="28" t="str">
        <f t="shared" si="5"/>
        <v/>
      </c>
      <c r="V866" s="39" t="str">
        <f>IFERROR(__xludf.DUMMYFUNCTION(" IF(Account!$F866&lt;&gt;"""", SPLIT(Account!$F866, "" ""), """")"),"")</f>
        <v/>
      </c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</row>
    <row r="867">
      <c r="A867" s="341"/>
      <c r="B867" s="341"/>
      <c r="C867" s="341"/>
      <c r="D867" s="341"/>
      <c r="E867" s="341"/>
      <c r="F867" s="373"/>
      <c r="G867" s="341"/>
      <c r="H867" s="341"/>
      <c r="I867" s="341"/>
      <c r="J867" s="341"/>
      <c r="K867" s="341"/>
      <c r="L867" s="26" t="str">
        <f t="shared" si="1"/>
        <v/>
      </c>
      <c r="M867" s="28" t="str">
        <f>IFERROR(__xludf.DUMMYFUNCTION("IF(Account!$F867&lt;&gt;"""", VALUE(REGEXREPLACE($I867, ""\,"", ""."")), """")"),"")</f>
        <v/>
      </c>
      <c r="N867" s="31" t="str">
        <f>IF(Account!$F867&lt;&gt;"", DATEVALUE(MID($A867,4,3) &amp; LEFT($A867,3) &amp; RIGHT($A867,4)) + TIMEVALUE($B867), "")</f>
        <v/>
      </c>
      <c r="O867" s="33" t="str">
        <f>IF(Account!$F867&lt;&gt;"", DATEVALUE(MID($A867,4,3) &amp; LEFT($A867,3) &amp; RIGHT($A867,4)), "")</f>
        <v/>
      </c>
      <c r="P867" s="34" t="str">
        <f>IFERROR(VLOOKUP($Q867,Selection!$F:$G,2,false))</f>
        <v/>
      </c>
      <c r="Q867" s="36" t="str">
        <f>IF(AND($X867="change",$H867="EUR"),IF(AND($Z867="Crédit",$N867=$N868),$Q868,IF(AND($Z867="Débit",$N867=$N866),$Q866)),IF(OR(AND(OR($E867&lt;&gt;"",$L867=""),$M867&lt;&gt;0),$A867=""),IFERROR(VLOOKUP($E867,Selection!$E:$F,2,false)),IFERROR(VLOOKUP(SUBSTITUTE($I867,"-","",1),$K868:$Q1119,7,false),VLOOKUP($K867,$K868:$Q1119,7,false))))</f>
        <v/>
      </c>
      <c r="R867" s="34" t="str">
        <f t="shared" si="2"/>
        <v/>
      </c>
      <c r="S867" s="37" t="str">
        <f t="shared" si="3"/>
        <v/>
      </c>
      <c r="T867" s="38" t="str">
        <f t="shared" si="4"/>
        <v/>
      </c>
      <c r="U867" s="28" t="str">
        <f t="shared" si="5"/>
        <v/>
      </c>
      <c r="V867" s="39" t="str">
        <f>IFERROR(__xludf.DUMMYFUNCTION(" IF(Account!$F867&lt;&gt;"""", SPLIT(Account!$F867, "" ""), """")"),"")</f>
        <v/>
      </c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</row>
    <row r="868">
      <c r="A868" s="341"/>
      <c r="B868" s="341"/>
      <c r="C868" s="341"/>
      <c r="D868" s="341"/>
      <c r="E868" s="341"/>
      <c r="F868" s="373"/>
      <c r="G868" s="341"/>
      <c r="H868" s="341"/>
      <c r="I868" s="341"/>
      <c r="J868" s="341"/>
      <c r="K868" s="341"/>
      <c r="L868" s="26" t="str">
        <f t="shared" si="1"/>
        <v/>
      </c>
      <c r="M868" s="28" t="str">
        <f>IFERROR(__xludf.DUMMYFUNCTION("IF(Account!$F868&lt;&gt;"""", VALUE(REGEXREPLACE($I868, ""\,"", ""."")), """")"),"")</f>
        <v/>
      </c>
      <c r="N868" s="31" t="str">
        <f>IF(Account!$F868&lt;&gt;"", DATEVALUE(MID($A868,4,3) &amp; LEFT($A868,3) &amp; RIGHT($A868,4)) + TIMEVALUE($B868), "")</f>
        <v/>
      </c>
      <c r="O868" s="33" t="str">
        <f>IF(Account!$F868&lt;&gt;"", DATEVALUE(MID($A868,4,3) &amp; LEFT($A868,3) &amp; RIGHT($A868,4)), "")</f>
        <v/>
      </c>
      <c r="P868" s="34" t="str">
        <f>IFERROR(VLOOKUP($Q868,Selection!$F:$G,2,false))</f>
        <v/>
      </c>
      <c r="Q868" s="36" t="str">
        <f>IF(AND($X868="change",$H868="EUR"),IF(AND($Z868="Crédit",$N868=$N869),$Q869,IF(AND($Z868="Débit",$N868=$N867),$Q867)),IF(OR(AND(OR($E868&lt;&gt;"",$L868=""),$M868&lt;&gt;0),$A868=""),IFERROR(VLOOKUP($E868,Selection!$E:$F,2,false)),IFERROR(VLOOKUP(SUBSTITUTE($I868,"-","",1),$K869:$Q1119,7,false),VLOOKUP($K868,$K869:$Q1119,7,false))))</f>
        <v/>
      </c>
      <c r="R868" s="34" t="str">
        <f t="shared" si="2"/>
        <v/>
      </c>
      <c r="S868" s="37" t="str">
        <f t="shared" si="3"/>
        <v/>
      </c>
      <c r="T868" s="38" t="str">
        <f t="shared" si="4"/>
        <v/>
      </c>
      <c r="U868" s="28" t="str">
        <f t="shared" si="5"/>
        <v/>
      </c>
      <c r="V868" s="39" t="str">
        <f>IFERROR(__xludf.DUMMYFUNCTION(" IF(Account!$F868&lt;&gt;"""", SPLIT(Account!$F868, "" ""), """")"),"")</f>
        <v/>
      </c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</row>
    <row r="869">
      <c r="A869" s="341"/>
      <c r="B869" s="341"/>
      <c r="C869" s="341"/>
      <c r="D869" s="341"/>
      <c r="E869" s="341"/>
      <c r="F869" s="373"/>
      <c r="G869" s="341"/>
      <c r="H869" s="341"/>
      <c r="I869" s="341"/>
      <c r="J869" s="341"/>
      <c r="K869" s="341"/>
      <c r="L869" s="26" t="str">
        <f t="shared" si="1"/>
        <v/>
      </c>
      <c r="M869" s="28" t="str">
        <f>IFERROR(__xludf.DUMMYFUNCTION("IF(Account!$F869&lt;&gt;"""", VALUE(REGEXREPLACE($I869, ""\,"", ""."")), """")"),"")</f>
        <v/>
      </c>
      <c r="N869" s="31" t="str">
        <f>IF(Account!$F869&lt;&gt;"", DATEVALUE(MID($A869,4,3) &amp; LEFT($A869,3) &amp; RIGHT($A869,4)) + TIMEVALUE($B869), "")</f>
        <v/>
      </c>
      <c r="O869" s="33" t="str">
        <f>IF(Account!$F869&lt;&gt;"", DATEVALUE(MID($A869,4,3) &amp; LEFT($A869,3) &amp; RIGHT($A869,4)), "")</f>
        <v/>
      </c>
      <c r="P869" s="34" t="str">
        <f>IFERROR(VLOOKUP($Q869,Selection!$F:$G,2,false))</f>
        <v/>
      </c>
      <c r="Q869" s="36" t="str">
        <f>IF(AND($X869="change",$H869="EUR"),IF(AND($Z869="Crédit",$N869=$N870),$Q870,IF(AND($Z869="Débit",$N869=$N868),$Q868)),IF(OR(AND(OR($E869&lt;&gt;"",$L869=""),$M869&lt;&gt;0),$A869=""),IFERROR(VLOOKUP($E869,Selection!$E:$F,2,false)),IFERROR(VLOOKUP(SUBSTITUTE($I869,"-","",1),$K870:$Q1119,7,false),VLOOKUP($K869,$K870:$Q1119,7,false))))</f>
        <v/>
      </c>
      <c r="R869" s="34" t="str">
        <f t="shared" si="2"/>
        <v/>
      </c>
      <c r="S869" s="37" t="str">
        <f t="shared" si="3"/>
        <v/>
      </c>
      <c r="T869" s="38" t="str">
        <f t="shared" si="4"/>
        <v/>
      </c>
      <c r="U869" s="28" t="str">
        <f t="shared" si="5"/>
        <v/>
      </c>
      <c r="V869" s="39" t="str">
        <f>IFERROR(__xludf.DUMMYFUNCTION(" IF(Account!$F869&lt;&gt;"""", SPLIT(Account!$F869, "" ""), """")"),"")</f>
        <v/>
      </c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</row>
    <row r="870">
      <c r="A870" s="341"/>
      <c r="B870" s="341"/>
      <c r="C870" s="341"/>
      <c r="D870" s="341"/>
      <c r="E870" s="341"/>
      <c r="F870" s="373"/>
      <c r="G870" s="341"/>
      <c r="H870" s="341"/>
      <c r="I870" s="341"/>
      <c r="J870" s="341"/>
      <c r="K870" s="341"/>
      <c r="L870" s="26" t="str">
        <f t="shared" si="1"/>
        <v/>
      </c>
      <c r="M870" s="28" t="str">
        <f>IFERROR(__xludf.DUMMYFUNCTION("IF(Account!$F870&lt;&gt;"""", VALUE(REGEXREPLACE($I870, ""\,"", ""."")), """")"),"")</f>
        <v/>
      </c>
      <c r="N870" s="31" t="str">
        <f>IF(Account!$F870&lt;&gt;"", DATEVALUE(MID($A870,4,3) &amp; LEFT($A870,3) &amp; RIGHT($A870,4)) + TIMEVALUE($B870), "")</f>
        <v/>
      </c>
      <c r="O870" s="33" t="str">
        <f>IF(Account!$F870&lt;&gt;"", DATEVALUE(MID($A870,4,3) &amp; LEFT($A870,3) &amp; RIGHT($A870,4)), "")</f>
        <v/>
      </c>
      <c r="P870" s="34" t="str">
        <f>IFERROR(VLOOKUP($Q870,Selection!$F:$G,2,false))</f>
        <v/>
      </c>
      <c r="Q870" s="36" t="str">
        <f>IF(AND($X870="change",$H870="EUR"),IF(AND($Z870="Crédit",$N870=$N871),$Q871,IF(AND($Z870="Débit",$N870=$N869),$Q869)),IF(OR(AND(OR($E870&lt;&gt;"",$L870=""),$M870&lt;&gt;0),$A870=""),IFERROR(VLOOKUP($E870,Selection!$E:$F,2,false)),IFERROR(VLOOKUP(SUBSTITUTE($I870,"-","",1),$K871:$Q1119,7,false),VLOOKUP($K870,$K871:$Q1119,7,false))))</f>
        <v/>
      </c>
      <c r="R870" s="34" t="str">
        <f t="shared" si="2"/>
        <v/>
      </c>
      <c r="S870" s="37" t="str">
        <f t="shared" si="3"/>
        <v/>
      </c>
      <c r="T870" s="38" t="str">
        <f t="shared" si="4"/>
        <v/>
      </c>
      <c r="U870" s="28" t="str">
        <f t="shared" si="5"/>
        <v/>
      </c>
      <c r="V870" s="39" t="str">
        <f>IFERROR(__xludf.DUMMYFUNCTION(" IF(Account!$F870&lt;&gt;"""", SPLIT(Account!$F870, "" ""), """")"),"")</f>
        <v/>
      </c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</row>
    <row r="871">
      <c r="A871" s="341"/>
      <c r="B871" s="341"/>
      <c r="C871" s="341"/>
      <c r="D871" s="341"/>
      <c r="E871" s="341"/>
      <c r="F871" s="373"/>
      <c r="G871" s="341"/>
      <c r="H871" s="341"/>
      <c r="I871" s="341"/>
      <c r="J871" s="341"/>
      <c r="K871" s="341"/>
      <c r="L871" s="26" t="str">
        <f t="shared" si="1"/>
        <v/>
      </c>
      <c r="M871" s="28" t="str">
        <f>IFERROR(__xludf.DUMMYFUNCTION("IF(Account!$F871&lt;&gt;"""", VALUE(REGEXREPLACE($I871, ""\,"", ""."")), """")"),"")</f>
        <v/>
      </c>
      <c r="N871" s="31" t="str">
        <f>IF(Account!$F871&lt;&gt;"", DATEVALUE(MID($A871,4,3) &amp; LEFT($A871,3) &amp; RIGHT($A871,4)) + TIMEVALUE($B871), "")</f>
        <v/>
      </c>
      <c r="O871" s="33" t="str">
        <f>IF(Account!$F871&lt;&gt;"", DATEVALUE(MID($A871,4,3) &amp; LEFT($A871,3) &amp; RIGHT($A871,4)), "")</f>
        <v/>
      </c>
      <c r="P871" s="34" t="str">
        <f>IFERROR(VLOOKUP($Q871,Selection!$F:$G,2,false))</f>
        <v/>
      </c>
      <c r="Q871" s="36" t="str">
        <f>IF(AND($X871="change",$H871="EUR"),IF(AND($Z871="Crédit",$N871=$N872),$Q872,IF(AND($Z871="Débit",$N871=$N870),$Q870)),IF(OR(AND(OR($E871&lt;&gt;"",$L871=""),$M871&lt;&gt;0),$A871=""),IFERROR(VLOOKUP($E871,Selection!$E:$F,2,false)),IFERROR(VLOOKUP(SUBSTITUTE($I871,"-","",1),$K872:$Q1119,7,false),VLOOKUP($K871,$K872:$Q1119,7,false))))</f>
        <v/>
      </c>
      <c r="R871" s="34" t="str">
        <f t="shared" si="2"/>
        <v/>
      </c>
      <c r="S871" s="37" t="str">
        <f t="shared" si="3"/>
        <v/>
      </c>
      <c r="T871" s="38" t="str">
        <f t="shared" si="4"/>
        <v/>
      </c>
      <c r="U871" s="28" t="str">
        <f t="shared" si="5"/>
        <v/>
      </c>
      <c r="V871" s="39" t="str">
        <f>IFERROR(__xludf.DUMMYFUNCTION(" IF(Account!$F871&lt;&gt;"""", SPLIT(Account!$F871, "" ""), """")"),"")</f>
        <v/>
      </c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</row>
    <row r="872">
      <c r="A872" s="341"/>
      <c r="B872" s="341"/>
      <c r="C872" s="341"/>
      <c r="D872" s="341"/>
      <c r="E872" s="341"/>
      <c r="F872" s="373"/>
      <c r="G872" s="341"/>
      <c r="H872" s="341"/>
      <c r="I872" s="341"/>
      <c r="J872" s="341"/>
      <c r="K872" s="341"/>
      <c r="L872" s="26" t="str">
        <f t="shared" si="1"/>
        <v/>
      </c>
      <c r="M872" s="28" t="str">
        <f>IFERROR(__xludf.DUMMYFUNCTION("IF(Account!$F872&lt;&gt;"""", VALUE(REGEXREPLACE($I872, ""\,"", ""."")), """")"),"")</f>
        <v/>
      </c>
      <c r="N872" s="31" t="str">
        <f>IF(Account!$F872&lt;&gt;"", DATEVALUE(MID($A872,4,3) &amp; LEFT($A872,3) &amp; RIGHT($A872,4)) + TIMEVALUE($B872), "")</f>
        <v/>
      </c>
      <c r="O872" s="33" t="str">
        <f>IF(Account!$F872&lt;&gt;"", DATEVALUE(MID($A872,4,3) &amp; LEFT($A872,3) &amp; RIGHT($A872,4)), "")</f>
        <v/>
      </c>
      <c r="P872" s="34" t="str">
        <f>IFERROR(VLOOKUP($Q872,Selection!$F:$G,2,false))</f>
        <v/>
      </c>
      <c r="Q872" s="36" t="str">
        <f>IF(AND($X872="change",$H872="EUR"),IF(AND($Z872="Crédit",$N872=$N873),$Q873,IF(AND($Z872="Débit",$N872=$N871),$Q871)),IF(OR(AND(OR($E872&lt;&gt;"",$L872=""),$M872&lt;&gt;0),$A872=""),IFERROR(VLOOKUP($E872,Selection!$E:$F,2,false)),IFERROR(VLOOKUP(SUBSTITUTE($I872,"-","",1),$K873:$Q1119,7,false),VLOOKUP($K872,$K873:$Q1119,7,false))))</f>
        <v/>
      </c>
      <c r="R872" s="34" t="str">
        <f t="shared" si="2"/>
        <v/>
      </c>
      <c r="S872" s="37" t="str">
        <f t="shared" si="3"/>
        <v/>
      </c>
      <c r="T872" s="38" t="str">
        <f t="shared" si="4"/>
        <v/>
      </c>
      <c r="U872" s="28" t="str">
        <f t="shared" si="5"/>
        <v/>
      </c>
      <c r="V872" s="39" t="str">
        <f>IFERROR(__xludf.DUMMYFUNCTION(" IF(Account!$F872&lt;&gt;"""", SPLIT(Account!$F872, "" ""), """")"),"")</f>
        <v/>
      </c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</row>
    <row r="873">
      <c r="A873" s="341"/>
      <c r="B873" s="341"/>
      <c r="C873" s="341"/>
      <c r="D873" s="341"/>
      <c r="E873" s="341"/>
      <c r="F873" s="373"/>
      <c r="G873" s="341"/>
      <c r="H873" s="341"/>
      <c r="I873" s="341"/>
      <c r="J873" s="341"/>
      <c r="K873" s="341"/>
      <c r="L873" s="26" t="str">
        <f t="shared" si="1"/>
        <v/>
      </c>
      <c r="M873" s="28" t="str">
        <f>IFERROR(__xludf.DUMMYFUNCTION("IF(Account!$F873&lt;&gt;"""", VALUE(REGEXREPLACE($I873, ""\,"", ""."")), """")"),"")</f>
        <v/>
      </c>
      <c r="N873" s="31" t="str">
        <f>IF(Account!$F873&lt;&gt;"", DATEVALUE(MID($A873,4,3) &amp; LEFT($A873,3) &amp; RIGHT($A873,4)) + TIMEVALUE($B873), "")</f>
        <v/>
      </c>
      <c r="O873" s="33" t="str">
        <f>IF(Account!$F873&lt;&gt;"", DATEVALUE(MID($A873,4,3) &amp; LEFT($A873,3) &amp; RIGHT($A873,4)), "")</f>
        <v/>
      </c>
      <c r="P873" s="34" t="str">
        <f>IFERROR(VLOOKUP($Q873,Selection!$F:$G,2,false))</f>
        <v/>
      </c>
      <c r="Q873" s="36" t="str">
        <f>IF(AND($X873="change",$H873="EUR"),IF(AND($Z873="Crédit",$N873=$N874),$Q874,IF(AND($Z873="Débit",$N873=$N872),$Q872)),IF(OR(AND(OR($E873&lt;&gt;"",$L873=""),$M873&lt;&gt;0),$A873=""),IFERROR(VLOOKUP($E873,Selection!$E:$F,2,false)),IFERROR(VLOOKUP(SUBSTITUTE($I873,"-","",1),$K874:$Q1119,7,false),VLOOKUP($K873,$K874:$Q1119,7,false))))</f>
        <v/>
      </c>
      <c r="R873" s="34" t="str">
        <f t="shared" si="2"/>
        <v/>
      </c>
      <c r="S873" s="37" t="str">
        <f t="shared" si="3"/>
        <v/>
      </c>
      <c r="T873" s="38" t="str">
        <f t="shared" si="4"/>
        <v/>
      </c>
      <c r="U873" s="28" t="str">
        <f t="shared" si="5"/>
        <v/>
      </c>
      <c r="V873" s="39" t="str">
        <f>IFERROR(__xludf.DUMMYFUNCTION(" IF(Account!$F873&lt;&gt;"""", SPLIT(Account!$F873, "" ""), """")"),"")</f>
        <v/>
      </c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</row>
    <row r="874">
      <c r="A874" s="341"/>
      <c r="B874" s="341"/>
      <c r="C874" s="341"/>
      <c r="D874" s="341"/>
      <c r="E874" s="341"/>
      <c r="F874" s="373"/>
      <c r="G874" s="341"/>
      <c r="H874" s="341"/>
      <c r="I874" s="341"/>
      <c r="J874" s="341"/>
      <c r="K874" s="341"/>
      <c r="L874" s="26" t="str">
        <f t="shared" si="1"/>
        <v/>
      </c>
      <c r="M874" s="28" t="str">
        <f>IFERROR(__xludf.DUMMYFUNCTION("IF(Account!$F874&lt;&gt;"""", VALUE(REGEXREPLACE($I874, ""\,"", ""."")), """")"),"")</f>
        <v/>
      </c>
      <c r="N874" s="31" t="str">
        <f>IF(Account!$F874&lt;&gt;"", DATEVALUE(MID($A874,4,3) &amp; LEFT($A874,3) &amp; RIGHT($A874,4)) + TIMEVALUE($B874), "")</f>
        <v/>
      </c>
      <c r="O874" s="33" t="str">
        <f>IF(Account!$F874&lt;&gt;"", DATEVALUE(MID($A874,4,3) &amp; LEFT($A874,3) &amp; RIGHT($A874,4)), "")</f>
        <v/>
      </c>
      <c r="P874" s="34" t="str">
        <f>IFERROR(VLOOKUP($Q874,Selection!$F:$G,2,false))</f>
        <v/>
      </c>
      <c r="Q874" s="36" t="str">
        <f>IF(AND($X874="change",$H874="EUR"),IF(AND($Z874="Crédit",$N874=$N875),$Q875,IF(AND($Z874="Débit",$N874=$N873),$Q873)),IF(OR(AND(OR($E874&lt;&gt;"",$L874=""),$M874&lt;&gt;0),$A874=""),IFERROR(VLOOKUP($E874,Selection!$E:$F,2,false)),IFERROR(VLOOKUP(SUBSTITUTE($I874,"-","",1),$K875:$Q1119,7,false),VLOOKUP($K874,$K875:$Q1119,7,false))))</f>
        <v/>
      </c>
      <c r="R874" s="34" t="str">
        <f t="shared" si="2"/>
        <v/>
      </c>
      <c r="S874" s="37" t="str">
        <f t="shared" si="3"/>
        <v/>
      </c>
      <c r="T874" s="38" t="str">
        <f t="shared" si="4"/>
        <v/>
      </c>
      <c r="U874" s="28" t="str">
        <f t="shared" si="5"/>
        <v/>
      </c>
      <c r="V874" s="39" t="str">
        <f>IFERROR(__xludf.DUMMYFUNCTION(" IF(Account!$F874&lt;&gt;"""", SPLIT(Account!$F874, "" ""), """")"),"")</f>
        <v/>
      </c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</row>
    <row r="875">
      <c r="A875" s="341"/>
      <c r="B875" s="341"/>
      <c r="C875" s="341"/>
      <c r="D875" s="341"/>
      <c r="E875" s="341"/>
      <c r="F875" s="373"/>
      <c r="G875" s="341"/>
      <c r="H875" s="341"/>
      <c r="I875" s="341"/>
      <c r="J875" s="341"/>
      <c r="K875" s="341"/>
      <c r="L875" s="26" t="str">
        <f t="shared" si="1"/>
        <v/>
      </c>
      <c r="M875" s="28" t="str">
        <f>IFERROR(__xludf.DUMMYFUNCTION("IF(Account!$F875&lt;&gt;"""", VALUE(REGEXREPLACE($I875, ""\,"", ""."")), """")"),"")</f>
        <v/>
      </c>
      <c r="N875" s="31" t="str">
        <f>IF(Account!$F875&lt;&gt;"", DATEVALUE(MID($A875,4,3) &amp; LEFT($A875,3) &amp; RIGHT($A875,4)) + TIMEVALUE($B875), "")</f>
        <v/>
      </c>
      <c r="O875" s="33" t="str">
        <f>IF(Account!$F875&lt;&gt;"", DATEVALUE(MID($A875,4,3) &amp; LEFT($A875,3) &amp; RIGHT($A875,4)), "")</f>
        <v/>
      </c>
      <c r="P875" s="34" t="str">
        <f>IFERROR(VLOOKUP($Q875,Selection!$F:$G,2,false))</f>
        <v/>
      </c>
      <c r="Q875" s="36" t="str">
        <f>IF(AND($X875="change",$H875="EUR"),IF(AND($Z875="Crédit",$N875=$N876),$Q876,IF(AND($Z875="Débit",$N875=$N874),$Q874)),IF(OR(AND(OR($E875&lt;&gt;"",$L875=""),$M875&lt;&gt;0),$A875=""),IFERROR(VLOOKUP($E875,Selection!$E:$F,2,false)),IFERROR(VLOOKUP(SUBSTITUTE($I875,"-","",1),$K876:$Q1119,7,false),VLOOKUP($K875,$K876:$Q1119,7,false))))</f>
        <v/>
      </c>
      <c r="R875" s="34" t="str">
        <f t="shared" si="2"/>
        <v/>
      </c>
      <c r="S875" s="37" t="str">
        <f t="shared" si="3"/>
        <v/>
      </c>
      <c r="T875" s="38" t="str">
        <f t="shared" si="4"/>
        <v/>
      </c>
      <c r="U875" s="28" t="str">
        <f t="shared" si="5"/>
        <v/>
      </c>
      <c r="V875" s="39" t="str">
        <f>IFERROR(__xludf.DUMMYFUNCTION(" IF(Account!$F875&lt;&gt;"""", SPLIT(Account!$F875, "" ""), """")"),"")</f>
        <v/>
      </c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</row>
    <row r="876">
      <c r="A876" s="341"/>
      <c r="B876" s="341"/>
      <c r="C876" s="341"/>
      <c r="D876" s="341"/>
      <c r="E876" s="341"/>
      <c r="F876" s="373"/>
      <c r="G876" s="341"/>
      <c r="H876" s="341"/>
      <c r="I876" s="341"/>
      <c r="J876" s="341"/>
      <c r="K876" s="341"/>
      <c r="L876" s="26" t="str">
        <f t="shared" si="1"/>
        <v/>
      </c>
      <c r="M876" s="28" t="str">
        <f>IFERROR(__xludf.DUMMYFUNCTION("IF(Account!$F876&lt;&gt;"""", VALUE(REGEXREPLACE($I876, ""\,"", ""."")), """")"),"")</f>
        <v/>
      </c>
      <c r="N876" s="31" t="str">
        <f>IF(Account!$F876&lt;&gt;"", DATEVALUE(MID($A876,4,3) &amp; LEFT($A876,3) &amp; RIGHT($A876,4)) + TIMEVALUE($B876), "")</f>
        <v/>
      </c>
      <c r="O876" s="33" t="str">
        <f>IF(Account!$F876&lt;&gt;"", DATEVALUE(MID($A876,4,3) &amp; LEFT($A876,3) &amp; RIGHT($A876,4)), "")</f>
        <v/>
      </c>
      <c r="P876" s="34" t="str">
        <f>IFERROR(VLOOKUP($Q876,Selection!$F:$G,2,false))</f>
        <v/>
      </c>
      <c r="Q876" s="36" t="str">
        <f>IF(AND($X876="change",$H876="EUR"),IF(AND($Z876="Crédit",$N876=$N877),$Q877,IF(AND($Z876="Débit",$N876=$N875),$Q875)),IF(OR(AND(OR($E876&lt;&gt;"",$L876=""),$M876&lt;&gt;0),$A876=""),IFERROR(VLOOKUP($E876,Selection!$E:$F,2,false)),IFERROR(VLOOKUP(SUBSTITUTE($I876,"-","",1),$K877:$Q1119,7,false),VLOOKUP($K876,$K877:$Q1119,7,false))))</f>
        <v/>
      </c>
      <c r="R876" s="34" t="str">
        <f t="shared" si="2"/>
        <v/>
      </c>
      <c r="S876" s="37" t="str">
        <f t="shared" si="3"/>
        <v/>
      </c>
      <c r="T876" s="38" t="str">
        <f t="shared" si="4"/>
        <v/>
      </c>
      <c r="U876" s="28" t="str">
        <f t="shared" si="5"/>
        <v/>
      </c>
      <c r="V876" s="39" t="str">
        <f>IFERROR(__xludf.DUMMYFUNCTION(" IF(Account!$F876&lt;&gt;"""", SPLIT(Account!$F876, "" ""), """")"),"")</f>
        <v/>
      </c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</row>
    <row r="877">
      <c r="A877" s="341"/>
      <c r="B877" s="341"/>
      <c r="C877" s="341"/>
      <c r="D877" s="341"/>
      <c r="E877" s="341"/>
      <c r="F877" s="373"/>
      <c r="G877" s="341"/>
      <c r="H877" s="341"/>
      <c r="I877" s="341"/>
      <c r="J877" s="341"/>
      <c r="K877" s="341"/>
      <c r="L877" s="26" t="str">
        <f t="shared" si="1"/>
        <v/>
      </c>
      <c r="M877" s="28" t="str">
        <f>IFERROR(__xludf.DUMMYFUNCTION("IF(Account!$F877&lt;&gt;"""", VALUE(REGEXREPLACE($I877, ""\,"", ""."")), """")"),"")</f>
        <v/>
      </c>
      <c r="N877" s="31" t="str">
        <f>IF(Account!$F877&lt;&gt;"", DATEVALUE(MID($A877,4,3) &amp; LEFT($A877,3) &amp; RIGHT($A877,4)) + TIMEVALUE($B877), "")</f>
        <v/>
      </c>
      <c r="O877" s="33" t="str">
        <f>IF(Account!$F877&lt;&gt;"", DATEVALUE(MID($A877,4,3) &amp; LEFT($A877,3) &amp; RIGHT($A877,4)), "")</f>
        <v/>
      </c>
      <c r="P877" s="34" t="str">
        <f>IFERROR(VLOOKUP($Q877,Selection!$F:$G,2,false))</f>
        <v/>
      </c>
      <c r="Q877" s="36" t="str">
        <f>IF(AND($X877="change",$H877="EUR"),IF(AND($Z877="Crédit",$N877=$N878),$Q878,IF(AND($Z877="Débit",$N877=$N876),$Q876)),IF(OR(AND(OR($E877&lt;&gt;"",$L877=""),$M877&lt;&gt;0),$A877=""),IFERROR(VLOOKUP($E877,Selection!$E:$F,2,false)),IFERROR(VLOOKUP(SUBSTITUTE($I877,"-","",1),$K878:$Q1119,7,false),VLOOKUP($K877,$K878:$Q1119,7,false))))</f>
        <v/>
      </c>
      <c r="R877" s="34" t="str">
        <f t="shared" si="2"/>
        <v/>
      </c>
      <c r="S877" s="37" t="str">
        <f t="shared" si="3"/>
        <v/>
      </c>
      <c r="T877" s="38" t="str">
        <f t="shared" si="4"/>
        <v/>
      </c>
      <c r="U877" s="28" t="str">
        <f t="shared" si="5"/>
        <v/>
      </c>
      <c r="V877" s="39" t="str">
        <f>IFERROR(__xludf.DUMMYFUNCTION(" IF(Account!$F877&lt;&gt;"""", SPLIT(Account!$F877, "" ""), """")"),"")</f>
        <v/>
      </c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</row>
    <row r="878">
      <c r="A878" s="341"/>
      <c r="B878" s="341"/>
      <c r="C878" s="341"/>
      <c r="D878" s="341"/>
      <c r="E878" s="341"/>
      <c r="F878" s="373"/>
      <c r="G878" s="341"/>
      <c r="H878" s="341"/>
      <c r="I878" s="341"/>
      <c r="J878" s="341"/>
      <c r="K878" s="341"/>
      <c r="L878" s="26" t="str">
        <f t="shared" si="1"/>
        <v/>
      </c>
      <c r="M878" s="28" t="str">
        <f>IFERROR(__xludf.DUMMYFUNCTION("IF(Account!$F878&lt;&gt;"""", VALUE(REGEXREPLACE($I878, ""\,"", ""."")), """")"),"")</f>
        <v/>
      </c>
      <c r="N878" s="31" t="str">
        <f>IF(Account!$F878&lt;&gt;"", DATEVALUE(MID($A878,4,3) &amp; LEFT($A878,3) &amp; RIGHT($A878,4)) + TIMEVALUE($B878), "")</f>
        <v/>
      </c>
      <c r="O878" s="33" t="str">
        <f>IF(Account!$F878&lt;&gt;"", DATEVALUE(MID($A878,4,3) &amp; LEFT($A878,3) &amp; RIGHT($A878,4)), "")</f>
        <v/>
      </c>
      <c r="P878" s="34" t="str">
        <f>IFERROR(VLOOKUP($Q878,Selection!$F:$G,2,false))</f>
        <v/>
      </c>
      <c r="Q878" s="36" t="str">
        <f>IF(AND($X878="change",$H878="EUR"),IF(AND($Z878="Crédit",$N878=$N879),$Q879,IF(AND($Z878="Débit",$N878=$N877),$Q877)),IF(OR(AND(OR($E878&lt;&gt;"",$L878=""),$M878&lt;&gt;0),$A878=""),IFERROR(VLOOKUP($E878,Selection!$E:$F,2,false)),IFERROR(VLOOKUP(SUBSTITUTE($I878,"-","",1),$K879:$Q1119,7,false),VLOOKUP($K878,$K879:$Q1119,7,false))))</f>
        <v/>
      </c>
      <c r="R878" s="34" t="str">
        <f t="shared" si="2"/>
        <v/>
      </c>
      <c r="S878" s="37" t="str">
        <f t="shared" si="3"/>
        <v/>
      </c>
      <c r="T878" s="38" t="str">
        <f t="shared" si="4"/>
        <v/>
      </c>
      <c r="U878" s="28" t="str">
        <f t="shared" si="5"/>
        <v/>
      </c>
      <c r="V878" s="39" t="str">
        <f>IFERROR(__xludf.DUMMYFUNCTION(" IF(Account!$F878&lt;&gt;"""", SPLIT(Account!$F878, "" ""), """")"),"")</f>
        <v/>
      </c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</row>
    <row r="879">
      <c r="A879" s="341"/>
      <c r="B879" s="341"/>
      <c r="C879" s="341"/>
      <c r="D879" s="341"/>
      <c r="E879" s="341"/>
      <c r="F879" s="373"/>
      <c r="G879" s="341"/>
      <c r="H879" s="341"/>
      <c r="I879" s="341"/>
      <c r="J879" s="341"/>
      <c r="K879" s="341"/>
      <c r="L879" s="26" t="str">
        <f t="shared" si="1"/>
        <v/>
      </c>
      <c r="M879" s="28" t="str">
        <f>IFERROR(__xludf.DUMMYFUNCTION("IF(Account!$F879&lt;&gt;"""", VALUE(REGEXREPLACE($I879, ""\,"", ""."")), """")"),"")</f>
        <v/>
      </c>
      <c r="N879" s="31" t="str">
        <f>IF(Account!$F879&lt;&gt;"", DATEVALUE(MID($A879,4,3) &amp; LEFT($A879,3) &amp; RIGHT($A879,4)) + TIMEVALUE($B879), "")</f>
        <v/>
      </c>
      <c r="O879" s="33" t="str">
        <f>IF(Account!$F879&lt;&gt;"", DATEVALUE(MID($A879,4,3) &amp; LEFT($A879,3) &amp; RIGHT($A879,4)), "")</f>
        <v/>
      </c>
      <c r="P879" s="34" t="str">
        <f>IFERROR(VLOOKUP($Q879,Selection!$F:$G,2,false))</f>
        <v/>
      </c>
      <c r="Q879" s="36" t="str">
        <f>IF(AND($X879="change",$H879="EUR"),IF(AND($Z879="Crédit",$N879=$N880),$Q880,IF(AND($Z879="Débit",$N879=$N878),$Q878)),IF(OR(AND(OR($E879&lt;&gt;"",$L879=""),$M879&lt;&gt;0),$A879=""),IFERROR(VLOOKUP($E879,Selection!$E:$F,2,false)),IFERROR(VLOOKUP(SUBSTITUTE($I879,"-","",1),$K880:$Q1119,7,false),VLOOKUP($K879,$K880:$Q1119,7,false))))</f>
        <v/>
      </c>
      <c r="R879" s="34" t="str">
        <f t="shared" si="2"/>
        <v/>
      </c>
      <c r="S879" s="37" t="str">
        <f t="shared" si="3"/>
        <v/>
      </c>
      <c r="T879" s="38" t="str">
        <f t="shared" si="4"/>
        <v/>
      </c>
      <c r="U879" s="28" t="str">
        <f t="shared" si="5"/>
        <v/>
      </c>
      <c r="V879" s="39" t="str">
        <f>IFERROR(__xludf.DUMMYFUNCTION(" IF(Account!$F879&lt;&gt;"""", SPLIT(Account!$F879, "" ""), """")"),"")</f>
        <v/>
      </c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</row>
    <row r="880">
      <c r="A880" s="341"/>
      <c r="B880" s="341"/>
      <c r="C880" s="341"/>
      <c r="D880" s="341"/>
      <c r="E880" s="341"/>
      <c r="F880" s="373"/>
      <c r="G880" s="341"/>
      <c r="H880" s="341"/>
      <c r="I880" s="341"/>
      <c r="J880" s="341"/>
      <c r="K880" s="341"/>
      <c r="L880" s="26" t="str">
        <f t="shared" si="1"/>
        <v/>
      </c>
      <c r="M880" s="28" t="str">
        <f>IFERROR(__xludf.DUMMYFUNCTION("IF(Account!$F880&lt;&gt;"""", VALUE(REGEXREPLACE($I880, ""\,"", ""."")), """")"),"")</f>
        <v/>
      </c>
      <c r="N880" s="31" t="str">
        <f>IF(Account!$F880&lt;&gt;"", DATEVALUE(MID($A880,4,3) &amp; LEFT($A880,3) &amp; RIGHT($A880,4)) + TIMEVALUE($B880), "")</f>
        <v/>
      </c>
      <c r="O880" s="33" t="str">
        <f>IF(Account!$F880&lt;&gt;"", DATEVALUE(MID($A880,4,3) &amp; LEFT($A880,3) &amp; RIGHT($A880,4)), "")</f>
        <v/>
      </c>
      <c r="P880" s="34" t="str">
        <f>IFERROR(VLOOKUP($Q880,Selection!$F:$G,2,false))</f>
        <v/>
      </c>
      <c r="Q880" s="36" t="str">
        <f>IF(AND($X880="change",$H880="EUR"),IF(AND($Z880="Crédit",$N880=$N881),$Q881,IF(AND($Z880="Débit",$N880=$N879),$Q879)),IF(OR(AND(OR($E880&lt;&gt;"",$L880=""),$M880&lt;&gt;0),$A880=""),IFERROR(VLOOKUP($E880,Selection!$E:$F,2,false)),IFERROR(VLOOKUP(SUBSTITUTE($I880,"-","",1),$K881:$Q1119,7,false),VLOOKUP($K880,$K881:$Q1119,7,false))))</f>
        <v/>
      </c>
      <c r="R880" s="34" t="str">
        <f t="shared" si="2"/>
        <v/>
      </c>
      <c r="S880" s="37" t="str">
        <f t="shared" si="3"/>
        <v/>
      </c>
      <c r="T880" s="38" t="str">
        <f t="shared" si="4"/>
        <v/>
      </c>
      <c r="U880" s="28" t="str">
        <f t="shared" si="5"/>
        <v/>
      </c>
      <c r="V880" s="39" t="str">
        <f>IFERROR(__xludf.DUMMYFUNCTION(" IF(Account!$F880&lt;&gt;"""", SPLIT(Account!$F880, "" ""), """")"),"")</f>
        <v/>
      </c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</row>
    <row r="881">
      <c r="A881" s="341"/>
      <c r="B881" s="341"/>
      <c r="C881" s="341"/>
      <c r="D881" s="341"/>
      <c r="E881" s="341"/>
      <c r="F881" s="373"/>
      <c r="G881" s="341"/>
      <c r="H881" s="341"/>
      <c r="I881" s="341"/>
      <c r="J881" s="341"/>
      <c r="K881" s="341"/>
      <c r="L881" s="26" t="str">
        <f t="shared" si="1"/>
        <v/>
      </c>
      <c r="M881" s="28" t="str">
        <f>IFERROR(__xludf.DUMMYFUNCTION("IF(Account!$F881&lt;&gt;"""", VALUE(REGEXREPLACE($I881, ""\,"", ""."")), """")"),"")</f>
        <v/>
      </c>
      <c r="N881" s="31" t="str">
        <f>IF(Account!$F881&lt;&gt;"", DATEVALUE(MID($A881,4,3) &amp; LEFT($A881,3) &amp; RIGHT($A881,4)) + TIMEVALUE($B881), "")</f>
        <v/>
      </c>
      <c r="O881" s="33" t="str">
        <f>IF(Account!$F881&lt;&gt;"", DATEVALUE(MID($A881,4,3) &amp; LEFT($A881,3) &amp; RIGHT($A881,4)), "")</f>
        <v/>
      </c>
      <c r="P881" s="34" t="str">
        <f>IFERROR(VLOOKUP($Q881,Selection!$F:$G,2,false))</f>
        <v/>
      </c>
      <c r="Q881" s="36" t="str">
        <f>IF(AND($X881="change",$H881="EUR"),IF(AND($Z881="Crédit",$N881=$N882),$Q882,IF(AND($Z881="Débit",$N881=$N880),$Q880)),IF(OR(AND(OR($E881&lt;&gt;"",$L881=""),$M881&lt;&gt;0),$A881=""),IFERROR(VLOOKUP($E881,Selection!$E:$F,2,false)),IFERROR(VLOOKUP(SUBSTITUTE($I881,"-","",1),$K882:$Q1119,7,false),VLOOKUP($K881,$K882:$Q1119,7,false))))</f>
        <v/>
      </c>
      <c r="R881" s="34" t="str">
        <f t="shared" si="2"/>
        <v/>
      </c>
      <c r="S881" s="37" t="str">
        <f t="shared" si="3"/>
        <v/>
      </c>
      <c r="T881" s="38" t="str">
        <f t="shared" si="4"/>
        <v/>
      </c>
      <c r="U881" s="28" t="str">
        <f t="shared" si="5"/>
        <v/>
      </c>
      <c r="V881" s="39" t="str">
        <f>IFERROR(__xludf.DUMMYFUNCTION(" IF(Account!$F881&lt;&gt;"""", SPLIT(Account!$F881, "" ""), """")"),"")</f>
        <v/>
      </c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</row>
    <row r="882">
      <c r="A882" s="341"/>
      <c r="B882" s="341"/>
      <c r="C882" s="341"/>
      <c r="D882" s="341"/>
      <c r="E882" s="341"/>
      <c r="F882" s="373"/>
      <c r="G882" s="341"/>
      <c r="H882" s="341"/>
      <c r="I882" s="341"/>
      <c r="J882" s="341"/>
      <c r="K882" s="341"/>
      <c r="L882" s="26" t="str">
        <f t="shared" si="1"/>
        <v/>
      </c>
      <c r="M882" s="28" t="str">
        <f>IFERROR(__xludf.DUMMYFUNCTION("IF(Account!$F882&lt;&gt;"""", VALUE(REGEXREPLACE($I882, ""\,"", ""."")), """")"),"")</f>
        <v/>
      </c>
      <c r="N882" s="31" t="str">
        <f>IF(Account!$F882&lt;&gt;"", DATEVALUE(MID($A882,4,3) &amp; LEFT($A882,3) &amp; RIGHT($A882,4)) + TIMEVALUE($B882), "")</f>
        <v/>
      </c>
      <c r="O882" s="33" t="str">
        <f>IF(Account!$F882&lt;&gt;"", DATEVALUE(MID($A882,4,3) &amp; LEFT($A882,3) &amp; RIGHT($A882,4)), "")</f>
        <v/>
      </c>
      <c r="P882" s="34" t="str">
        <f>IFERROR(VLOOKUP($Q882,Selection!$F:$G,2,false))</f>
        <v/>
      </c>
      <c r="Q882" s="36" t="str">
        <f>IF(AND($X882="change",$H882="EUR"),IF(AND($Z882="Crédit",$N882=$N883),$Q883,IF(AND($Z882="Débit",$N882=$N881),$Q881)),IF(OR(AND(OR($E882&lt;&gt;"",$L882=""),$M882&lt;&gt;0),$A882=""),IFERROR(VLOOKUP($E882,Selection!$E:$F,2,false)),IFERROR(VLOOKUP(SUBSTITUTE($I882,"-","",1),$K883:$Q1119,7,false),VLOOKUP($K882,$K883:$Q1119,7,false))))</f>
        <v/>
      </c>
      <c r="R882" s="34" t="str">
        <f t="shared" si="2"/>
        <v/>
      </c>
      <c r="S882" s="37" t="str">
        <f t="shared" si="3"/>
        <v/>
      </c>
      <c r="T882" s="38" t="str">
        <f t="shared" si="4"/>
        <v/>
      </c>
      <c r="U882" s="28" t="str">
        <f t="shared" si="5"/>
        <v/>
      </c>
      <c r="V882" s="39" t="str">
        <f>IFERROR(__xludf.DUMMYFUNCTION(" IF(Account!$F882&lt;&gt;"""", SPLIT(Account!$F882, "" ""), """")"),"")</f>
        <v/>
      </c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</row>
    <row r="883">
      <c r="A883" s="341"/>
      <c r="B883" s="341"/>
      <c r="C883" s="341"/>
      <c r="D883" s="341"/>
      <c r="E883" s="341"/>
      <c r="F883" s="373"/>
      <c r="G883" s="341"/>
      <c r="H883" s="341"/>
      <c r="I883" s="341"/>
      <c r="J883" s="341"/>
      <c r="K883" s="341"/>
      <c r="L883" s="26" t="str">
        <f t="shared" si="1"/>
        <v/>
      </c>
      <c r="M883" s="28" t="str">
        <f>IFERROR(__xludf.DUMMYFUNCTION("IF(Account!$F883&lt;&gt;"""", VALUE(REGEXREPLACE($I883, ""\,"", ""."")), """")"),"")</f>
        <v/>
      </c>
      <c r="N883" s="31" t="str">
        <f>IF(Account!$F883&lt;&gt;"", DATEVALUE(MID($A883,4,3) &amp; LEFT($A883,3) &amp; RIGHT($A883,4)) + TIMEVALUE($B883), "")</f>
        <v/>
      </c>
      <c r="O883" s="33" t="str">
        <f>IF(Account!$F883&lt;&gt;"", DATEVALUE(MID($A883,4,3) &amp; LEFT($A883,3) &amp; RIGHT($A883,4)), "")</f>
        <v/>
      </c>
      <c r="P883" s="34" t="str">
        <f>IFERROR(VLOOKUP($Q883,Selection!$F:$G,2,false))</f>
        <v/>
      </c>
      <c r="Q883" s="36" t="str">
        <f>IF(AND($X883="change",$H883="EUR"),IF(AND($Z883="Crédit",$N883=$N884),$Q884,IF(AND($Z883="Débit",$N883=$N882),$Q882)),IF(OR(AND(OR($E883&lt;&gt;"",$L883=""),$M883&lt;&gt;0),$A883=""),IFERROR(VLOOKUP($E883,Selection!$E:$F,2,false)),IFERROR(VLOOKUP(SUBSTITUTE($I883,"-","",1),$K884:$Q1119,7,false),VLOOKUP($K883,$K884:$Q1119,7,false))))</f>
        <v/>
      </c>
      <c r="R883" s="34" t="str">
        <f t="shared" si="2"/>
        <v/>
      </c>
      <c r="S883" s="37" t="str">
        <f t="shared" si="3"/>
        <v/>
      </c>
      <c r="T883" s="38" t="str">
        <f t="shared" si="4"/>
        <v/>
      </c>
      <c r="U883" s="28" t="str">
        <f t="shared" si="5"/>
        <v/>
      </c>
      <c r="V883" s="39" t="str">
        <f>IFERROR(__xludf.DUMMYFUNCTION(" IF(Account!$F883&lt;&gt;"""", SPLIT(Account!$F883, "" ""), """")"),"")</f>
        <v/>
      </c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</row>
    <row r="884">
      <c r="A884" s="341"/>
      <c r="B884" s="341"/>
      <c r="C884" s="341"/>
      <c r="D884" s="341"/>
      <c r="E884" s="341"/>
      <c r="F884" s="373"/>
      <c r="G884" s="341"/>
      <c r="H884" s="341"/>
      <c r="I884" s="341"/>
      <c r="J884" s="341"/>
      <c r="K884" s="341"/>
      <c r="L884" s="26" t="str">
        <f t="shared" si="1"/>
        <v/>
      </c>
      <c r="M884" s="28" t="str">
        <f>IFERROR(__xludf.DUMMYFUNCTION("IF(Account!$F884&lt;&gt;"""", VALUE(REGEXREPLACE($I884, ""\,"", ""."")), """")"),"")</f>
        <v/>
      </c>
      <c r="N884" s="31" t="str">
        <f>IF(Account!$F884&lt;&gt;"", DATEVALUE(MID($A884,4,3) &amp; LEFT($A884,3) &amp; RIGHT($A884,4)) + TIMEVALUE($B884), "")</f>
        <v/>
      </c>
      <c r="O884" s="33" t="str">
        <f>IF(Account!$F884&lt;&gt;"", DATEVALUE(MID($A884,4,3) &amp; LEFT($A884,3) &amp; RIGHT($A884,4)), "")</f>
        <v/>
      </c>
      <c r="P884" s="34" t="str">
        <f>IFERROR(VLOOKUP($Q884,Selection!$F:$G,2,false))</f>
        <v/>
      </c>
      <c r="Q884" s="36" t="str">
        <f>IF(AND($X884="change",$H884="EUR"),IF(AND($Z884="Crédit",$N884=$N885),$Q885,IF(AND($Z884="Débit",$N884=$N883),$Q883)),IF(OR(AND(OR($E884&lt;&gt;"",$L884=""),$M884&lt;&gt;0),$A884=""),IFERROR(VLOOKUP($E884,Selection!$E:$F,2,false)),IFERROR(VLOOKUP(SUBSTITUTE($I884,"-","",1),$K885:$Q1119,7,false),VLOOKUP($K884,$K885:$Q1119,7,false))))</f>
        <v/>
      </c>
      <c r="R884" s="34" t="str">
        <f t="shared" si="2"/>
        <v/>
      </c>
      <c r="S884" s="37" t="str">
        <f t="shared" si="3"/>
        <v/>
      </c>
      <c r="T884" s="38" t="str">
        <f t="shared" si="4"/>
        <v/>
      </c>
      <c r="U884" s="28" t="str">
        <f t="shared" si="5"/>
        <v/>
      </c>
      <c r="V884" s="39" t="str">
        <f>IFERROR(__xludf.DUMMYFUNCTION(" IF(Account!$F884&lt;&gt;"""", SPLIT(Account!$F884, "" ""), """")"),"")</f>
        <v/>
      </c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</row>
    <row r="885">
      <c r="A885" s="341"/>
      <c r="B885" s="341"/>
      <c r="C885" s="341"/>
      <c r="D885" s="341"/>
      <c r="E885" s="341"/>
      <c r="F885" s="373"/>
      <c r="G885" s="341"/>
      <c r="H885" s="341"/>
      <c r="I885" s="341"/>
      <c r="J885" s="341"/>
      <c r="K885" s="341"/>
      <c r="L885" s="26" t="str">
        <f t="shared" si="1"/>
        <v/>
      </c>
      <c r="M885" s="28" t="str">
        <f>IFERROR(__xludf.DUMMYFUNCTION("IF(Account!$F885&lt;&gt;"""", VALUE(REGEXREPLACE($I885, ""\,"", ""."")), """")"),"")</f>
        <v/>
      </c>
      <c r="N885" s="31" t="str">
        <f>IF(Account!$F885&lt;&gt;"", DATEVALUE(MID($A885,4,3) &amp; LEFT($A885,3) &amp; RIGHT($A885,4)) + TIMEVALUE($B885), "")</f>
        <v/>
      </c>
      <c r="O885" s="33" t="str">
        <f>IF(Account!$F885&lt;&gt;"", DATEVALUE(MID($A885,4,3) &amp; LEFT($A885,3) &amp; RIGHT($A885,4)), "")</f>
        <v/>
      </c>
      <c r="P885" s="34" t="str">
        <f>IFERROR(VLOOKUP($Q885,Selection!$F:$G,2,false))</f>
        <v/>
      </c>
      <c r="Q885" s="36" t="str">
        <f>IF(AND($X885="change",$H885="EUR"),IF(AND($Z885="Crédit",$N885=$N886),$Q886,IF(AND($Z885="Débit",$N885=$N884),$Q884)),IF(OR(AND(OR($E885&lt;&gt;"",$L885=""),$M885&lt;&gt;0),$A885=""),IFERROR(VLOOKUP($E885,Selection!$E:$F,2,false)),IFERROR(VLOOKUP(SUBSTITUTE($I885,"-","",1),$K886:$Q1119,7,false),VLOOKUP($K885,$K886:$Q1119,7,false))))</f>
        <v/>
      </c>
      <c r="R885" s="34" t="str">
        <f t="shared" si="2"/>
        <v/>
      </c>
      <c r="S885" s="37" t="str">
        <f t="shared" si="3"/>
        <v/>
      </c>
      <c r="T885" s="38" t="str">
        <f t="shared" si="4"/>
        <v/>
      </c>
      <c r="U885" s="28" t="str">
        <f t="shared" si="5"/>
        <v/>
      </c>
      <c r="V885" s="39" t="str">
        <f>IFERROR(__xludf.DUMMYFUNCTION(" IF(Account!$F885&lt;&gt;"""", SPLIT(Account!$F885, "" ""), """")"),"")</f>
        <v/>
      </c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</row>
    <row r="886">
      <c r="A886" s="341"/>
      <c r="B886" s="341"/>
      <c r="C886" s="341"/>
      <c r="D886" s="341"/>
      <c r="E886" s="341"/>
      <c r="F886" s="373"/>
      <c r="G886" s="341"/>
      <c r="H886" s="341"/>
      <c r="I886" s="341"/>
      <c r="J886" s="341"/>
      <c r="K886" s="341"/>
      <c r="L886" s="26" t="str">
        <f t="shared" si="1"/>
        <v/>
      </c>
      <c r="M886" s="28" t="str">
        <f>IFERROR(__xludf.DUMMYFUNCTION("IF(Account!$F886&lt;&gt;"""", VALUE(REGEXREPLACE($I886, ""\,"", ""."")), """")"),"")</f>
        <v/>
      </c>
      <c r="N886" s="31" t="str">
        <f>IF(Account!$F886&lt;&gt;"", DATEVALUE(MID($A886,4,3) &amp; LEFT($A886,3) &amp; RIGHT($A886,4)) + TIMEVALUE($B886), "")</f>
        <v/>
      </c>
      <c r="O886" s="33" t="str">
        <f>IF(Account!$F886&lt;&gt;"", DATEVALUE(MID($A886,4,3) &amp; LEFT($A886,3) &amp; RIGHT($A886,4)), "")</f>
        <v/>
      </c>
      <c r="P886" s="34" t="str">
        <f>IFERROR(VLOOKUP($Q886,Selection!$F:$G,2,false))</f>
        <v/>
      </c>
      <c r="Q886" s="36" t="str">
        <f>IF(AND($X886="change",$H886="EUR"),IF(AND($Z886="Crédit",$N886=$N887),$Q887,IF(AND($Z886="Débit",$N886=$N885),$Q885)),IF(OR(AND(OR($E886&lt;&gt;"",$L886=""),$M886&lt;&gt;0),$A886=""),IFERROR(VLOOKUP($E886,Selection!$E:$F,2,false)),IFERROR(VLOOKUP(SUBSTITUTE($I886,"-","",1),$K887:$Q1119,7,false),VLOOKUP($K886,$K887:$Q1119,7,false))))</f>
        <v/>
      </c>
      <c r="R886" s="34" t="str">
        <f t="shared" si="2"/>
        <v/>
      </c>
      <c r="S886" s="37" t="str">
        <f t="shared" si="3"/>
        <v/>
      </c>
      <c r="T886" s="38" t="str">
        <f t="shared" si="4"/>
        <v/>
      </c>
      <c r="U886" s="28" t="str">
        <f t="shared" si="5"/>
        <v/>
      </c>
      <c r="V886" s="39" t="str">
        <f>IFERROR(__xludf.DUMMYFUNCTION(" IF(Account!$F886&lt;&gt;"""", SPLIT(Account!$F886, "" ""), """")"),"")</f>
        <v/>
      </c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</row>
    <row r="887">
      <c r="A887" s="341"/>
      <c r="B887" s="341"/>
      <c r="C887" s="341"/>
      <c r="D887" s="341"/>
      <c r="E887" s="341"/>
      <c r="F887" s="373"/>
      <c r="G887" s="341"/>
      <c r="H887" s="341"/>
      <c r="I887" s="341"/>
      <c r="J887" s="341"/>
      <c r="K887" s="341"/>
      <c r="L887" s="26" t="str">
        <f t="shared" si="1"/>
        <v/>
      </c>
      <c r="M887" s="28" t="str">
        <f>IFERROR(__xludf.DUMMYFUNCTION("IF(Account!$F887&lt;&gt;"""", VALUE(REGEXREPLACE($I887, ""\,"", ""."")), """")"),"")</f>
        <v/>
      </c>
      <c r="N887" s="31" t="str">
        <f>IF(Account!$F887&lt;&gt;"", DATEVALUE(MID($A887,4,3) &amp; LEFT($A887,3) &amp; RIGHT($A887,4)) + TIMEVALUE($B887), "")</f>
        <v/>
      </c>
      <c r="O887" s="33" t="str">
        <f>IF(Account!$F887&lt;&gt;"", DATEVALUE(MID($A887,4,3) &amp; LEFT($A887,3) &amp; RIGHT($A887,4)), "")</f>
        <v/>
      </c>
      <c r="P887" s="34" t="str">
        <f>IFERROR(VLOOKUP($Q887,Selection!$F:$G,2,false))</f>
        <v/>
      </c>
      <c r="Q887" s="36" t="str">
        <f>IF(AND($X887="change",$H887="EUR"),IF(AND($Z887="Crédit",$N887=$N888),$Q888,IF(AND($Z887="Débit",$N887=$N886),$Q886)),IF(OR(AND(OR($E887&lt;&gt;"",$L887=""),$M887&lt;&gt;0),$A887=""),IFERROR(VLOOKUP($E887,Selection!$E:$F,2,false)),IFERROR(VLOOKUP(SUBSTITUTE($I887,"-","",1),$K888:$Q1119,7,false),VLOOKUP($K887,$K888:$Q1119,7,false))))</f>
        <v/>
      </c>
      <c r="R887" s="34" t="str">
        <f t="shared" si="2"/>
        <v/>
      </c>
      <c r="S887" s="37" t="str">
        <f t="shared" si="3"/>
        <v/>
      </c>
      <c r="T887" s="38" t="str">
        <f t="shared" si="4"/>
        <v/>
      </c>
      <c r="U887" s="28" t="str">
        <f t="shared" si="5"/>
        <v/>
      </c>
      <c r="V887" s="39" t="str">
        <f>IFERROR(__xludf.DUMMYFUNCTION(" IF(Account!$F887&lt;&gt;"""", SPLIT(Account!$F887, "" ""), """")"),"")</f>
        <v/>
      </c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</row>
    <row r="888">
      <c r="A888" s="341"/>
      <c r="B888" s="341"/>
      <c r="C888" s="341"/>
      <c r="D888" s="341"/>
      <c r="E888" s="341"/>
      <c r="F888" s="373"/>
      <c r="G888" s="341"/>
      <c r="H888" s="341"/>
      <c r="I888" s="341"/>
      <c r="J888" s="341"/>
      <c r="K888" s="341"/>
      <c r="L888" s="26" t="str">
        <f t="shared" si="1"/>
        <v/>
      </c>
      <c r="M888" s="28" t="str">
        <f>IFERROR(__xludf.DUMMYFUNCTION("IF(Account!$F888&lt;&gt;"""", VALUE(REGEXREPLACE($I888, ""\,"", ""."")), """")"),"")</f>
        <v/>
      </c>
      <c r="N888" s="31" t="str">
        <f>IF(Account!$F888&lt;&gt;"", DATEVALUE(MID($A888,4,3) &amp; LEFT($A888,3) &amp; RIGHT($A888,4)) + TIMEVALUE($B888), "")</f>
        <v/>
      </c>
      <c r="O888" s="33" t="str">
        <f>IF(Account!$F888&lt;&gt;"", DATEVALUE(MID($A888,4,3) &amp; LEFT($A888,3) &amp; RIGHT($A888,4)), "")</f>
        <v/>
      </c>
      <c r="P888" s="34" t="str">
        <f>IFERROR(VLOOKUP($Q888,Selection!$F:$G,2,false))</f>
        <v/>
      </c>
      <c r="Q888" s="36" t="str">
        <f>IF(AND($X888="change",$H888="EUR"),IF(AND($Z888="Crédit",$N888=$N889),$Q889,IF(AND($Z888="Débit",$N888=$N887),$Q887)),IF(OR(AND(OR($E888&lt;&gt;"",$L888=""),$M888&lt;&gt;0),$A888=""),IFERROR(VLOOKUP($E888,Selection!$E:$F,2,false)),IFERROR(VLOOKUP(SUBSTITUTE($I888,"-","",1),$K889:$Q1119,7,false),VLOOKUP($K888,$K889:$Q1119,7,false))))</f>
        <v/>
      </c>
      <c r="R888" s="34" t="str">
        <f t="shared" si="2"/>
        <v/>
      </c>
      <c r="S888" s="37" t="str">
        <f t="shared" si="3"/>
        <v/>
      </c>
      <c r="T888" s="38" t="str">
        <f t="shared" si="4"/>
        <v/>
      </c>
      <c r="U888" s="28" t="str">
        <f t="shared" si="5"/>
        <v/>
      </c>
      <c r="V888" s="39" t="str">
        <f>IFERROR(__xludf.DUMMYFUNCTION(" IF(Account!$F888&lt;&gt;"""", SPLIT(Account!$F888, "" ""), """")"),"")</f>
        <v/>
      </c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</row>
    <row r="889">
      <c r="A889" s="341"/>
      <c r="B889" s="341"/>
      <c r="C889" s="341"/>
      <c r="D889" s="341"/>
      <c r="E889" s="341"/>
      <c r="F889" s="373"/>
      <c r="G889" s="341"/>
      <c r="H889" s="341"/>
      <c r="I889" s="341"/>
      <c r="J889" s="341"/>
      <c r="K889" s="341"/>
      <c r="L889" s="26" t="str">
        <f t="shared" si="1"/>
        <v/>
      </c>
      <c r="M889" s="28" t="str">
        <f>IFERROR(__xludf.DUMMYFUNCTION("IF(Account!$F889&lt;&gt;"""", VALUE(REGEXREPLACE($I889, ""\,"", ""."")), """")"),"")</f>
        <v/>
      </c>
      <c r="N889" s="31" t="str">
        <f>IF(Account!$F889&lt;&gt;"", DATEVALUE(MID($A889,4,3) &amp; LEFT($A889,3) &amp; RIGHT($A889,4)) + TIMEVALUE($B889), "")</f>
        <v/>
      </c>
      <c r="O889" s="33" t="str">
        <f>IF(Account!$F889&lt;&gt;"", DATEVALUE(MID($A889,4,3) &amp; LEFT($A889,3) &amp; RIGHT($A889,4)), "")</f>
        <v/>
      </c>
      <c r="P889" s="34" t="str">
        <f>IFERROR(VLOOKUP($Q889,Selection!$F:$G,2,false))</f>
        <v/>
      </c>
      <c r="Q889" s="36" t="str">
        <f>IF(AND($X889="change",$H889="EUR"),IF(AND($Z889="Crédit",$N889=$N890),$Q890,IF(AND($Z889="Débit",$N889=$N888),$Q888)),IF(OR(AND(OR($E889&lt;&gt;"",$L889=""),$M889&lt;&gt;0),$A889=""),IFERROR(VLOOKUP($E889,Selection!$E:$F,2,false)),IFERROR(VLOOKUP(SUBSTITUTE($I889,"-","",1),$K890:$Q1119,7,false),VLOOKUP($K889,$K890:$Q1119,7,false))))</f>
        <v/>
      </c>
      <c r="R889" s="34" t="str">
        <f t="shared" si="2"/>
        <v/>
      </c>
      <c r="S889" s="37" t="str">
        <f t="shared" si="3"/>
        <v/>
      </c>
      <c r="T889" s="38" t="str">
        <f t="shared" si="4"/>
        <v/>
      </c>
      <c r="U889" s="28" t="str">
        <f t="shared" si="5"/>
        <v/>
      </c>
      <c r="V889" s="39" t="str">
        <f>IFERROR(__xludf.DUMMYFUNCTION(" IF(Account!$F889&lt;&gt;"""", SPLIT(Account!$F889, "" ""), """")"),"")</f>
        <v/>
      </c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</row>
    <row r="890">
      <c r="A890" s="341"/>
      <c r="B890" s="341"/>
      <c r="C890" s="341"/>
      <c r="D890" s="341"/>
      <c r="E890" s="341"/>
      <c r="F890" s="373"/>
      <c r="G890" s="341"/>
      <c r="H890" s="341"/>
      <c r="I890" s="341"/>
      <c r="J890" s="341"/>
      <c r="K890" s="341"/>
      <c r="L890" s="26" t="str">
        <f t="shared" si="1"/>
        <v/>
      </c>
      <c r="M890" s="28" t="str">
        <f>IFERROR(__xludf.DUMMYFUNCTION("IF(Account!$F890&lt;&gt;"""", VALUE(REGEXREPLACE($I890, ""\,"", ""."")), """")"),"")</f>
        <v/>
      </c>
      <c r="N890" s="31" t="str">
        <f>IF(Account!$F890&lt;&gt;"", DATEVALUE(MID($A890,4,3) &amp; LEFT($A890,3) &amp; RIGHT($A890,4)) + TIMEVALUE($B890), "")</f>
        <v/>
      </c>
      <c r="O890" s="33" t="str">
        <f>IF(Account!$F890&lt;&gt;"", DATEVALUE(MID($A890,4,3) &amp; LEFT($A890,3) &amp; RIGHT($A890,4)), "")</f>
        <v/>
      </c>
      <c r="P890" s="34" t="str">
        <f>IFERROR(VLOOKUP($Q890,Selection!$F:$G,2,false))</f>
        <v/>
      </c>
      <c r="Q890" s="36" t="str">
        <f>IF(AND($X890="change",$H890="EUR"),IF(AND($Z890="Crédit",$N890=$N891),$Q891,IF(AND($Z890="Débit",$N890=$N889),$Q889)),IF(OR(AND(OR($E890&lt;&gt;"",$L890=""),$M890&lt;&gt;0),$A890=""),IFERROR(VLOOKUP($E890,Selection!$E:$F,2,false)),IFERROR(VLOOKUP(SUBSTITUTE($I890,"-","",1),$K891:$Q1119,7,false),VLOOKUP($K890,$K891:$Q1119,7,false))))</f>
        <v/>
      </c>
      <c r="R890" s="34" t="str">
        <f t="shared" si="2"/>
        <v/>
      </c>
      <c r="S890" s="37" t="str">
        <f t="shared" si="3"/>
        <v/>
      </c>
      <c r="T890" s="38" t="str">
        <f t="shared" si="4"/>
        <v/>
      </c>
      <c r="U890" s="28" t="str">
        <f t="shared" si="5"/>
        <v/>
      </c>
      <c r="V890" s="39" t="str">
        <f>IFERROR(__xludf.DUMMYFUNCTION(" IF(Account!$F890&lt;&gt;"""", SPLIT(Account!$F890, "" ""), """")"),"")</f>
        <v/>
      </c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</row>
    <row r="891">
      <c r="A891" s="341"/>
      <c r="B891" s="341"/>
      <c r="C891" s="341"/>
      <c r="D891" s="341"/>
      <c r="E891" s="341"/>
      <c r="F891" s="373"/>
      <c r="G891" s="341"/>
      <c r="H891" s="341"/>
      <c r="I891" s="341"/>
      <c r="J891" s="341"/>
      <c r="K891" s="341"/>
      <c r="L891" s="26" t="str">
        <f t="shared" si="1"/>
        <v/>
      </c>
      <c r="M891" s="28" t="str">
        <f>IFERROR(__xludf.DUMMYFUNCTION("IF(Account!$F891&lt;&gt;"""", VALUE(REGEXREPLACE($I891, ""\,"", ""."")), """")"),"")</f>
        <v/>
      </c>
      <c r="N891" s="31" t="str">
        <f>IF(Account!$F891&lt;&gt;"", DATEVALUE(MID($A891,4,3) &amp; LEFT($A891,3) &amp; RIGHT($A891,4)) + TIMEVALUE($B891), "")</f>
        <v/>
      </c>
      <c r="O891" s="33" t="str">
        <f>IF(Account!$F891&lt;&gt;"", DATEVALUE(MID($A891,4,3) &amp; LEFT($A891,3) &amp; RIGHT($A891,4)), "")</f>
        <v/>
      </c>
      <c r="P891" s="34" t="str">
        <f>IFERROR(VLOOKUP($Q891,Selection!$F:$G,2,false))</f>
        <v/>
      </c>
      <c r="Q891" s="36" t="str">
        <f>IF(AND($X891="change",$H891="EUR"),IF(AND($Z891="Crédit",$N891=$N892),$Q892,IF(AND($Z891="Débit",$N891=$N890),$Q890)),IF(OR(AND(OR($E891&lt;&gt;"",$L891=""),$M891&lt;&gt;0),$A891=""),IFERROR(VLOOKUP($E891,Selection!$E:$F,2,false)),IFERROR(VLOOKUP(SUBSTITUTE($I891,"-","",1),$K892:$Q1119,7,false),VLOOKUP($K891,$K892:$Q1119,7,false))))</f>
        <v/>
      </c>
      <c r="R891" s="34" t="str">
        <f t="shared" si="2"/>
        <v/>
      </c>
      <c r="S891" s="37" t="str">
        <f t="shared" si="3"/>
        <v/>
      </c>
      <c r="T891" s="38" t="str">
        <f t="shared" si="4"/>
        <v/>
      </c>
      <c r="U891" s="28" t="str">
        <f t="shared" si="5"/>
        <v/>
      </c>
      <c r="V891" s="39" t="str">
        <f>IFERROR(__xludf.DUMMYFUNCTION(" IF(Account!$F891&lt;&gt;"""", SPLIT(Account!$F891, "" ""), """")"),"")</f>
        <v/>
      </c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</row>
    <row r="892">
      <c r="A892" s="341"/>
      <c r="B892" s="341"/>
      <c r="C892" s="341"/>
      <c r="D892" s="341"/>
      <c r="E892" s="341"/>
      <c r="F892" s="373"/>
      <c r="G892" s="341"/>
      <c r="H892" s="341"/>
      <c r="I892" s="341"/>
      <c r="J892" s="341"/>
      <c r="K892" s="341"/>
      <c r="L892" s="26" t="str">
        <f t="shared" si="1"/>
        <v/>
      </c>
      <c r="M892" s="28" t="str">
        <f>IFERROR(__xludf.DUMMYFUNCTION("IF(Account!$F892&lt;&gt;"""", VALUE(REGEXREPLACE($I892, ""\,"", ""."")), """")"),"")</f>
        <v/>
      </c>
      <c r="N892" s="31" t="str">
        <f>IF(Account!$F892&lt;&gt;"", DATEVALUE(MID($A892,4,3) &amp; LEFT($A892,3) &amp; RIGHT($A892,4)) + TIMEVALUE($B892), "")</f>
        <v/>
      </c>
      <c r="O892" s="33" t="str">
        <f>IF(Account!$F892&lt;&gt;"", DATEVALUE(MID($A892,4,3) &amp; LEFT($A892,3) &amp; RIGHT($A892,4)), "")</f>
        <v/>
      </c>
      <c r="P892" s="34" t="str">
        <f>IFERROR(VLOOKUP($Q892,Selection!$F:$G,2,false))</f>
        <v/>
      </c>
      <c r="Q892" s="36" t="str">
        <f>IF(AND($X892="change",$H892="EUR"),IF(AND($Z892="Crédit",$N892=$N893),$Q893,IF(AND($Z892="Débit",$N892=$N891),$Q891)),IF(OR(AND(OR($E892&lt;&gt;"",$L892=""),$M892&lt;&gt;0),$A892=""),IFERROR(VLOOKUP($E892,Selection!$E:$F,2,false)),IFERROR(VLOOKUP(SUBSTITUTE($I892,"-","",1),$K893:$Q1119,7,false),VLOOKUP($K892,$K893:$Q1119,7,false))))</f>
        <v/>
      </c>
      <c r="R892" s="34" t="str">
        <f t="shared" si="2"/>
        <v/>
      </c>
      <c r="S892" s="37" t="str">
        <f t="shared" si="3"/>
        <v/>
      </c>
      <c r="T892" s="38" t="str">
        <f t="shared" si="4"/>
        <v/>
      </c>
      <c r="U892" s="28" t="str">
        <f t="shared" si="5"/>
        <v/>
      </c>
      <c r="V892" s="39" t="str">
        <f>IFERROR(__xludf.DUMMYFUNCTION(" IF(Account!$F892&lt;&gt;"""", SPLIT(Account!$F892, "" ""), """")"),"")</f>
        <v/>
      </c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</row>
    <row r="893">
      <c r="A893" s="341"/>
      <c r="B893" s="341"/>
      <c r="C893" s="341"/>
      <c r="D893" s="341"/>
      <c r="E893" s="341"/>
      <c r="F893" s="373"/>
      <c r="G893" s="341"/>
      <c r="H893" s="341"/>
      <c r="I893" s="341"/>
      <c r="J893" s="341"/>
      <c r="K893" s="341"/>
      <c r="L893" s="26" t="str">
        <f t="shared" si="1"/>
        <v/>
      </c>
      <c r="M893" s="28" t="str">
        <f>IFERROR(__xludf.DUMMYFUNCTION("IF(Account!$F893&lt;&gt;"""", VALUE(REGEXREPLACE($I893, ""\,"", ""."")), """")"),"")</f>
        <v/>
      </c>
      <c r="N893" s="31" t="str">
        <f>IF(Account!$F893&lt;&gt;"", DATEVALUE(MID($A893,4,3) &amp; LEFT($A893,3) &amp; RIGHT($A893,4)) + TIMEVALUE($B893), "")</f>
        <v/>
      </c>
      <c r="O893" s="33" t="str">
        <f>IF(Account!$F893&lt;&gt;"", DATEVALUE(MID($A893,4,3) &amp; LEFT($A893,3) &amp; RIGHT($A893,4)), "")</f>
        <v/>
      </c>
      <c r="P893" s="34" t="str">
        <f>IFERROR(VLOOKUP($Q893,Selection!$F:$G,2,false))</f>
        <v/>
      </c>
      <c r="Q893" s="36" t="str">
        <f>IF(AND($X893="change",$H893="EUR"),IF(AND($Z893="Crédit",$N893=$N894),$Q894,IF(AND($Z893="Débit",$N893=$N892),$Q892)),IF(OR(AND(OR($E893&lt;&gt;"",$L893=""),$M893&lt;&gt;0),$A893=""),IFERROR(VLOOKUP($E893,Selection!$E:$F,2,false)),IFERROR(VLOOKUP(SUBSTITUTE($I893,"-","",1),$K894:$Q1119,7,false),VLOOKUP($K893,$K894:$Q1119,7,false))))</f>
        <v/>
      </c>
      <c r="R893" s="34" t="str">
        <f t="shared" si="2"/>
        <v/>
      </c>
      <c r="S893" s="37" t="str">
        <f t="shared" si="3"/>
        <v/>
      </c>
      <c r="T893" s="38" t="str">
        <f t="shared" si="4"/>
        <v/>
      </c>
      <c r="U893" s="28" t="str">
        <f t="shared" si="5"/>
        <v/>
      </c>
      <c r="V893" s="39" t="str">
        <f>IFERROR(__xludf.DUMMYFUNCTION(" IF(Account!$F893&lt;&gt;"""", SPLIT(Account!$F893, "" ""), """")"),"")</f>
        <v/>
      </c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</row>
    <row r="894">
      <c r="A894" s="341"/>
      <c r="B894" s="341"/>
      <c r="C894" s="341"/>
      <c r="D894" s="341"/>
      <c r="E894" s="341"/>
      <c r="F894" s="373"/>
      <c r="G894" s="341"/>
      <c r="H894" s="341"/>
      <c r="I894" s="341"/>
      <c r="J894" s="341"/>
      <c r="K894" s="341"/>
      <c r="L894" s="26" t="str">
        <f t="shared" si="1"/>
        <v/>
      </c>
      <c r="M894" s="28" t="str">
        <f>IFERROR(__xludf.DUMMYFUNCTION("IF(Account!$F894&lt;&gt;"""", VALUE(REGEXREPLACE($I894, ""\,"", ""."")), """")"),"")</f>
        <v/>
      </c>
      <c r="N894" s="31" t="str">
        <f>IF(Account!$F894&lt;&gt;"", DATEVALUE(MID($A894,4,3) &amp; LEFT($A894,3) &amp; RIGHT($A894,4)) + TIMEVALUE($B894), "")</f>
        <v/>
      </c>
      <c r="O894" s="33" t="str">
        <f>IF(Account!$F894&lt;&gt;"", DATEVALUE(MID($A894,4,3) &amp; LEFT($A894,3) &amp; RIGHT($A894,4)), "")</f>
        <v/>
      </c>
      <c r="P894" s="34" t="str">
        <f>IFERROR(VLOOKUP($Q894,Selection!$F:$G,2,false))</f>
        <v/>
      </c>
      <c r="Q894" s="36" t="str">
        <f>IF(AND($X894="change",$H894="EUR"),IF(AND($Z894="Crédit",$N894=$N895),$Q895,IF(AND($Z894="Débit",$N894=$N893),$Q893)),IF(OR(AND(OR($E894&lt;&gt;"",$L894=""),$M894&lt;&gt;0),$A894=""),IFERROR(VLOOKUP($E894,Selection!$E:$F,2,false)),IFERROR(VLOOKUP(SUBSTITUTE($I894,"-","",1),$K895:$Q1119,7,false),VLOOKUP($K894,$K895:$Q1119,7,false))))</f>
        <v/>
      </c>
      <c r="R894" s="34" t="str">
        <f t="shared" si="2"/>
        <v/>
      </c>
      <c r="S894" s="37" t="str">
        <f t="shared" si="3"/>
        <v/>
      </c>
      <c r="T894" s="38" t="str">
        <f t="shared" si="4"/>
        <v/>
      </c>
      <c r="U894" s="28" t="str">
        <f t="shared" si="5"/>
        <v/>
      </c>
      <c r="V894" s="39" t="str">
        <f>IFERROR(__xludf.DUMMYFUNCTION(" IF(Account!$F894&lt;&gt;"""", SPLIT(Account!$F894, "" ""), """")"),"")</f>
        <v/>
      </c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</row>
    <row r="895">
      <c r="A895" s="341"/>
      <c r="B895" s="341"/>
      <c r="C895" s="341"/>
      <c r="D895" s="341"/>
      <c r="E895" s="341"/>
      <c r="F895" s="373"/>
      <c r="G895" s="341"/>
      <c r="H895" s="341"/>
      <c r="I895" s="341"/>
      <c r="J895" s="341"/>
      <c r="K895" s="341"/>
      <c r="L895" s="26" t="str">
        <f t="shared" si="1"/>
        <v/>
      </c>
      <c r="M895" s="28" t="str">
        <f>IFERROR(__xludf.DUMMYFUNCTION("IF(Account!$F895&lt;&gt;"""", VALUE(REGEXREPLACE($I895, ""\,"", ""."")), """")"),"")</f>
        <v/>
      </c>
      <c r="N895" s="31" t="str">
        <f>IF(Account!$F895&lt;&gt;"", DATEVALUE(MID($A895,4,3) &amp; LEFT($A895,3) &amp; RIGHT($A895,4)) + TIMEVALUE($B895), "")</f>
        <v/>
      </c>
      <c r="O895" s="33" t="str">
        <f>IF(Account!$F895&lt;&gt;"", DATEVALUE(MID($A895,4,3) &amp; LEFT($A895,3) &amp; RIGHT($A895,4)), "")</f>
        <v/>
      </c>
      <c r="P895" s="34" t="str">
        <f>IFERROR(VLOOKUP($Q895,Selection!$F:$G,2,false))</f>
        <v/>
      </c>
      <c r="Q895" s="36" t="str">
        <f>IF(AND($X895="change",$H895="EUR"),IF(AND($Z895="Crédit",$N895=$N896),$Q896,IF(AND($Z895="Débit",$N895=$N894),$Q894)),IF(OR(AND(OR($E895&lt;&gt;"",$L895=""),$M895&lt;&gt;0),$A895=""),IFERROR(VLOOKUP($E895,Selection!$E:$F,2,false)),IFERROR(VLOOKUP(SUBSTITUTE($I895,"-","",1),$K896:$Q1119,7,false),VLOOKUP($K895,$K896:$Q1119,7,false))))</f>
        <v/>
      </c>
      <c r="R895" s="34" t="str">
        <f t="shared" si="2"/>
        <v/>
      </c>
      <c r="S895" s="37" t="str">
        <f t="shared" si="3"/>
        <v/>
      </c>
      <c r="T895" s="38" t="str">
        <f t="shared" si="4"/>
        <v/>
      </c>
      <c r="U895" s="28" t="str">
        <f t="shared" si="5"/>
        <v/>
      </c>
      <c r="V895" s="39" t="str">
        <f>IFERROR(__xludf.DUMMYFUNCTION(" IF(Account!$F895&lt;&gt;"""", SPLIT(Account!$F895, "" ""), """")"),"")</f>
        <v/>
      </c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</row>
    <row r="896">
      <c r="A896" s="341"/>
      <c r="B896" s="341"/>
      <c r="C896" s="341"/>
      <c r="D896" s="341"/>
      <c r="E896" s="341"/>
      <c r="F896" s="373"/>
      <c r="G896" s="341"/>
      <c r="H896" s="341"/>
      <c r="I896" s="341"/>
      <c r="J896" s="341"/>
      <c r="K896" s="341"/>
      <c r="L896" s="26" t="str">
        <f t="shared" si="1"/>
        <v/>
      </c>
      <c r="M896" s="28" t="str">
        <f>IFERROR(__xludf.DUMMYFUNCTION("IF(Account!$F896&lt;&gt;"""", VALUE(REGEXREPLACE($I896, ""\,"", ""."")), """")"),"")</f>
        <v/>
      </c>
      <c r="N896" s="31" t="str">
        <f>IF(Account!$F896&lt;&gt;"", DATEVALUE(MID($A896,4,3) &amp; LEFT($A896,3) &amp; RIGHT($A896,4)) + TIMEVALUE($B896), "")</f>
        <v/>
      </c>
      <c r="O896" s="33" t="str">
        <f>IF(Account!$F896&lt;&gt;"", DATEVALUE(MID($A896,4,3) &amp; LEFT($A896,3) &amp; RIGHT($A896,4)), "")</f>
        <v/>
      </c>
      <c r="P896" s="34" t="str">
        <f>IFERROR(VLOOKUP($Q896,Selection!$F:$G,2,false))</f>
        <v/>
      </c>
      <c r="Q896" s="36" t="str">
        <f>IF(AND($X896="change",$H896="EUR"),IF(AND($Z896="Crédit",$N896=$N897),$Q897,IF(AND($Z896="Débit",$N896=$N895),$Q895)),IF(OR(AND(OR($E896&lt;&gt;"",$L896=""),$M896&lt;&gt;0),$A896=""),IFERROR(VLOOKUP($E896,Selection!$E:$F,2,false)),IFERROR(VLOOKUP(SUBSTITUTE($I896,"-","",1),$K897:$Q1119,7,false),VLOOKUP($K896,$K897:$Q1119,7,false))))</f>
        <v/>
      </c>
      <c r="R896" s="34" t="str">
        <f t="shared" si="2"/>
        <v/>
      </c>
      <c r="S896" s="37" t="str">
        <f t="shared" si="3"/>
        <v/>
      </c>
      <c r="T896" s="38" t="str">
        <f t="shared" si="4"/>
        <v/>
      </c>
      <c r="U896" s="28" t="str">
        <f t="shared" si="5"/>
        <v/>
      </c>
      <c r="V896" s="39" t="str">
        <f>IFERROR(__xludf.DUMMYFUNCTION(" IF(Account!$F896&lt;&gt;"""", SPLIT(Account!$F896, "" ""), """")"),"")</f>
        <v/>
      </c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</row>
    <row r="897">
      <c r="A897" s="341"/>
      <c r="B897" s="341"/>
      <c r="C897" s="341"/>
      <c r="D897" s="341"/>
      <c r="E897" s="341"/>
      <c r="F897" s="373"/>
      <c r="G897" s="341"/>
      <c r="H897" s="341"/>
      <c r="I897" s="341"/>
      <c r="J897" s="341"/>
      <c r="K897" s="341"/>
      <c r="L897" s="26" t="str">
        <f t="shared" si="1"/>
        <v/>
      </c>
      <c r="M897" s="28" t="str">
        <f>IFERROR(__xludf.DUMMYFUNCTION("IF(Account!$F897&lt;&gt;"""", VALUE(REGEXREPLACE($I897, ""\,"", ""."")), """")"),"")</f>
        <v/>
      </c>
      <c r="N897" s="31" t="str">
        <f>IF(Account!$F897&lt;&gt;"", DATEVALUE(MID($A897,4,3) &amp; LEFT($A897,3) &amp; RIGHT($A897,4)) + TIMEVALUE($B897), "")</f>
        <v/>
      </c>
      <c r="O897" s="33" t="str">
        <f>IF(Account!$F897&lt;&gt;"", DATEVALUE(MID($A897,4,3) &amp; LEFT($A897,3) &amp; RIGHT($A897,4)), "")</f>
        <v/>
      </c>
      <c r="P897" s="34" t="str">
        <f>IFERROR(VLOOKUP($Q897,Selection!$F:$G,2,false))</f>
        <v/>
      </c>
      <c r="Q897" s="36" t="str">
        <f>IF(AND($X897="change",$H897="EUR"),IF(AND($Z897="Crédit",$N897=$N898),$Q898,IF(AND($Z897="Débit",$N897=$N896),$Q896)),IF(OR(AND(OR($E897&lt;&gt;"",$L897=""),$M897&lt;&gt;0),$A897=""),IFERROR(VLOOKUP($E897,Selection!$E:$F,2,false)),IFERROR(VLOOKUP(SUBSTITUTE($I897,"-","",1),$K898:$Q1119,7,false),VLOOKUP($K897,$K898:$Q1119,7,false))))</f>
        <v/>
      </c>
      <c r="R897" s="34" t="str">
        <f t="shared" si="2"/>
        <v/>
      </c>
      <c r="S897" s="37" t="str">
        <f t="shared" si="3"/>
        <v/>
      </c>
      <c r="T897" s="38" t="str">
        <f t="shared" si="4"/>
        <v/>
      </c>
      <c r="U897" s="28" t="str">
        <f t="shared" si="5"/>
        <v/>
      </c>
      <c r="V897" s="39" t="str">
        <f>IFERROR(__xludf.DUMMYFUNCTION(" IF(Account!$F897&lt;&gt;"""", SPLIT(Account!$F897, "" ""), """")"),"")</f>
        <v/>
      </c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</row>
    <row r="898">
      <c r="A898" s="341"/>
      <c r="B898" s="341"/>
      <c r="C898" s="341"/>
      <c r="D898" s="341"/>
      <c r="E898" s="341"/>
      <c r="F898" s="373"/>
      <c r="G898" s="341"/>
      <c r="H898" s="341"/>
      <c r="I898" s="341"/>
      <c r="J898" s="341"/>
      <c r="K898" s="341"/>
      <c r="L898" s="26" t="str">
        <f t="shared" si="1"/>
        <v/>
      </c>
      <c r="M898" s="28" t="str">
        <f>IFERROR(__xludf.DUMMYFUNCTION("IF(Account!$F898&lt;&gt;"""", VALUE(REGEXREPLACE($I898, ""\,"", ""."")), """")"),"")</f>
        <v/>
      </c>
      <c r="N898" s="31" t="str">
        <f>IF(Account!$F898&lt;&gt;"", DATEVALUE(MID($A898,4,3) &amp; LEFT($A898,3) &amp; RIGHT($A898,4)) + TIMEVALUE($B898), "")</f>
        <v/>
      </c>
      <c r="O898" s="33" t="str">
        <f>IF(Account!$F898&lt;&gt;"", DATEVALUE(MID($A898,4,3) &amp; LEFT($A898,3) &amp; RIGHT($A898,4)), "")</f>
        <v/>
      </c>
      <c r="P898" s="34" t="str">
        <f>IFERROR(VLOOKUP($Q898,Selection!$F:$G,2,false))</f>
        <v/>
      </c>
      <c r="Q898" s="36" t="str">
        <f>IF(AND($X898="change",$H898="EUR"),IF(AND($Z898="Crédit",$N898=$N899),$Q899,IF(AND($Z898="Débit",$N898=$N897),$Q897)),IF(OR(AND(OR($E898&lt;&gt;"",$L898=""),$M898&lt;&gt;0),$A898=""),IFERROR(VLOOKUP($E898,Selection!$E:$F,2,false)),IFERROR(VLOOKUP(SUBSTITUTE($I898,"-","",1),$K899:$Q1119,7,false),VLOOKUP($K898,$K899:$Q1119,7,false))))</f>
        <v/>
      </c>
      <c r="R898" s="34" t="str">
        <f t="shared" si="2"/>
        <v/>
      </c>
      <c r="S898" s="37" t="str">
        <f t="shared" si="3"/>
        <v/>
      </c>
      <c r="T898" s="38" t="str">
        <f t="shared" si="4"/>
        <v/>
      </c>
      <c r="U898" s="28" t="str">
        <f t="shared" si="5"/>
        <v/>
      </c>
      <c r="V898" s="39" t="str">
        <f>IFERROR(__xludf.DUMMYFUNCTION(" IF(Account!$F898&lt;&gt;"""", SPLIT(Account!$F898, "" ""), """")"),"")</f>
        <v/>
      </c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</row>
    <row r="899">
      <c r="A899" s="341"/>
      <c r="B899" s="341"/>
      <c r="C899" s="341"/>
      <c r="D899" s="341"/>
      <c r="E899" s="341"/>
      <c r="F899" s="373"/>
      <c r="G899" s="341"/>
      <c r="H899" s="341"/>
      <c r="I899" s="341"/>
      <c r="J899" s="341"/>
      <c r="K899" s="341"/>
      <c r="L899" s="26" t="str">
        <f t="shared" si="1"/>
        <v/>
      </c>
      <c r="M899" s="28" t="str">
        <f>IFERROR(__xludf.DUMMYFUNCTION("IF(Account!$F899&lt;&gt;"""", VALUE(REGEXREPLACE($I899, ""\,"", ""."")), """")"),"")</f>
        <v/>
      </c>
      <c r="N899" s="31" t="str">
        <f>IF(Account!$F899&lt;&gt;"", DATEVALUE(MID($A899,4,3) &amp; LEFT($A899,3) &amp; RIGHT($A899,4)) + TIMEVALUE($B899), "")</f>
        <v/>
      </c>
      <c r="O899" s="33" t="str">
        <f>IF(Account!$F899&lt;&gt;"", DATEVALUE(MID($A899,4,3) &amp; LEFT($A899,3) &amp; RIGHT($A899,4)), "")</f>
        <v/>
      </c>
      <c r="P899" s="34" t="str">
        <f>IFERROR(VLOOKUP($Q899,Selection!$F:$G,2,false))</f>
        <v/>
      </c>
      <c r="Q899" s="36" t="str">
        <f>IF(AND($X899="change",$H899="EUR"),IF(AND($Z899="Crédit",$N899=$N900),$Q900,IF(AND($Z899="Débit",$N899=$N898),$Q898)),IF(OR(AND(OR($E899&lt;&gt;"",$L899=""),$M899&lt;&gt;0),$A899=""),IFERROR(VLOOKUP($E899,Selection!$E:$F,2,false)),IFERROR(VLOOKUP(SUBSTITUTE($I899,"-","",1),$K900:$Q1119,7,false),VLOOKUP($K899,$K900:$Q1119,7,false))))</f>
        <v/>
      </c>
      <c r="R899" s="34" t="str">
        <f t="shared" si="2"/>
        <v/>
      </c>
      <c r="S899" s="37" t="str">
        <f t="shared" si="3"/>
        <v/>
      </c>
      <c r="T899" s="38" t="str">
        <f t="shared" si="4"/>
        <v/>
      </c>
      <c r="U899" s="28" t="str">
        <f t="shared" si="5"/>
        <v/>
      </c>
      <c r="V899" s="39" t="str">
        <f>IFERROR(__xludf.DUMMYFUNCTION(" IF(Account!$F899&lt;&gt;"""", SPLIT(Account!$F899, "" ""), """")"),"")</f>
        <v/>
      </c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</row>
    <row r="900">
      <c r="A900" s="341"/>
      <c r="B900" s="341"/>
      <c r="C900" s="341"/>
      <c r="D900" s="341"/>
      <c r="E900" s="341"/>
      <c r="F900" s="373"/>
      <c r="G900" s="341"/>
      <c r="H900" s="341"/>
      <c r="I900" s="341"/>
      <c r="J900" s="341"/>
      <c r="K900" s="341"/>
      <c r="L900" s="26" t="str">
        <f t="shared" si="1"/>
        <v/>
      </c>
      <c r="M900" s="28" t="str">
        <f>IFERROR(__xludf.DUMMYFUNCTION("IF(Account!$F900&lt;&gt;"""", VALUE(REGEXREPLACE($I900, ""\,"", ""."")), """")"),"")</f>
        <v/>
      </c>
      <c r="N900" s="31" t="str">
        <f>IF(Account!$F900&lt;&gt;"", DATEVALUE(MID($A900,4,3) &amp; LEFT($A900,3) &amp; RIGHT($A900,4)) + TIMEVALUE($B900), "")</f>
        <v/>
      </c>
      <c r="O900" s="33" t="str">
        <f>IF(Account!$F900&lt;&gt;"", DATEVALUE(MID($A900,4,3) &amp; LEFT($A900,3) &amp; RIGHT($A900,4)), "")</f>
        <v/>
      </c>
      <c r="P900" s="34" t="str">
        <f>IFERROR(VLOOKUP($Q900,Selection!$F:$G,2,false))</f>
        <v/>
      </c>
      <c r="Q900" s="36" t="str">
        <f>IF(AND($X900="change",$H900="EUR"),IF(AND($Z900="Crédit",$N900=$N901),$Q901,IF(AND($Z900="Débit",$N900=$N899),$Q899)),IF(OR(AND(OR($E900&lt;&gt;"",$L900=""),$M900&lt;&gt;0),$A900=""),IFERROR(VLOOKUP($E900,Selection!$E:$F,2,false)),IFERROR(VLOOKUP(SUBSTITUTE($I900,"-","",1),$K901:$Q1119,7,false),VLOOKUP($K900,$K901:$Q1119,7,false))))</f>
        <v/>
      </c>
      <c r="R900" s="34" t="str">
        <f t="shared" si="2"/>
        <v/>
      </c>
      <c r="S900" s="37" t="str">
        <f t="shared" si="3"/>
        <v/>
      </c>
      <c r="T900" s="38" t="str">
        <f t="shared" si="4"/>
        <v/>
      </c>
      <c r="U900" s="28" t="str">
        <f t="shared" si="5"/>
        <v/>
      </c>
      <c r="V900" s="39" t="str">
        <f>IFERROR(__xludf.DUMMYFUNCTION(" IF(Account!$F900&lt;&gt;"""", SPLIT(Account!$F900, "" ""), """")"),"")</f>
        <v/>
      </c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</row>
    <row r="901">
      <c r="A901" s="341"/>
      <c r="B901" s="341"/>
      <c r="C901" s="341"/>
      <c r="D901" s="341"/>
      <c r="E901" s="341"/>
      <c r="F901" s="373"/>
      <c r="G901" s="341"/>
      <c r="H901" s="341"/>
      <c r="I901" s="341"/>
      <c r="J901" s="341"/>
      <c r="K901" s="341"/>
      <c r="L901" s="26" t="str">
        <f t="shared" si="1"/>
        <v/>
      </c>
      <c r="M901" s="28" t="str">
        <f>IFERROR(__xludf.DUMMYFUNCTION("IF(Account!$F901&lt;&gt;"""", VALUE(REGEXREPLACE($I901, ""\,"", ""."")), """")"),"")</f>
        <v/>
      </c>
      <c r="N901" s="31" t="str">
        <f>IF(Account!$F901&lt;&gt;"", DATEVALUE(MID($A901,4,3) &amp; LEFT($A901,3) &amp; RIGHT($A901,4)) + TIMEVALUE($B901), "")</f>
        <v/>
      </c>
      <c r="O901" s="33" t="str">
        <f>IF(Account!$F901&lt;&gt;"", DATEVALUE(MID($A901,4,3) &amp; LEFT($A901,3) &amp; RIGHT($A901,4)), "")</f>
        <v/>
      </c>
      <c r="P901" s="34" t="str">
        <f>IFERROR(VLOOKUP($Q901,Selection!$F:$G,2,false))</f>
        <v/>
      </c>
      <c r="Q901" s="36" t="str">
        <f>IF(AND($X901="change",$H901="EUR"),IF(AND($Z901="Crédit",$N901=$N902),$Q902,IF(AND($Z901="Débit",$N901=$N900),$Q900)),IF(OR(AND(OR($E901&lt;&gt;"",$L901=""),$M901&lt;&gt;0),$A901=""),IFERROR(VLOOKUP($E901,Selection!$E:$F,2,false)),IFERROR(VLOOKUP(SUBSTITUTE($I901,"-","",1),$K902:$Q1119,7,false),VLOOKUP($K901,$K902:$Q1119,7,false))))</f>
        <v/>
      </c>
      <c r="R901" s="34" t="str">
        <f t="shared" si="2"/>
        <v/>
      </c>
      <c r="S901" s="37" t="str">
        <f t="shared" si="3"/>
        <v/>
      </c>
      <c r="T901" s="38" t="str">
        <f t="shared" si="4"/>
        <v/>
      </c>
      <c r="U901" s="28" t="str">
        <f t="shared" si="5"/>
        <v/>
      </c>
      <c r="V901" s="39" t="str">
        <f>IFERROR(__xludf.DUMMYFUNCTION(" IF(Account!$F901&lt;&gt;"""", SPLIT(Account!$F901, "" ""), """")"),"")</f>
        <v/>
      </c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</row>
    <row r="902">
      <c r="A902" s="341"/>
      <c r="B902" s="341"/>
      <c r="C902" s="341"/>
      <c r="D902" s="341"/>
      <c r="E902" s="341"/>
      <c r="F902" s="373"/>
      <c r="G902" s="341"/>
      <c r="H902" s="341"/>
      <c r="I902" s="341"/>
      <c r="J902" s="341"/>
      <c r="K902" s="341"/>
      <c r="L902" s="26" t="str">
        <f t="shared" si="1"/>
        <v/>
      </c>
      <c r="M902" s="28" t="str">
        <f>IFERROR(__xludf.DUMMYFUNCTION("IF(Account!$F902&lt;&gt;"""", VALUE(REGEXREPLACE($I902, ""\,"", ""."")), """")"),"")</f>
        <v/>
      </c>
      <c r="N902" s="31" t="str">
        <f>IF(Account!$F902&lt;&gt;"", DATEVALUE(MID($A902,4,3) &amp; LEFT($A902,3) &amp; RIGHT($A902,4)) + TIMEVALUE($B902), "")</f>
        <v/>
      </c>
      <c r="O902" s="33" t="str">
        <f>IF(Account!$F902&lt;&gt;"", DATEVALUE(MID($A902,4,3) &amp; LEFT($A902,3) &amp; RIGHT($A902,4)), "")</f>
        <v/>
      </c>
      <c r="P902" s="34" t="str">
        <f>IFERROR(VLOOKUP($Q902,Selection!$F:$G,2,false))</f>
        <v/>
      </c>
      <c r="Q902" s="36" t="str">
        <f>IF(AND($X902="change",$H902="EUR"),IF(AND($Z902="Crédit",$N902=$N903),$Q903,IF(AND($Z902="Débit",$N902=$N901),$Q901)),IF(OR(AND(OR($E902&lt;&gt;"",$L902=""),$M902&lt;&gt;0),$A902=""),IFERROR(VLOOKUP($E902,Selection!$E:$F,2,false)),IFERROR(VLOOKUP(SUBSTITUTE($I902,"-","",1),$K903:$Q1119,7,false),VLOOKUP($K902,$K903:$Q1119,7,false))))</f>
        <v/>
      </c>
      <c r="R902" s="34" t="str">
        <f t="shared" si="2"/>
        <v/>
      </c>
      <c r="S902" s="37" t="str">
        <f t="shared" si="3"/>
        <v/>
      </c>
      <c r="T902" s="38" t="str">
        <f t="shared" si="4"/>
        <v/>
      </c>
      <c r="U902" s="28" t="str">
        <f t="shared" si="5"/>
        <v/>
      </c>
      <c r="V902" s="39" t="str">
        <f>IFERROR(__xludf.DUMMYFUNCTION(" IF(Account!$F902&lt;&gt;"""", SPLIT(Account!$F902, "" ""), """")"),"")</f>
        <v/>
      </c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</row>
    <row r="903">
      <c r="A903" s="341"/>
      <c r="B903" s="341"/>
      <c r="C903" s="341"/>
      <c r="D903" s="341"/>
      <c r="E903" s="341"/>
      <c r="F903" s="373"/>
      <c r="G903" s="341"/>
      <c r="H903" s="341"/>
      <c r="I903" s="341"/>
      <c r="J903" s="341"/>
      <c r="K903" s="341"/>
      <c r="L903" s="26" t="str">
        <f t="shared" si="1"/>
        <v/>
      </c>
      <c r="M903" s="28" t="str">
        <f>IFERROR(__xludf.DUMMYFUNCTION("IF(Account!$F903&lt;&gt;"""", VALUE(REGEXREPLACE($I903, ""\,"", ""."")), """")"),"")</f>
        <v/>
      </c>
      <c r="N903" s="31" t="str">
        <f>IF(Account!$F903&lt;&gt;"", DATEVALUE(MID($A903,4,3) &amp; LEFT($A903,3) &amp; RIGHT($A903,4)) + TIMEVALUE($B903), "")</f>
        <v/>
      </c>
      <c r="O903" s="33" t="str">
        <f>IF(Account!$F903&lt;&gt;"", DATEVALUE(MID($A903,4,3) &amp; LEFT($A903,3) &amp; RIGHT($A903,4)), "")</f>
        <v/>
      </c>
      <c r="P903" s="34" t="str">
        <f>IFERROR(VLOOKUP($Q903,Selection!$F:$G,2,false))</f>
        <v/>
      </c>
      <c r="Q903" s="36" t="str">
        <f>IF(AND($X903="change",$H903="EUR"),IF(AND($Z903="Crédit",$N903=$N904),$Q904,IF(AND($Z903="Débit",$N903=$N902),$Q902)),IF(OR(AND(OR($E903&lt;&gt;"",$L903=""),$M903&lt;&gt;0),$A903=""),IFERROR(VLOOKUP($E903,Selection!$E:$F,2,false)),IFERROR(VLOOKUP(SUBSTITUTE($I903,"-","",1),$K904:$Q1119,7,false),VLOOKUP($K903,$K904:$Q1119,7,false))))</f>
        <v/>
      </c>
      <c r="R903" s="34" t="str">
        <f t="shared" si="2"/>
        <v/>
      </c>
      <c r="S903" s="37" t="str">
        <f t="shared" si="3"/>
        <v/>
      </c>
      <c r="T903" s="38" t="str">
        <f t="shared" si="4"/>
        <v/>
      </c>
      <c r="U903" s="28" t="str">
        <f t="shared" si="5"/>
        <v/>
      </c>
      <c r="V903" s="39" t="str">
        <f>IFERROR(__xludf.DUMMYFUNCTION(" IF(Account!$F903&lt;&gt;"""", SPLIT(Account!$F903, "" ""), """")"),"")</f>
        <v/>
      </c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</row>
    <row r="904">
      <c r="A904" s="341"/>
      <c r="B904" s="341"/>
      <c r="C904" s="341"/>
      <c r="D904" s="341"/>
      <c r="E904" s="341"/>
      <c r="F904" s="373"/>
      <c r="G904" s="341"/>
      <c r="H904" s="341"/>
      <c r="I904" s="341"/>
      <c r="J904" s="341"/>
      <c r="K904" s="341"/>
      <c r="L904" s="26" t="str">
        <f t="shared" si="1"/>
        <v/>
      </c>
      <c r="M904" s="28" t="str">
        <f>IFERROR(__xludf.DUMMYFUNCTION("IF(Account!$F904&lt;&gt;"""", VALUE(REGEXREPLACE($I904, ""\,"", ""."")), """")"),"")</f>
        <v/>
      </c>
      <c r="N904" s="31" t="str">
        <f>IF(Account!$F904&lt;&gt;"", DATEVALUE(MID($A904,4,3) &amp; LEFT($A904,3) &amp; RIGHT($A904,4)) + TIMEVALUE($B904), "")</f>
        <v/>
      </c>
      <c r="O904" s="33" t="str">
        <f>IF(Account!$F904&lt;&gt;"", DATEVALUE(MID($A904,4,3) &amp; LEFT($A904,3) &amp; RIGHT($A904,4)), "")</f>
        <v/>
      </c>
      <c r="P904" s="34" t="str">
        <f>IFERROR(VLOOKUP($Q904,Selection!$F:$G,2,false))</f>
        <v/>
      </c>
      <c r="Q904" s="36" t="str">
        <f>IF(AND($X904="change",$H904="EUR"),IF(AND($Z904="Crédit",$N904=$N905),$Q905,IF(AND($Z904="Débit",$N904=$N903),$Q903)),IF(OR(AND(OR($E904&lt;&gt;"",$L904=""),$M904&lt;&gt;0),$A904=""),IFERROR(VLOOKUP($E904,Selection!$E:$F,2,false)),IFERROR(VLOOKUP(SUBSTITUTE($I904,"-","",1),$K905:$Q1119,7,false),VLOOKUP($K904,$K905:$Q1119,7,false))))</f>
        <v/>
      </c>
      <c r="R904" s="34" t="str">
        <f t="shared" si="2"/>
        <v/>
      </c>
      <c r="S904" s="37" t="str">
        <f t="shared" si="3"/>
        <v/>
      </c>
      <c r="T904" s="38" t="str">
        <f t="shared" si="4"/>
        <v/>
      </c>
      <c r="U904" s="28" t="str">
        <f t="shared" si="5"/>
        <v/>
      </c>
      <c r="V904" s="39" t="str">
        <f>IFERROR(__xludf.DUMMYFUNCTION(" IF(Account!$F904&lt;&gt;"""", SPLIT(Account!$F904, "" ""), """")"),"")</f>
        <v/>
      </c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</row>
    <row r="905">
      <c r="A905" s="341"/>
      <c r="B905" s="341"/>
      <c r="C905" s="341"/>
      <c r="D905" s="341"/>
      <c r="E905" s="341"/>
      <c r="F905" s="373"/>
      <c r="G905" s="341"/>
      <c r="H905" s="341"/>
      <c r="I905" s="341"/>
      <c r="J905" s="341"/>
      <c r="K905" s="341"/>
      <c r="L905" s="26" t="str">
        <f t="shared" si="1"/>
        <v/>
      </c>
      <c r="M905" s="28" t="str">
        <f>IFERROR(__xludf.DUMMYFUNCTION("IF(Account!$F905&lt;&gt;"""", VALUE(REGEXREPLACE($I905, ""\,"", ""."")), """")"),"")</f>
        <v/>
      </c>
      <c r="N905" s="31" t="str">
        <f>IF(Account!$F905&lt;&gt;"", DATEVALUE(MID($A905,4,3) &amp; LEFT($A905,3) &amp; RIGHT($A905,4)) + TIMEVALUE($B905), "")</f>
        <v/>
      </c>
      <c r="O905" s="33" t="str">
        <f>IF(Account!$F905&lt;&gt;"", DATEVALUE(MID($A905,4,3) &amp; LEFT($A905,3) &amp; RIGHT($A905,4)), "")</f>
        <v/>
      </c>
      <c r="P905" s="34" t="str">
        <f>IFERROR(VLOOKUP($Q905,Selection!$F:$G,2,false))</f>
        <v/>
      </c>
      <c r="Q905" s="36" t="str">
        <f>IF(AND($X905="change",$H905="EUR"),IF(AND($Z905="Crédit",$N905=$N906),$Q906,IF(AND($Z905="Débit",$N905=$N904),$Q904)),IF(OR(AND(OR($E905&lt;&gt;"",$L905=""),$M905&lt;&gt;0),$A905=""),IFERROR(VLOOKUP($E905,Selection!$E:$F,2,false)),IFERROR(VLOOKUP(SUBSTITUTE($I905,"-","",1),$K906:$Q1119,7,false),VLOOKUP($K905,$K906:$Q1119,7,false))))</f>
        <v/>
      </c>
      <c r="R905" s="34" t="str">
        <f t="shared" si="2"/>
        <v/>
      </c>
      <c r="S905" s="37" t="str">
        <f t="shared" si="3"/>
        <v/>
      </c>
      <c r="T905" s="38" t="str">
        <f t="shared" si="4"/>
        <v/>
      </c>
      <c r="U905" s="28" t="str">
        <f t="shared" si="5"/>
        <v/>
      </c>
      <c r="V905" s="39" t="str">
        <f>IFERROR(__xludf.DUMMYFUNCTION(" IF(Account!$F905&lt;&gt;"""", SPLIT(Account!$F905, "" ""), """")"),"")</f>
        <v/>
      </c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</row>
    <row r="906">
      <c r="A906" s="341"/>
      <c r="B906" s="341"/>
      <c r="C906" s="341"/>
      <c r="D906" s="341"/>
      <c r="E906" s="341"/>
      <c r="F906" s="373"/>
      <c r="G906" s="341"/>
      <c r="H906" s="341"/>
      <c r="I906" s="341"/>
      <c r="J906" s="341"/>
      <c r="K906" s="341"/>
      <c r="L906" s="26" t="str">
        <f t="shared" si="1"/>
        <v/>
      </c>
      <c r="M906" s="28" t="str">
        <f>IFERROR(__xludf.DUMMYFUNCTION("IF(Account!$F906&lt;&gt;"""", VALUE(REGEXREPLACE($I906, ""\,"", ""."")), """")"),"")</f>
        <v/>
      </c>
      <c r="N906" s="31" t="str">
        <f>IF(Account!$F906&lt;&gt;"", DATEVALUE(MID($A906,4,3) &amp; LEFT($A906,3) &amp; RIGHT($A906,4)) + TIMEVALUE($B906), "")</f>
        <v/>
      </c>
      <c r="O906" s="33" t="str">
        <f>IF(Account!$F906&lt;&gt;"", DATEVALUE(MID($A906,4,3) &amp; LEFT($A906,3) &amp; RIGHT($A906,4)), "")</f>
        <v/>
      </c>
      <c r="P906" s="34" t="str">
        <f>IFERROR(VLOOKUP($Q906,Selection!$F:$G,2,false))</f>
        <v/>
      </c>
      <c r="Q906" s="36" t="str">
        <f>IF(AND($X906="change",$H906="EUR"),IF(AND($Z906="Crédit",$N906=$N907),$Q907,IF(AND($Z906="Débit",$N906=$N905),$Q905)),IF(OR(AND(OR($E906&lt;&gt;"",$L906=""),$M906&lt;&gt;0),$A906=""),IFERROR(VLOOKUP($E906,Selection!$E:$F,2,false)),IFERROR(VLOOKUP(SUBSTITUTE($I906,"-","",1),$K907:$Q1119,7,false),VLOOKUP($K906,$K907:$Q1119,7,false))))</f>
        <v/>
      </c>
      <c r="R906" s="34" t="str">
        <f t="shared" si="2"/>
        <v/>
      </c>
      <c r="S906" s="37" t="str">
        <f t="shared" si="3"/>
        <v/>
      </c>
      <c r="T906" s="38" t="str">
        <f t="shared" si="4"/>
        <v/>
      </c>
      <c r="U906" s="28" t="str">
        <f t="shared" si="5"/>
        <v/>
      </c>
      <c r="V906" s="39" t="str">
        <f>IFERROR(__xludf.DUMMYFUNCTION(" IF(Account!$F906&lt;&gt;"""", SPLIT(Account!$F906, "" ""), """")"),"")</f>
        <v/>
      </c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</row>
    <row r="907">
      <c r="A907" s="341"/>
      <c r="B907" s="341"/>
      <c r="C907" s="341"/>
      <c r="D907" s="341"/>
      <c r="E907" s="341"/>
      <c r="F907" s="373"/>
      <c r="G907" s="341"/>
      <c r="H907" s="341"/>
      <c r="I907" s="341"/>
      <c r="J907" s="341"/>
      <c r="K907" s="341"/>
      <c r="L907" s="26" t="str">
        <f t="shared" si="1"/>
        <v/>
      </c>
      <c r="M907" s="28" t="str">
        <f>IFERROR(__xludf.DUMMYFUNCTION("IF(Account!$F907&lt;&gt;"""", VALUE(REGEXREPLACE($I907, ""\,"", ""."")), """")"),"")</f>
        <v/>
      </c>
      <c r="N907" s="31" t="str">
        <f>IF(Account!$F907&lt;&gt;"", DATEVALUE(MID($A907,4,3) &amp; LEFT($A907,3) &amp; RIGHT($A907,4)) + TIMEVALUE($B907), "")</f>
        <v/>
      </c>
      <c r="O907" s="33" t="str">
        <f>IF(Account!$F907&lt;&gt;"", DATEVALUE(MID($A907,4,3) &amp; LEFT($A907,3) &amp; RIGHT($A907,4)), "")</f>
        <v/>
      </c>
      <c r="P907" s="34" t="str">
        <f>IFERROR(VLOOKUP($Q907,Selection!$F:$G,2,false))</f>
        <v/>
      </c>
      <c r="Q907" s="36" t="str">
        <f>IF(AND($X907="change",$H907="EUR"),IF(AND($Z907="Crédit",$N907=$N908),$Q908,IF(AND($Z907="Débit",$N907=$N906),$Q906)),IF(OR(AND(OR($E907&lt;&gt;"",$L907=""),$M907&lt;&gt;0),$A907=""),IFERROR(VLOOKUP($E907,Selection!$E:$F,2,false)),IFERROR(VLOOKUP(SUBSTITUTE($I907,"-","",1),$K908:$Q1119,7,false),VLOOKUP($K907,$K908:$Q1119,7,false))))</f>
        <v/>
      </c>
      <c r="R907" s="34" t="str">
        <f t="shared" si="2"/>
        <v/>
      </c>
      <c r="S907" s="37" t="str">
        <f t="shared" si="3"/>
        <v/>
      </c>
      <c r="T907" s="38" t="str">
        <f t="shared" si="4"/>
        <v/>
      </c>
      <c r="U907" s="28" t="str">
        <f t="shared" si="5"/>
        <v/>
      </c>
      <c r="V907" s="39" t="str">
        <f>IFERROR(__xludf.DUMMYFUNCTION(" IF(Account!$F907&lt;&gt;"""", SPLIT(Account!$F907, "" ""), """")"),"")</f>
        <v/>
      </c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</row>
    <row r="908">
      <c r="A908" s="341"/>
      <c r="B908" s="341"/>
      <c r="C908" s="341"/>
      <c r="D908" s="341"/>
      <c r="E908" s="341"/>
      <c r="F908" s="373"/>
      <c r="G908" s="341"/>
      <c r="H908" s="341"/>
      <c r="I908" s="341"/>
      <c r="J908" s="341"/>
      <c r="K908" s="341"/>
      <c r="L908" s="26" t="str">
        <f t="shared" si="1"/>
        <v/>
      </c>
      <c r="M908" s="28" t="str">
        <f>IFERROR(__xludf.DUMMYFUNCTION("IF(Account!$F908&lt;&gt;"""", VALUE(REGEXREPLACE($I908, ""\,"", ""."")), """")"),"")</f>
        <v/>
      </c>
      <c r="N908" s="31" t="str">
        <f>IF(Account!$F908&lt;&gt;"", DATEVALUE(MID($A908,4,3) &amp; LEFT($A908,3) &amp; RIGHT($A908,4)) + TIMEVALUE($B908), "")</f>
        <v/>
      </c>
      <c r="O908" s="33" t="str">
        <f>IF(Account!$F908&lt;&gt;"", DATEVALUE(MID($A908,4,3) &amp; LEFT($A908,3) &amp; RIGHT($A908,4)), "")</f>
        <v/>
      </c>
      <c r="P908" s="34" t="str">
        <f>IFERROR(VLOOKUP($Q908,Selection!$F:$G,2,false))</f>
        <v/>
      </c>
      <c r="Q908" s="36" t="str">
        <f>IF(AND($X908="change",$H908="EUR"),IF(AND($Z908="Crédit",$N908=$N909),$Q909,IF(AND($Z908="Débit",$N908=$N907),$Q907)),IF(OR(AND(OR($E908&lt;&gt;"",$L908=""),$M908&lt;&gt;0),$A908=""),IFERROR(VLOOKUP($E908,Selection!$E:$F,2,false)),IFERROR(VLOOKUP(SUBSTITUTE($I908,"-","",1),$K909:$Q1119,7,false),VLOOKUP($K908,$K909:$Q1119,7,false))))</f>
        <v/>
      </c>
      <c r="R908" s="34" t="str">
        <f t="shared" si="2"/>
        <v/>
      </c>
      <c r="S908" s="37" t="str">
        <f t="shared" si="3"/>
        <v/>
      </c>
      <c r="T908" s="38" t="str">
        <f t="shared" si="4"/>
        <v/>
      </c>
      <c r="U908" s="28" t="str">
        <f t="shared" si="5"/>
        <v/>
      </c>
      <c r="V908" s="39" t="str">
        <f>IFERROR(__xludf.DUMMYFUNCTION(" IF(Account!$F908&lt;&gt;"""", SPLIT(Account!$F908, "" ""), """")"),"")</f>
        <v/>
      </c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</row>
    <row r="909">
      <c r="A909" s="341"/>
      <c r="B909" s="341"/>
      <c r="C909" s="341"/>
      <c r="D909" s="341"/>
      <c r="E909" s="341"/>
      <c r="F909" s="373"/>
      <c r="G909" s="341"/>
      <c r="H909" s="341"/>
      <c r="I909" s="341"/>
      <c r="J909" s="341"/>
      <c r="K909" s="341"/>
      <c r="L909" s="26" t="str">
        <f t="shared" si="1"/>
        <v/>
      </c>
      <c r="M909" s="28" t="str">
        <f>IFERROR(__xludf.DUMMYFUNCTION("IF(Account!$F909&lt;&gt;"""", VALUE(REGEXREPLACE($I909, ""\,"", ""."")), """")"),"")</f>
        <v/>
      </c>
      <c r="N909" s="31" t="str">
        <f>IF(Account!$F909&lt;&gt;"", DATEVALUE(MID($A909,4,3) &amp; LEFT($A909,3) &amp; RIGHT($A909,4)) + TIMEVALUE($B909), "")</f>
        <v/>
      </c>
      <c r="O909" s="33" t="str">
        <f>IF(Account!$F909&lt;&gt;"", DATEVALUE(MID($A909,4,3) &amp; LEFT($A909,3) &amp; RIGHT($A909,4)), "")</f>
        <v/>
      </c>
      <c r="P909" s="34" t="str">
        <f>IFERROR(VLOOKUP($Q909,Selection!$F:$G,2,false))</f>
        <v/>
      </c>
      <c r="Q909" s="36" t="str">
        <f>IF(AND($X909="change",$H909="EUR"),IF(AND($Z909="Crédit",$N909=$N910),$Q910,IF(AND($Z909="Débit",$N909=$N908),$Q908)),IF(OR(AND(OR($E909&lt;&gt;"",$L909=""),$M909&lt;&gt;0),$A909=""),IFERROR(VLOOKUP($E909,Selection!$E:$F,2,false)),IFERROR(VLOOKUP(SUBSTITUTE($I909,"-","",1),$K910:$Q1119,7,false),VLOOKUP($K909,$K910:$Q1119,7,false))))</f>
        <v/>
      </c>
      <c r="R909" s="34" t="str">
        <f t="shared" si="2"/>
        <v/>
      </c>
      <c r="S909" s="37" t="str">
        <f t="shared" si="3"/>
        <v/>
      </c>
      <c r="T909" s="38" t="str">
        <f t="shared" si="4"/>
        <v/>
      </c>
      <c r="U909" s="28" t="str">
        <f t="shared" si="5"/>
        <v/>
      </c>
      <c r="V909" s="39" t="str">
        <f>IFERROR(__xludf.DUMMYFUNCTION(" IF(Account!$F909&lt;&gt;"""", SPLIT(Account!$F909, "" ""), """")"),"")</f>
        <v/>
      </c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</row>
    <row r="910">
      <c r="A910" s="341"/>
      <c r="B910" s="341"/>
      <c r="C910" s="341"/>
      <c r="D910" s="341"/>
      <c r="E910" s="341"/>
      <c r="F910" s="373"/>
      <c r="G910" s="341"/>
      <c r="H910" s="341"/>
      <c r="I910" s="341"/>
      <c r="J910" s="341"/>
      <c r="K910" s="341"/>
      <c r="L910" s="26" t="str">
        <f t="shared" si="1"/>
        <v/>
      </c>
      <c r="M910" s="28" t="str">
        <f>IFERROR(__xludf.DUMMYFUNCTION("IF(Account!$F910&lt;&gt;"""", VALUE(REGEXREPLACE($I910, ""\,"", ""."")), """")"),"")</f>
        <v/>
      </c>
      <c r="N910" s="31" t="str">
        <f>IF(Account!$F910&lt;&gt;"", DATEVALUE(MID($A910,4,3) &amp; LEFT($A910,3) &amp; RIGHT($A910,4)) + TIMEVALUE($B910), "")</f>
        <v/>
      </c>
      <c r="O910" s="33" t="str">
        <f>IF(Account!$F910&lt;&gt;"", DATEVALUE(MID($A910,4,3) &amp; LEFT($A910,3) &amp; RIGHT($A910,4)), "")</f>
        <v/>
      </c>
      <c r="P910" s="34" t="str">
        <f>IFERROR(VLOOKUP($Q910,Selection!$F:$G,2,false))</f>
        <v/>
      </c>
      <c r="Q910" s="36" t="str">
        <f>IF(AND($X910="change",$H910="EUR"),IF(AND($Z910="Crédit",$N910=$N911),$Q911,IF(AND($Z910="Débit",$N910=$N909),$Q909)),IF(OR(AND(OR($E910&lt;&gt;"",$L910=""),$M910&lt;&gt;0),$A910=""),IFERROR(VLOOKUP($E910,Selection!$E:$F,2,false)),IFERROR(VLOOKUP(SUBSTITUTE($I910,"-","",1),$K911:$Q1119,7,false),VLOOKUP($K910,$K911:$Q1119,7,false))))</f>
        <v/>
      </c>
      <c r="R910" s="34" t="str">
        <f t="shared" si="2"/>
        <v/>
      </c>
      <c r="S910" s="37" t="str">
        <f t="shared" si="3"/>
        <v/>
      </c>
      <c r="T910" s="38" t="str">
        <f t="shared" si="4"/>
        <v/>
      </c>
      <c r="U910" s="28" t="str">
        <f t="shared" si="5"/>
        <v/>
      </c>
      <c r="V910" s="39" t="str">
        <f>IFERROR(__xludf.DUMMYFUNCTION(" IF(Account!$F910&lt;&gt;"""", SPLIT(Account!$F910, "" ""), """")"),"")</f>
        <v/>
      </c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</row>
    <row r="911">
      <c r="A911" s="341"/>
      <c r="B911" s="341"/>
      <c r="C911" s="341"/>
      <c r="D911" s="341"/>
      <c r="E911" s="341"/>
      <c r="F911" s="373"/>
      <c r="G911" s="341"/>
      <c r="H911" s="341"/>
      <c r="I911" s="341"/>
      <c r="J911" s="341"/>
      <c r="K911" s="341"/>
      <c r="L911" s="26" t="str">
        <f t="shared" si="1"/>
        <v/>
      </c>
      <c r="M911" s="28" t="str">
        <f>IFERROR(__xludf.DUMMYFUNCTION("IF(Account!$F911&lt;&gt;"""", VALUE(REGEXREPLACE($I911, ""\,"", ""."")), """")"),"")</f>
        <v/>
      </c>
      <c r="N911" s="31" t="str">
        <f>IF(Account!$F911&lt;&gt;"", DATEVALUE(MID($A911,4,3) &amp; LEFT($A911,3) &amp; RIGHT($A911,4)) + TIMEVALUE($B911), "")</f>
        <v/>
      </c>
      <c r="O911" s="33" t="str">
        <f>IF(Account!$F911&lt;&gt;"", DATEVALUE(MID($A911,4,3) &amp; LEFT($A911,3) &amp; RIGHT($A911,4)), "")</f>
        <v/>
      </c>
      <c r="P911" s="34" t="str">
        <f>IFERROR(VLOOKUP($Q911,Selection!$F:$G,2,false))</f>
        <v/>
      </c>
      <c r="Q911" s="36" t="str">
        <f>IF(AND($X911="change",$H911="EUR"),IF(AND($Z911="Crédit",$N911=$N912),$Q912,IF(AND($Z911="Débit",$N911=$N910),$Q910)),IF(OR(AND(OR($E911&lt;&gt;"",$L911=""),$M911&lt;&gt;0),$A911=""),IFERROR(VLOOKUP($E911,Selection!$E:$F,2,false)),IFERROR(VLOOKUP(SUBSTITUTE($I911,"-","",1),$K912:$Q1119,7,false),VLOOKUP($K911,$K912:$Q1119,7,false))))</f>
        <v/>
      </c>
      <c r="R911" s="34" t="str">
        <f t="shared" si="2"/>
        <v/>
      </c>
      <c r="S911" s="37" t="str">
        <f t="shared" si="3"/>
        <v/>
      </c>
      <c r="T911" s="38" t="str">
        <f t="shared" si="4"/>
        <v/>
      </c>
      <c r="U911" s="28" t="str">
        <f t="shared" si="5"/>
        <v/>
      </c>
      <c r="V911" s="39" t="str">
        <f>IFERROR(__xludf.DUMMYFUNCTION(" IF(Account!$F911&lt;&gt;"""", SPLIT(Account!$F911, "" ""), """")"),"")</f>
        <v/>
      </c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</row>
    <row r="912">
      <c r="A912" s="341"/>
      <c r="B912" s="341"/>
      <c r="C912" s="341"/>
      <c r="D912" s="341"/>
      <c r="E912" s="341"/>
      <c r="F912" s="373"/>
      <c r="G912" s="341"/>
      <c r="H912" s="341"/>
      <c r="I912" s="341"/>
      <c r="J912" s="341"/>
      <c r="K912" s="341"/>
      <c r="L912" s="26" t="str">
        <f t="shared" si="1"/>
        <v/>
      </c>
      <c r="M912" s="28" t="str">
        <f>IFERROR(__xludf.DUMMYFUNCTION("IF(Account!$F912&lt;&gt;"""", VALUE(REGEXREPLACE($I912, ""\,"", ""."")), """")"),"")</f>
        <v/>
      </c>
      <c r="N912" s="31" t="str">
        <f>IF(Account!$F912&lt;&gt;"", DATEVALUE(MID($A912,4,3) &amp; LEFT($A912,3) &amp; RIGHT($A912,4)) + TIMEVALUE($B912), "")</f>
        <v/>
      </c>
      <c r="O912" s="33" t="str">
        <f>IF(Account!$F912&lt;&gt;"", DATEVALUE(MID($A912,4,3) &amp; LEFT($A912,3) &amp; RIGHT($A912,4)), "")</f>
        <v/>
      </c>
      <c r="P912" s="34" t="str">
        <f>IFERROR(VLOOKUP($Q912,Selection!$F:$G,2,false))</f>
        <v/>
      </c>
      <c r="Q912" s="36" t="str">
        <f>IF(AND($X912="change",$H912="EUR"),IF(AND($Z912="Crédit",$N912=$N913),$Q913,IF(AND($Z912="Débit",$N912=$N911),$Q911)),IF(OR(AND(OR($E912&lt;&gt;"",$L912=""),$M912&lt;&gt;0),$A912=""),IFERROR(VLOOKUP($E912,Selection!$E:$F,2,false)),IFERROR(VLOOKUP(SUBSTITUTE($I912,"-","",1),$K913:$Q1119,7,false),VLOOKUP($K912,$K913:$Q1119,7,false))))</f>
        <v/>
      </c>
      <c r="R912" s="34" t="str">
        <f t="shared" si="2"/>
        <v/>
      </c>
      <c r="S912" s="37" t="str">
        <f t="shared" si="3"/>
        <v/>
      </c>
      <c r="T912" s="38" t="str">
        <f t="shared" si="4"/>
        <v/>
      </c>
      <c r="U912" s="28" t="str">
        <f t="shared" si="5"/>
        <v/>
      </c>
      <c r="V912" s="39" t="str">
        <f>IFERROR(__xludf.DUMMYFUNCTION(" IF(Account!$F912&lt;&gt;"""", SPLIT(Account!$F912, "" ""), """")"),"")</f>
        <v/>
      </c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</row>
    <row r="913">
      <c r="A913" s="341"/>
      <c r="B913" s="341"/>
      <c r="C913" s="341"/>
      <c r="D913" s="341"/>
      <c r="E913" s="341"/>
      <c r="F913" s="373"/>
      <c r="G913" s="341"/>
      <c r="H913" s="341"/>
      <c r="I913" s="341"/>
      <c r="J913" s="341"/>
      <c r="K913" s="341"/>
      <c r="L913" s="26" t="str">
        <f t="shared" si="1"/>
        <v/>
      </c>
      <c r="M913" s="28" t="str">
        <f>IFERROR(__xludf.DUMMYFUNCTION("IF(Account!$F913&lt;&gt;"""", VALUE(REGEXREPLACE($I913, ""\,"", ""."")), """")"),"")</f>
        <v/>
      </c>
      <c r="N913" s="31" t="str">
        <f>IF(Account!$F913&lt;&gt;"", DATEVALUE(MID($A913,4,3) &amp; LEFT($A913,3) &amp; RIGHT($A913,4)) + TIMEVALUE($B913), "")</f>
        <v/>
      </c>
      <c r="O913" s="33" t="str">
        <f>IF(Account!$F913&lt;&gt;"", DATEVALUE(MID($A913,4,3) &amp; LEFT($A913,3) &amp; RIGHT($A913,4)), "")</f>
        <v/>
      </c>
      <c r="P913" s="34" t="str">
        <f>IFERROR(VLOOKUP($Q913,Selection!$F:$G,2,false))</f>
        <v/>
      </c>
      <c r="Q913" s="36" t="str">
        <f>IF(AND($X913="change",$H913="EUR"),IF(AND($Z913="Crédit",$N913=$N914),$Q914,IF(AND($Z913="Débit",$N913=$N912),$Q912)),IF(OR(AND(OR($E913&lt;&gt;"",$L913=""),$M913&lt;&gt;0),$A913=""),IFERROR(VLOOKUP($E913,Selection!$E:$F,2,false)),IFERROR(VLOOKUP(SUBSTITUTE($I913,"-","",1),$K914:$Q1119,7,false),VLOOKUP($K913,$K914:$Q1119,7,false))))</f>
        <v/>
      </c>
      <c r="R913" s="34" t="str">
        <f t="shared" si="2"/>
        <v/>
      </c>
      <c r="S913" s="37" t="str">
        <f t="shared" si="3"/>
        <v/>
      </c>
      <c r="T913" s="38" t="str">
        <f t="shared" si="4"/>
        <v/>
      </c>
      <c r="U913" s="28" t="str">
        <f t="shared" si="5"/>
        <v/>
      </c>
      <c r="V913" s="39" t="str">
        <f>IFERROR(__xludf.DUMMYFUNCTION(" IF(Account!$F913&lt;&gt;"""", SPLIT(Account!$F913, "" ""), """")"),"")</f>
        <v/>
      </c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</row>
    <row r="914">
      <c r="A914" s="341"/>
      <c r="B914" s="341"/>
      <c r="C914" s="341"/>
      <c r="D914" s="341"/>
      <c r="E914" s="341"/>
      <c r="F914" s="373"/>
      <c r="G914" s="341"/>
      <c r="H914" s="341"/>
      <c r="I914" s="341"/>
      <c r="J914" s="341"/>
      <c r="K914" s="341"/>
      <c r="L914" s="26" t="str">
        <f t="shared" si="1"/>
        <v/>
      </c>
      <c r="M914" s="28" t="str">
        <f>IFERROR(__xludf.DUMMYFUNCTION("IF(Account!$F914&lt;&gt;"""", VALUE(REGEXREPLACE($I914, ""\,"", ""."")), """")"),"")</f>
        <v/>
      </c>
      <c r="N914" s="31" t="str">
        <f>IF(Account!$F914&lt;&gt;"", DATEVALUE(MID($A914,4,3) &amp; LEFT($A914,3) &amp; RIGHT($A914,4)) + TIMEVALUE($B914), "")</f>
        <v/>
      </c>
      <c r="O914" s="33" t="str">
        <f>IF(Account!$F914&lt;&gt;"", DATEVALUE(MID($A914,4,3) &amp; LEFT($A914,3) &amp; RIGHT($A914,4)), "")</f>
        <v/>
      </c>
      <c r="P914" s="34" t="str">
        <f>IFERROR(VLOOKUP($Q914,Selection!$F:$G,2,false))</f>
        <v/>
      </c>
      <c r="Q914" s="36" t="str">
        <f>IF(AND($X914="change",$H914="EUR"),IF(AND($Z914="Crédit",$N914=$N915),$Q915,IF(AND($Z914="Débit",$N914=$N913),$Q913)),IF(OR(AND(OR($E914&lt;&gt;"",$L914=""),$M914&lt;&gt;0),$A914=""),IFERROR(VLOOKUP($E914,Selection!$E:$F,2,false)),IFERROR(VLOOKUP(SUBSTITUTE($I914,"-","",1),$K915:$Q1119,7,false),VLOOKUP($K914,$K915:$Q1119,7,false))))</f>
        <v/>
      </c>
      <c r="R914" s="34" t="str">
        <f t="shared" si="2"/>
        <v/>
      </c>
      <c r="S914" s="37" t="str">
        <f t="shared" si="3"/>
        <v/>
      </c>
      <c r="T914" s="38" t="str">
        <f t="shared" si="4"/>
        <v/>
      </c>
      <c r="U914" s="28" t="str">
        <f t="shared" si="5"/>
        <v/>
      </c>
      <c r="V914" s="39" t="str">
        <f>IFERROR(__xludf.DUMMYFUNCTION(" IF(Account!$F914&lt;&gt;"""", SPLIT(Account!$F914, "" ""), """")"),"")</f>
        <v/>
      </c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</row>
    <row r="915">
      <c r="A915" s="341"/>
      <c r="B915" s="341"/>
      <c r="C915" s="341"/>
      <c r="D915" s="341"/>
      <c r="E915" s="341"/>
      <c r="F915" s="373"/>
      <c r="G915" s="341"/>
      <c r="H915" s="341"/>
      <c r="I915" s="341"/>
      <c r="J915" s="341"/>
      <c r="K915" s="341"/>
      <c r="L915" s="26" t="str">
        <f t="shared" si="1"/>
        <v/>
      </c>
      <c r="M915" s="28" t="str">
        <f>IFERROR(__xludf.DUMMYFUNCTION("IF(Account!$F915&lt;&gt;"""", VALUE(REGEXREPLACE($I915, ""\,"", ""."")), """")"),"")</f>
        <v/>
      </c>
      <c r="N915" s="31" t="str">
        <f>IF(Account!$F915&lt;&gt;"", DATEVALUE(MID($A915,4,3) &amp; LEFT($A915,3) &amp; RIGHT($A915,4)) + TIMEVALUE($B915), "")</f>
        <v/>
      </c>
      <c r="O915" s="33" t="str">
        <f>IF(Account!$F915&lt;&gt;"", DATEVALUE(MID($A915,4,3) &amp; LEFT($A915,3) &amp; RIGHT($A915,4)), "")</f>
        <v/>
      </c>
      <c r="P915" s="34" t="str">
        <f>IFERROR(VLOOKUP($Q915,Selection!$F:$G,2,false))</f>
        <v/>
      </c>
      <c r="Q915" s="36" t="str">
        <f>IF(AND($X915="change",$H915="EUR"),IF(AND($Z915="Crédit",$N915=$N916),$Q916,IF(AND($Z915="Débit",$N915=$N914),$Q914)),IF(OR(AND(OR($E915&lt;&gt;"",$L915=""),$M915&lt;&gt;0),$A915=""),IFERROR(VLOOKUP($E915,Selection!$E:$F,2,false)),IFERROR(VLOOKUP(SUBSTITUTE($I915,"-","",1),$K916:$Q1119,7,false),VLOOKUP($K915,$K916:$Q1119,7,false))))</f>
        <v/>
      </c>
      <c r="R915" s="34" t="str">
        <f t="shared" si="2"/>
        <v/>
      </c>
      <c r="S915" s="37" t="str">
        <f t="shared" si="3"/>
        <v/>
      </c>
      <c r="T915" s="38" t="str">
        <f t="shared" si="4"/>
        <v/>
      </c>
      <c r="U915" s="28" t="str">
        <f t="shared" si="5"/>
        <v/>
      </c>
      <c r="V915" s="39" t="str">
        <f>IFERROR(__xludf.DUMMYFUNCTION(" IF(Account!$F915&lt;&gt;"""", SPLIT(Account!$F915, "" ""), """")"),"")</f>
        <v/>
      </c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</row>
    <row r="916">
      <c r="A916" s="341"/>
      <c r="B916" s="341"/>
      <c r="C916" s="341"/>
      <c r="D916" s="341"/>
      <c r="E916" s="341"/>
      <c r="F916" s="373"/>
      <c r="G916" s="341"/>
      <c r="H916" s="341"/>
      <c r="I916" s="341"/>
      <c r="J916" s="341"/>
      <c r="K916" s="341"/>
      <c r="L916" s="26" t="str">
        <f t="shared" si="1"/>
        <v/>
      </c>
      <c r="M916" s="28" t="str">
        <f>IFERROR(__xludf.DUMMYFUNCTION("IF(Account!$F916&lt;&gt;"""", VALUE(REGEXREPLACE($I916, ""\,"", ""."")), """")"),"")</f>
        <v/>
      </c>
      <c r="N916" s="31" t="str">
        <f>IF(Account!$F916&lt;&gt;"", DATEVALUE(MID($A916,4,3) &amp; LEFT($A916,3) &amp; RIGHT($A916,4)) + TIMEVALUE($B916), "")</f>
        <v/>
      </c>
      <c r="O916" s="33" t="str">
        <f>IF(Account!$F916&lt;&gt;"", DATEVALUE(MID($A916,4,3) &amp; LEFT($A916,3) &amp; RIGHT($A916,4)), "")</f>
        <v/>
      </c>
      <c r="P916" s="34" t="str">
        <f>IFERROR(VLOOKUP($Q916,Selection!$F:$G,2,false))</f>
        <v/>
      </c>
      <c r="Q916" s="36" t="str">
        <f>IF(AND($X916="change",$H916="EUR"),IF(AND($Z916="Crédit",$N916=$N917),$Q917,IF(AND($Z916="Débit",$N916=$N915),$Q915)),IF(OR(AND(OR($E916&lt;&gt;"",$L916=""),$M916&lt;&gt;0),$A916=""),IFERROR(VLOOKUP($E916,Selection!$E:$F,2,false)),IFERROR(VLOOKUP(SUBSTITUTE($I916,"-","",1),$K917:$Q1119,7,false),VLOOKUP($K916,$K917:$Q1119,7,false))))</f>
        <v/>
      </c>
      <c r="R916" s="34" t="str">
        <f t="shared" si="2"/>
        <v/>
      </c>
      <c r="S916" s="37" t="str">
        <f t="shared" si="3"/>
        <v/>
      </c>
      <c r="T916" s="38" t="str">
        <f t="shared" si="4"/>
        <v/>
      </c>
      <c r="U916" s="28" t="str">
        <f t="shared" si="5"/>
        <v/>
      </c>
      <c r="V916" s="39" t="str">
        <f>IFERROR(__xludf.DUMMYFUNCTION(" IF(Account!$F916&lt;&gt;"""", SPLIT(Account!$F916, "" ""), """")"),"")</f>
        <v/>
      </c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</row>
    <row r="917">
      <c r="A917" s="341"/>
      <c r="B917" s="341"/>
      <c r="C917" s="341"/>
      <c r="D917" s="341"/>
      <c r="E917" s="341"/>
      <c r="F917" s="373"/>
      <c r="G917" s="341"/>
      <c r="H917" s="341"/>
      <c r="I917" s="341"/>
      <c r="J917" s="341"/>
      <c r="K917" s="341"/>
      <c r="L917" s="26" t="str">
        <f t="shared" si="1"/>
        <v/>
      </c>
      <c r="M917" s="28" t="str">
        <f>IFERROR(__xludf.DUMMYFUNCTION("IF(Account!$F917&lt;&gt;"""", VALUE(REGEXREPLACE($I917, ""\,"", ""."")), """")"),"")</f>
        <v/>
      </c>
      <c r="N917" s="31" t="str">
        <f>IF(Account!$F917&lt;&gt;"", DATEVALUE(MID($A917,4,3) &amp; LEFT($A917,3) &amp; RIGHT($A917,4)) + TIMEVALUE($B917), "")</f>
        <v/>
      </c>
      <c r="O917" s="33" t="str">
        <f>IF(Account!$F917&lt;&gt;"", DATEVALUE(MID($A917,4,3) &amp; LEFT($A917,3) &amp; RIGHT($A917,4)), "")</f>
        <v/>
      </c>
      <c r="P917" s="34" t="str">
        <f>IFERROR(VLOOKUP($Q917,Selection!$F:$G,2,false))</f>
        <v/>
      </c>
      <c r="Q917" s="36" t="str">
        <f>IF(AND($X917="change",$H917="EUR"),IF(AND($Z917="Crédit",$N917=$N918),$Q918,IF(AND($Z917="Débit",$N917=$N916),$Q916)),IF(OR(AND(OR($E917&lt;&gt;"",$L917=""),$M917&lt;&gt;0),$A917=""),IFERROR(VLOOKUP($E917,Selection!$E:$F,2,false)),IFERROR(VLOOKUP(SUBSTITUTE($I917,"-","",1),$K918:$Q1119,7,false),VLOOKUP($K917,$K918:$Q1119,7,false))))</f>
        <v/>
      </c>
      <c r="R917" s="34" t="str">
        <f t="shared" si="2"/>
        <v/>
      </c>
      <c r="S917" s="37" t="str">
        <f t="shared" si="3"/>
        <v/>
      </c>
      <c r="T917" s="38" t="str">
        <f t="shared" si="4"/>
        <v/>
      </c>
      <c r="U917" s="28" t="str">
        <f t="shared" si="5"/>
        <v/>
      </c>
      <c r="V917" s="39" t="str">
        <f>IFERROR(__xludf.DUMMYFUNCTION(" IF(Account!$F917&lt;&gt;"""", SPLIT(Account!$F917, "" ""), """")"),"")</f>
        <v/>
      </c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</row>
    <row r="918">
      <c r="A918" s="341"/>
      <c r="B918" s="341"/>
      <c r="C918" s="341"/>
      <c r="D918" s="341"/>
      <c r="E918" s="341"/>
      <c r="F918" s="373"/>
      <c r="G918" s="341"/>
      <c r="H918" s="341"/>
      <c r="I918" s="341"/>
      <c r="J918" s="341"/>
      <c r="K918" s="341"/>
      <c r="L918" s="26" t="str">
        <f t="shared" si="1"/>
        <v/>
      </c>
      <c r="M918" s="28" t="str">
        <f>IFERROR(__xludf.DUMMYFUNCTION("IF(Account!$F918&lt;&gt;"""", VALUE(REGEXREPLACE($I918, ""\,"", ""."")), """")"),"")</f>
        <v/>
      </c>
      <c r="N918" s="31" t="str">
        <f>IF(Account!$F918&lt;&gt;"", DATEVALUE(MID($A918,4,3) &amp; LEFT($A918,3) &amp; RIGHT($A918,4)) + TIMEVALUE($B918), "")</f>
        <v/>
      </c>
      <c r="O918" s="33" t="str">
        <f>IF(Account!$F918&lt;&gt;"", DATEVALUE(MID($A918,4,3) &amp; LEFT($A918,3) &amp; RIGHT($A918,4)), "")</f>
        <v/>
      </c>
      <c r="P918" s="34" t="str">
        <f>IFERROR(VLOOKUP($Q918,Selection!$F:$G,2,false))</f>
        <v/>
      </c>
      <c r="Q918" s="36" t="str">
        <f>IF(AND($X918="change",$H918="EUR"),IF(AND($Z918="Crédit",$N918=$N919),$Q919,IF(AND($Z918="Débit",$N918=$N917),$Q917)),IF(OR(AND(OR($E918&lt;&gt;"",$L918=""),$M918&lt;&gt;0),$A918=""),IFERROR(VLOOKUP($E918,Selection!$E:$F,2,false)),IFERROR(VLOOKUP(SUBSTITUTE($I918,"-","",1),$K919:$Q1119,7,false),VLOOKUP($K918,$K919:$Q1119,7,false))))</f>
        <v/>
      </c>
      <c r="R918" s="34" t="str">
        <f t="shared" si="2"/>
        <v/>
      </c>
      <c r="S918" s="37" t="str">
        <f t="shared" si="3"/>
        <v/>
      </c>
      <c r="T918" s="38" t="str">
        <f t="shared" si="4"/>
        <v/>
      </c>
      <c r="U918" s="28" t="str">
        <f t="shared" si="5"/>
        <v/>
      </c>
      <c r="V918" s="39" t="str">
        <f>IFERROR(__xludf.DUMMYFUNCTION(" IF(Account!$F918&lt;&gt;"""", SPLIT(Account!$F918, "" ""), """")"),"")</f>
        <v/>
      </c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</row>
    <row r="919">
      <c r="A919" s="341"/>
      <c r="B919" s="341"/>
      <c r="C919" s="341"/>
      <c r="D919" s="341"/>
      <c r="E919" s="341"/>
      <c r="F919" s="373"/>
      <c r="G919" s="341"/>
      <c r="H919" s="341"/>
      <c r="I919" s="341"/>
      <c r="J919" s="341"/>
      <c r="K919" s="341"/>
      <c r="L919" s="26" t="str">
        <f t="shared" si="1"/>
        <v/>
      </c>
      <c r="M919" s="28" t="str">
        <f>IFERROR(__xludf.DUMMYFUNCTION("IF(Account!$F919&lt;&gt;"""", VALUE(REGEXREPLACE($I919, ""\,"", ""."")), """")"),"")</f>
        <v/>
      </c>
      <c r="N919" s="31" t="str">
        <f>IF(Account!$F919&lt;&gt;"", DATEVALUE(MID($A919,4,3) &amp; LEFT($A919,3) &amp; RIGHT($A919,4)) + TIMEVALUE($B919), "")</f>
        <v/>
      </c>
      <c r="O919" s="33" t="str">
        <f>IF(Account!$F919&lt;&gt;"", DATEVALUE(MID($A919,4,3) &amp; LEFT($A919,3) &amp; RIGHT($A919,4)), "")</f>
        <v/>
      </c>
      <c r="P919" s="34" t="str">
        <f>IFERROR(VLOOKUP($Q919,Selection!$F:$G,2,false))</f>
        <v/>
      </c>
      <c r="Q919" s="36" t="str">
        <f>IF(AND($X919="change",$H919="EUR"),IF(AND($Z919="Crédit",$N919=$N920),$Q920,IF(AND($Z919="Débit",$N919=$N918),$Q918)),IF(OR(AND(OR($E919&lt;&gt;"",$L919=""),$M919&lt;&gt;0),$A919=""),IFERROR(VLOOKUP($E919,Selection!$E:$F,2,false)),IFERROR(VLOOKUP(SUBSTITUTE($I919,"-","",1),$K920:$Q1119,7,false),VLOOKUP($K919,$K920:$Q1119,7,false))))</f>
        <v/>
      </c>
      <c r="R919" s="34" t="str">
        <f t="shared" si="2"/>
        <v/>
      </c>
      <c r="S919" s="37" t="str">
        <f t="shared" si="3"/>
        <v/>
      </c>
      <c r="T919" s="38" t="str">
        <f t="shared" si="4"/>
        <v/>
      </c>
      <c r="U919" s="28" t="str">
        <f t="shared" si="5"/>
        <v/>
      </c>
      <c r="V919" s="39" t="str">
        <f>IFERROR(__xludf.DUMMYFUNCTION(" IF(Account!$F919&lt;&gt;"""", SPLIT(Account!$F919, "" ""), """")"),"")</f>
        <v/>
      </c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</row>
    <row r="920">
      <c r="A920" s="341"/>
      <c r="B920" s="341"/>
      <c r="C920" s="341"/>
      <c r="D920" s="341"/>
      <c r="E920" s="341"/>
      <c r="F920" s="373"/>
      <c r="G920" s="341"/>
      <c r="H920" s="341"/>
      <c r="I920" s="341"/>
      <c r="J920" s="341"/>
      <c r="K920" s="341"/>
      <c r="L920" s="26" t="str">
        <f t="shared" si="1"/>
        <v/>
      </c>
      <c r="M920" s="28" t="str">
        <f>IFERROR(__xludf.DUMMYFUNCTION("IF(Account!$F920&lt;&gt;"""", VALUE(REGEXREPLACE($I920, ""\,"", ""."")), """")"),"")</f>
        <v/>
      </c>
      <c r="N920" s="31" t="str">
        <f>IF(Account!$F920&lt;&gt;"", DATEVALUE(MID($A920,4,3) &amp; LEFT($A920,3) &amp; RIGHT($A920,4)) + TIMEVALUE($B920), "")</f>
        <v/>
      </c>
      <c r="O920" s="33" t="str">
        <f>IF(Account!$F920&lt;&gt;"", DATEVALUE(MID($A920,4,3) &amp; LEFT($A920,3) &amp; RIGHT($A920,4)), "")</f>
        <v/>
      </c>
      <c r="P920" s="34" t="str">
        <f>IFERROR(VLOOKUP($Q920,Selection!$F:$G,2,false))</f>
        <v/>
      </c>
      <c r="Q920" s="36" t="str">
        <f>IF(AND($X920="change",$H920="EUR"),IF(AND($Z920="Crédit",$N920=$N921),$Q921,IF(AND($Z920="Débit",$N920=$N919),$Q919)),IF(OR(AND(OR($E920&lt;&gt;"",$L920=""),$M920&lt;&gt;0),$A920=""),IFERROR(VLOOKUP($E920,Selection!$E:$F,2,false)),IFERROR(VLOOKUP(SUBSTITUTE($I920,"-","",1),$K921:$Q1119,7,false),VLOOKUP($K920,$K921:$Q1119,7,false))))</f>
        <v/>
      </c>
      <c r="R920" s="34" t="str">
        <f t="shared" si="2"/>
        <v/>
      </c>
      <c r="S920" s="37" t="str">
        <f t="shared" si="3"/>
        <v/>
      </c>
      <c r="T920" s="38" t="str">
        <f t="shared" si="4"/>
        <v/>
      </c>
      <c r="U920" s="28" t="str">
        <f t="shared" si="5"/>
        <v/>
      </c>
      <c r="V920" s="39" t="str">
        <f>IFERROR(__xludf.DUMMYFUNCTION(" IF(Account!$F920&lt;&gt;"""", SPLIT(Account!$F920, "" ""), """")"),"")</f>
        <v/>
      </c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</row>
    <row r="921">
      <c r="A921" s="341"/>
      <c r="B921" s="341"/>
      <c r="C921" s="341"/>
      <c r="D921" s="341"/>
      <c r="E921" s="341"/>
      <c r="F921" s="373"/>
      <c r="G921" s="341"/>
      <c r="H921" s="341"/>
      <c r="I921" s="341"/>
      <c r="J921" s="341"/>
      <c r="K921" s="341"/>
      <c r="L921" s="26" t="str">
        <f t="shared" si="1"/>
        <v/>
      </c>
      <c r="M921" s="28" t="str">
        <f>IFERROR(__xludf.DUMMYFUNCTION("IF(Account!$F921&lt;&gt;"""", VALUE(REGEXREPLACE($I921, ""\,"", ""."")), """")"),"")</f>
        <v/>
      </c>
      <c r="N921" s="31" t="str">
        <f>IF(Account!$F921&lt;&gt;"", DATEVALUE(MID($A921,4,3) &amp; LEFT($A921,3) &amp; RIGHT($A921,4)) + TIMEVALUE($B921), "")</f>
        <v/>
      </c>
      <c r="O921" s="33" t="str">
        <f>IF(Account!$F921&lt;&gt;"", DATEVALUE(MID($A921,4,3) &amp; LEFT($A921,3) &amp; RIGHT($A921,4)), "")</f>
        <v/>
      </c>
      <c r="P921" s="34" t="str">
        <f>IFERROR(VLOOKUP($Q921,Selection!$F:$G,2,false))</f>
        <v/>
      </c>
      <c r="Q921" s="36" t="str">
        <f>IF(AND($X921="change",$H921="EUR"),IF(AND($Z921="Crédit",$N921=$N922),$Q922,IF(AND($Z921="Débit",$N921=$N920),$Q920)),IF(OR(AND(OR($E921&lt;&gt;"",$L921=""),$M921&lt;&gt;0),$A921=""),IFERROR(VLOOKUP($E921,Selection!$E:$F,2,false)),IFERROR(VLOOKUP(SUBSTITUTE($I921,"-","",1),$K922:$Q1119,7,false),VLOOKUP($K921,$K922:$Q1119,7,false))))</f>
        <v/>
      </c>
      <c r="R921" s="34" t="str">
        <f t="shared" si="2"/>
        <v/>
      </c>
      <c r="S921" s="37" t="str">
        <f t="shared" si="3"/>
        <v/>
      </c>
      <c r="T921" s="38" t="str">
        <f t="shared" si="4"/>
        <v/>
      </c>
      <c r="U921" s="28" t="str">
        <f t="shared" si="5"/>
        <v/>
      </c>
      <c r="V921" s="39" t="str">
        <f>IFERROR(__xludf.DUMMYFUNCTION(" IF(Account!$F921&lt;&gt;"""", SPLIT(Account!$F921, "" ""), """")"),"")</f>
        <v/>
      </c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</row>
    <row r="922">
      <c r="A922" s="341"/>
      <c r="B922" s="341"/>
      <c r="C922" s="341"/>
      <c r="D922" s="341"/>
      <c r="E922" s="341"/>
      <c r="F922" s="373"/>
      <c r="G922" s="341"/>
      <c r="H922" s="341"/>
      <c r="I922" s="341"/>
      <c r="J922" s="341"/>
      <c r="K922" s="341"/>
      <c r="L922" s="26" t="str">
        <f t="shared" si="1"/>
        <v/>
      </c>
      <c r="M922" s="28" t="str">
        <f>IFERROR(__xludf.DUMMYFUNCTION("IF(Account!$F922&lt;&gt;"""", VALUE(REGEXREPLACE($I922, ""\,"", ""."")), """")"),"")</f>
        <v/>
      </c>
      <c r="N922" s="31" t="str">
        <f>IF(Account!$F922&lt;&gt;"", DATEVALUE(MID($A922,4,3) &amp; LEFT($A922,3) &amp; RIGHT($A922,4)) + TIMEVALUE($B922), "")</f>
        <v/>
      </c>
      <c r="O922" s="33" t="str">
        <f>IF(Account!$F922&lt;&gt;"", DATEVALUE(MID($A922,4,3) &amp; LEFT($A922,3) &amp; RIGHT($A922,4)), "")</f>
        <v/>
      </c>
      <c r="P922" s="34" t="str">
        <f>IFERROR(VLOOKUP($Q922,Selection!$F:$G,2,false))</f>
        <v/>
      </c>
      <c r="Q922" s="36" t="str">
        <f>IF(AND($X922="change",$H922="EUR"),IF(AND($Z922="Crédit",$N922=$N923),$Q923,IF(AND($Z922="Débit",$N922=$N921),$Q921)),IF(OR(AND(OR($E922&lt;&gt;"",$L922=""),$M922&lt;&gt;0),$A922=""),IFERROR(VLOOKUP($E922,Selection!$E:$F,2,false)),IFERROR(VLOOKUP(SUBSTITUTE($I922,"-","",1),$K923:$Q1119,7,false),VLOOKUP($K922,$K923:$Q1119,7,false))))</f>
        <v/>
      </c>
      <c r="R922" s="34" t="str">
        <f t="shared" si="2"/>
        <v/>
      </c>
      <c r="S922" s="37" t="str">
        <f t="shared" si="3"/>
        <v/>
      </c>
      <c r="T922" s="38" t="str">
        <f t="shared" si="4"/>
        <v/>
      </c>
      <c r="U922" s="28" t="str">
        <f t="shared" si="5"/>
        <v/>
      </c>
      <c r="V922" s="39" t="str">
        <f>IFERROR(__xludf.DUMMYFUNCTION(" IF(Account!$F922&lt;&gt;"""", SPLIT(Account!$F922, "" ""), """")"),"")</f>
        <v/>
      </c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</row>
    <row r="923">
      <c r="A923" s="341"/>
      <c r="B923" s="341"/>
      <c r="C923" s="341"/>
      <c r="D923" s="341"/>
      <c r="E923" s="341"/>
      <c r="F923" s="373"/>
      <c r="G923" s="341"/>
      <c r="H923" s="341"/>
      <c r="I923" s="341"/>
      <c r="J923" s="341"/>
      <c r="K923" s="341"/>
      <c r="L923" s="26" t="str">
        <f t="shared" si="1"/>
        <v/>
      </c>
      <c r="M923" s="28" t="str">
        <f>IFERROR(__xludf.DUMMYFUNCTION("IF(Account!$F923&lt;&gt;"""", VALUE(REGEXREPLACE($I923, ""\,"", ""."")), """")"),"")</f>
        <v/>
      </c>
      <c r="N923" s="31" t="str">
        <f>IF(Account!$F923&lt;&gt;"", DATEVALUE(MID($A923,4,3) &amp; LEFT($A923,3) &amp; RIGHT($A923,4)) + TIMEVALUE($B923), "")</f>
        <v/>
      </c>
      <c r="O923" s="33" t="str">
        <f>IF(Account!$F923&lt;&gt;"", DATEVALUE(MID($A923,4,3) &amp; LEFT($A923,3) &amp; RIGHT($A923,4)), "")</f>
        <v/>
      </c>
      <c r="P923" s="34" t="str">
        <f>IFERROR(VLOOKUP($Q923,Selection!$F:$G,2,false))</f>
        <v/>
      </c>
      <c r="Q923" s="36" t="str">
        <f>IF(AND($X923="change",$H923="EUR"),IF(AND($Z923="Crédit",$N923=$N924),$Q924,IF(AND($Z923="Débit",$N923=$N922),$Q922)),IF(OR(AND(OR($E923&lt;&gt;"",$L923=""),$M923&lt;&gt;0),$A923=""),IFERROR(VLOOKUP($E923,Selection!$E:$F,2,false)),IFERROR(VLOOKUP(SUBSTITUTE($I923,"-","",1),$K924:$Q1119,7,false),VLOOKUP($K923,$K924:$Q1119,7,false))))</f>
        <v/>
      </c>
      <c r="R923" s="34" t="str">
        <f t="shared" si="2"/>
        <v/>
      </c>
      <c r="S923" s="37" t="str">
        <f t="shared" si="3"/>
        <v/>
      </c>
      <c r="T923" s="38" t="str">
        <f t="shared" si="4"/>
        <v/>
      </c>
      <c r="U923" s="28" t="str">
        <f t="shared" si="5"/>
        <v/>
      </c>
      <c r="V923" s="39" t="str">
        <f>IFERROR(__xludf.DUMMYFUNCTION(" IF(Account!$F923&lt;&gt;"""", SPLIT(Account!$F923, "" ""), """")"),"")</f>
        <v/>
      </c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</row>
    <row r="924">
      <c r="A924" s="341"/>
      <c r="B924" s="341"/>
      <c r="C924" s="341"/>
      <c r="D924" s="341"/>
      <c r="E924" s="341"/>
      <c r="F924" s="373"/>
      <c r="G924" s="341"/>
      <c r="H924" s="341"/>
      <c r="I924" s="341"/>
      <c r="J924" s="341"/>
      <c r="K924" s="341"/>
      <c r="L924" s="26" t="str">
        <f t="shared" si="1"/>
        <v/>
      </c>
      <c r="M924" s="28" t="str">
        <f>IFERROR(__xludf.DUMMYFUNCTION("IF(Account!$F924&lt;&gt;"""", VALUE(REGEXREPLACE($I924, ""\,"", ""."")), """")"),"")</f>
        <v/>
      </c>
      <c r="N924" s="31" t="str">
        <f>IF(Account!$F924&lt;&gt;"", DATEVALUE(MID($A924,4,3) &amp; LEFT($A924,3) &amp; RIGHT($A924,4)) + TIMEVALUE($B924), "")</f>
        <v/>
      </c>
      <c r="O924" s="33" t="str">
        <f>IF(Account!$F924&lt;&gt;"", DATEVALUE(MID($A924,4,3) &amp; LEFT($A924,3) &amp; RIGHT($A924,4)), "")</f>
        <v/>
      </c>
      <c r="P924" s="34" t="str">
        <f>IFERROR(VLOOKUP($Q924,Selection!$F:$G,2,false))</f>
        <v/>
      </c>
      <c r="Q924" s="36" t="str">
        <f>IF(AND($X924="change",$H924="EUR"),IF(AND($Z924="Crédit",$N924=$N925),$Q925,IF(AND($Z924="Débit",$N924=$N923),$Q923)),IF(OR(AND(OR($E924&lt;&gt;"",$L924=""),$M924&lt;&gt;0),$A924=""),IFERROR(VLOOKUP($E924,Selection!$E:$F,2,false)),IFERROR(VLOOKUP(SUBSTITUTE($I924,"-","",1),$K925:$Q1119,7,false),VLOOKUP($K924,$K925:$Q1119,7,false))))</f>
        <v/>
      </c>
      <c r="R924" s="34" t="str">
        <f t="shared" si="2"/>
        <v/>
      </c>
      <c r="S924" s="37" t="str">
        <f t="shared" si="3"/>
        <v/>
      </c>
      <c r="T924" s="38" t="str">
        <f t="shared" si="4"/>
        <v/>
      </c>
      <c r="U924" s="28" t="str">
        <f t="shared" si="5"/>
        <v/>
      </c>
      <c r="V924" s="39" t="str">
        <f>IFERROR(__xludf.DUMMYFUNCTION(" IF(Account!$F924&lt;&gt;"""", SPLIT(Account!$F924, "" ""), """")"),"")</f>
        <v/>
      </c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</row>
    <row r="925">
      <c r="A925" s="341"/>
      <c r="B925" s="341"/>
      <c r="C925" s="341"/>
      <c r="D925" s="341"/>
      <c r="E925" s="341"/>
      <c r="F925" s="373"/>
      <c r="G925" s="341"/>
      <c r="H925" s="341"/>
      <c r="I925" s="341"/>
      <c r="J925" s="341"/>
      <c r="K925" s="341"/>
      <c r="L925" s="26" t="str">
        <f t="shared" si="1"/>
        <v/>
      </c>
      <c r="M925" s="28" t="str">
        <f>IFERROR(__xludf.DUMMYFUNCTION("IF(Account!$F925&lt;&gt;"""", VALUE(REGEXREPLACE($I925, ""\,"", ""."")), """")"),"")</f>
        <v/>
      </c>
      <c r="N925" s="31" t="str">
        <f>IF(Account!$F925&lt;&gt;"", DATEVALUE(MID($A925,4,3) &amp; LEFT($A925,3) &amp; RIGHT($A925,4)) + TIMEVALUE($B925), "")</f>
        <v/>
      </c>
      <c r="O925" s="33" t="str">
        <f>IF(Account!$F925&lt;&gt;"", DATEVALUE(MID($A925,4,3) &amp; LEFT($A925,3) &amp; RIGHT($A925,4)), "")</f>
        <v/>
      </c>
      <c r="P925" s="34" t="str">
        <f>IFERROR(VLOOKUP($Q925,Selection!$F:$G,2,false))</f>
        <v/>
      </c>
      <c r="Q925" s="36" t="str">
        <f>IF(AND($X925="change",$H925="EUR"),IF(AND($Z925="Crédit",$N925=$N926),$Q926,IF(AND($Z925="Débit",$N925=$N924),$Q924)),IF(OR(AND(OR($E925&lt;&gt;"",$L925=""),$M925&lt;&gt;0),$A925=""),IFERROR(VLOOKUP($E925,Selection!$E:$F,2,false)),IFERROR(VLOOKUP(SUBSTITUTE($I925,"-","",1),$K926:$Q1119,7,false),VLOOKUP($K925,$K926:$Q1119,7,false))))</f>
        <v/>
      </c>
      <c r="R925" s="34" t="str">
        <f t="shared" si="2"/>
        <v/>
      </c>
      <c r="S925" s="37" t="str">
        <f t="shared" si="3"/>
        <v/>
      </c>
      <c r="T925" s="38" t="str">
        <f t="shared" si="4"/>
        <v/>
      </c>
      <c r="U925" s="28" t="str">
        <f t="shared" si="5"/>
        <v/>
      </c>
      <c r="V925" s="39" t="str">
        <f>IFERROR(__xludf.DUMMYFUNCTION(" IF(Account!$F925&lt;&gt;"""", SPLIT(Account!$F925, "" ""), """")"),"")</f>
        <v/>
      </c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</row>
    <row r="926">
      <c r="A926" s="341"/>
      <c r="B926" s="341"/>
      <c r="C926" s="341"/>
      <c r="D926" s="341"/>
      <c r="E926" s="341"/>
      <c r="F926" s="373"/>
      <c r="G926" s="341"/>
      <c r="H926" s="341"/>
      <c r="I926" s="341"/>
      <c r="J926" s="341"/>
      <c r="K926" s="341"/>
      <c r="L926" s="26" t="str">
        <f t="shared" si="1"/>
        <v/>
      </c>
      <c r="M926" s="28" t="str">
        <f>IFERROR(__xludf.DUMMYFUNCTION("IF(Account!$F926&lt;&gt;"""", VALUE(REGEXREPLACE($I926, ""\,"", ""."")), """")"),"")</f>
        <v/>
      </c>
      <c r="N926" s="31" t="str">
        <f>IF(Account!$F926&lt;&gt;"", DATEVALUE(MID($A926,4,3) &amp; LEFT($A926,3) &amp; RIGHT($A926,4)) + TIMEVALUE($B926), "")</f>
        <v/>
      </c>
      <c r="O926" s="33" t="str">
        <f>IF(Account!$F926&lt;&gt;"", DATEVALUE(MID($A926,4,3) &amp; LEFT($A926,3) &amp; RIGHT($A926,4)), "")</f>
        <v/>
      </c>
      <c r="P926" s="34" t="str">
        <f>IFERROR(VLOOKUP($Q926,Selection!$F:$G,2,false))</f>
        <v/>
      </c>
      <c r="Q926" s="36" t="str">
        <f>IF(AND($X926="change",$H926="EUR"),IF(AND($Z926="Crédit",$N926=$N927),$Q927,IF(AND($Z926="Débit",$N926=$N925),$Q925)),IF(OR(AND(OR($E926&lt;&gt;"",$L926=""),$M926&lt;&gt;0),$A926=""),IFERROR(VLOOKUP($E926,Selection!$E:$F,2,false)),IFERROR(VLOOKUP(SUBSTITUTE($I926,"-","",1),$K927:$Q1119,7,false),VLOOKUP($K926,$K927:$Q1119,7,false))))</f>
        <v/>
      </c>
      <c r="R926" s="34" t="str">
        <f t="shared" si="2"/>
        <v/>
      </c>
      <c r="S926" s="37" t="str">
        <f t="shared" si="3"/>
        <v/>
      </c>
      <c r="T926" s="38" t="str">
        <f t="shared" si="4"/>
        <v/>
      </c>
      <c r="U926" s="28" t="str">
        <f t="shared" si="5"/>
        <v/>
      </c>
      <c r="V926" s="39" t="str">
        <f>IFERROR(__xludf.DUMMYFUNCTION(" IF(Account!$F926&lt;&gt;"""", SPLIT(Account!$F926, "" ""), """")"),"")</f>
        <v/>
      </c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</row>
    <row r="927">
      <c r="A927" s="341"/>
      <c r="B927" s="341"/>
      <c r="C927" s="341"/>
      <c r="D927" s="341"/>
      <c r="E927" s="341"/>
      <c r="F927" s="373"/>
      <c r="G927" s="341"/>
      <c r="H927" s="341"/>
      <c r="I927" s="341"/>
      <c r="J927" s="341"/>
      <c r="K927" s="341"/>
      <c r="L927" s="26" t="str">
        <f t="shared" si="1"/>
        <v/>
      </c>
      <c r="M927" s="28" t="str">
        <f>IFERROR(__xludf.DUMMYFUNCTION("IF(Account!$F927&lt;&gt;"""", VALUE(REGEXREPLACE($I927, ""\,"", ""."")), """")"),"")</f>
        <v/>
      </c>
      <c r="N927" s="31" t="str">
        <f>IF(Account!$F927&lt;&gt;"", DATEVALUE(MID($A927,4,3) &amp; LEFT($A927,3) &amp; RIGHT($A927,4)) + TIMEVALUE($B927), "")</f>
        <v/>
      </c>
      <c r="O927" s="33" t="str">
        <f>IF(Account!$F927&lt;&gt;"", DATEVALUE(MID($A927,4,3) &amp; LEFT($A927,3) &amp; RIGHT($A927,4)), "")</f>
        <v/>
      </c>
      <c r="P927" s="34" t="str">
        <f>IFERROR(VLOOKUP($Q927,Selection!$F:$G,2,false))</f>
        <v/>
      </c>
      <c r="Q927" s="36" t="str">
        <f>IF(AND($X927="change",$H927="EUR"),IF(AND($Z927="Crédit",$N927=$N928),$Q928,IF(AND($Z927="Débit",$N927=$N926),$Q926)),IF(OR(AND(OR($E927&lt;&gt;"",$L927=""),$M927&lt;&gt;0),$A927=""),IFERROR(VLOOKUP($E927,Selection!$E:$F,2,false)),IFERROR(VLOOKUP(SUBSTITUTE($I927,"-","",1),$K928:$Q1119,7,false),VLOOKUP($K927,$K928:$Q1119,7,false))))</f>
        <v/>
      </c>
      <c r="R927" s="34" t="str">
        <f t="shared" si="2"/>
        <v/>
      </c>
      <c r="S927" s="37" t="str">
        <f t="shared" si="3"/>
        <v/>
      </c>
      <c r="T927" s="38" t="str">
        <f t="shared" si="4"/>
        <v/>
      </c>
      <c r="U927" s="28" t="str">
        <f t="shared" si="5"/>
        <v/>
      </c>
      <c r="V927" s="39" t="str">
        <f>IFERROR(__xludf.DUMMYFUNCTION(" IF(Account!$F927&lt;&gt;"""", SPLIT(Account!$F927, "" ""), """")"),"")</f>
        <v/>
      </c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</row>
    <row r="928">
      <c r="A928" s="341"/>
      <c r="B928" s="341"/>
      <c r="C928" s="341"/>
      <c r="D928" s="341"/>
      <c r="E928" s="341"/>
      <c r="F928" s="373"/>
      <c r="G928" s="341"/>
      <c r="H928" s="341"/>
      <c r="I928" s="341"/>
      <c r="J928" s="341"/>
      <c r="K928" s="341"/>
      <c r="L928" s="26" t="str">
        <f t="shared" si="1"/>
        <v/>
      </c>
      <c r="M928" s="28" t="str">
        <f>IFERROR(__xludf.DUMMYFUNCTION("IF(Account!$F928&lt;&gt;"""", VALUE(REGEXREPLACE($I928, ""\,"", ""."")), """")"),"")</f>
        <v/>
      </c>
      <c r="N928" s="31" t="str">
        <f>IF(Account!$F928&lt;&gt;"", DATEVALUE(MID($A928,4,3) &amp; LEFT($A928,3) &amp; RIGHT($A928,4)) + TIMEVALUE($B928), "")</f>
        <v/>
      </c>
      <c r="O928" s="33" t="str">
        <f>IF(Account!$F928&lt;&gt;"", DATEVALUE(MID($A928,4,3) &amp; LEFT($A928,3) &amp; RIGHT($A928,4)), "")</f>
        <v/>
      </c>
      <c r="P928" s="34" t="str">
        <f>IFERROR(VLOOKUP($Q928,Selection!$F:$G,2,false))</f>
        <v/>
      </c>
      <c r="Q928" s="36" t="str">
        <f>IF(AND($X928="change",$H928="EUR"),IF(AND($Z928="Crédit",$N928=$N929),$Q929,IF(AND($Z928="Débit",$N928=$N927),$Q927)),IF(OR(AND(OR($E928&lt;&gt;"",$L928=""),$M928&lt;&gt;0),$A928=""),IFERROR(VLOOKUP($E928,Selection!$E:$F,2,false)),IFERROR(VLOOKUP(SUBSTITUTE($I928,"-","",1),$K929:$Q1119,7,false),VLOOKUP($K928,$K929:$Q1119,7,false))))</f>
        <v/>
      </c>
      <c r="R928" s="34" t="str">
        <f t="shared" si="2"/>
        <v/>
      </c>
      <c r="S928" s="37" t="str">
        <f t="shared" si="3"/>
        <v/>
      </c>
      <c r="T928" s="38" t="str">
        <f t="shared" si="4"/>
        <v/>
      </c>
      <c r="U928" s="28" t="str">
        <f t="shared" si="5"/>
        <v/>
      </c>
      <c r="V928" s="39" t="str">
        <f>IFERROR(__xludf.DUMMYFUNCTION(" IF(Account!$F928&lt;&gt;"""", SPLIT(Account!$F928, "" ""), """")"),"")</f>
        <v/>
      </c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</row>
    <row r="929">
      <c r="A929" s="341"/>
      <c r="B929" s="341"/>
      <c r="C929" s="341"/>
      <c r="D929" s="341"/>
      <c r="E929" s="341"/>
      <c r="F929" s="373"/>
      <c r="G929" s="341"/>
      <c r="H929" s="341"/>
      <c r="I929" s="341"/>
      <c r="J929" s="341"/>
      <c r="K929" s="341"/>
      <c r="L929" s="26" t="str">
        <f t="shared" si="1"/>
        <v/>
      </c>
      <c r="M929" s="28" t="str">
        <f>IFERROR(__xludf.DUMMYFUNCTION("IF(Account!$F929&lt;&gt;"""", VALUE(REGEXREPLACE($I929, ""\,"", ""."")), """")"),"")</f>
        <v/>
      </c>
      <c r="N929" s="31" t="str">
        <f>IF(Account!$F929&lt;&gt;"", DATEVALUE(MID($A929,4,3) &amp; LEFT($A929,3) &amp; RIGHT($A929,4)) + TIMEVALUE($B929), "")</f>
        <v/>
      </c>
      <c r="O929" s="33" t="str">
        <f>IF(Account!$F929&lt;&gt;"", DATEVALUE(MID($A929,4,3) &amp; LEFT($A929,3) &amp; RIGHT($A929,4)), "")</f>
        <v/>
      </c>
      <c r="P929" s="34" t="str">
        <f>IFERROR(VLOOKUP($Q929,Selection!$F:$G,2,false))</f>
        <v/>
      </c>
      <c r="Q929" s="36" t="str">
        <f>IF(AND($X929="change",$H929="EUR"),IF(AND($Z929="Crédit",$N929=$N930),$Q930,IF(AND($Z929="Débit",$N929=$N928),$Q928)),IF(OR(AND(OR($E929&lt;&gt;"",$L929=""),$M929&lt;&gt;0),$A929=""),IFERROR(VLOOKUP($E929,Selection!$E:$F,2,false)),IFERROR(VLOOKUP(SUBSTITUTE($I929,"-","",1),$K930:$Q1119,7,false),VLOOKUP($K929,$K930:$Q1119,7,false))))</f>
        <v/>
      </c>
      <c r="R929" s="34" t="str">
        <f t="shared" si="2"/>
        <v/>
      </c>
      <c r="S929" s="37" t="str">
        <f t="shared" si="3"/>
        <v/>
      </c>
      <c r="T929" s="38" t="str">
        <f t="shared" si="4"/>
        <v/>
      </c>
      <c r="U929" s="28" t="str">
        <f t="shared" si="5"/>
        <v/>
      </c>
      <c r="V929" s="39" t="str">
        <f>IFERROR(__xludf.DUMMYFUNCTION(" IF(Account!$F929&lt;&gt;"""", SPLIT(Account!$F929, "" ""), """")"),"")</f>
        <v/>
      </c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</row>
    <row r="930">
      <c r="A930" s="341"/>
      <c r="B930" s="341"/>
      <c r="C930" s="341"/>
      <c r="D930" s="341"/>
      <c r="E930" s="341"/>
      <c r="F930" s="373"/>
      <c r="G930" s="341"/>
      <c r="H930" s="341"/>
      <c r="I930" s="341"/>
      <c r="J930" s="341"/>
      <c r="K930" s="341"/>
      <c r="L930" s="26" t="str">
        <f t="shared" si="1"/>
        <v/>
      </c>
      <c r="M930" s="28" t="str">
        <f>IFERROR(__xludf.DUMMYFUNCTION("IF(Account!$F930&lt;&gt;"""", VALUE(REGEXREPLACE($I930, ""\,"", ""."")), """")"),"")</f>
        <v/>
      </c>
      <c r="N930" s="31" t="str">
        <f>IF(Account!$F930&lt;&gt;"", DATEVALUE(MID($A930,4,3) &amp; LEFT($A930,3) &amp; RIGHT($A930,4)) + TIMEVALUE($B930), "")</f>
        <v/>
      </c>
      <c r="O930" s="33" t="str">
        <f>IF(Account!$F930&lt;&gt;"", DATEVALUE(MID($A930,4,3) &amp; LEFT($A930,3) &amp; RIGHT($A930,4)), "")</f>
        <v/>
      </c>
      <c r="P930" s="34" t="str">
        <f>IFERROR(VLOOKUP($Q930,Selection!$F:$G,2,false))</f>
        <v/>
      </c>
      <c r="Q930" s="36" t="str">
        <f>IF(AND($X930="change",$H930="EUR"),IF(AND($Z930="Crédit",$N930=$N931),$Q931,IF(AND($Z930="Débit",$N930=$N929),$Q929)),IF(OR(AND(OR($E930&lt;&gt;"",$L930=""),$M930&lt;&gt;0),$A930=""),IFERROR(VLOOKUP($E930,Selection!$E:$F,2,false)),IFERROR(VLOOKUP(SUBSTITUTE($I930,"-","",1),$K931:$Q1119,7,false),VLOOKUP($K930,$K931:$Q1119,7,false))))</f>
        <v/>
      </c>
      <c r="R930" s="34" t="str">
        <f t="shared" si="2"/>
        <v/>
      </c>
      <c r="S930" s="37" t="str">
        <f t="shared" si="3"/>
        <v/>
      </c>
      <c r="T930" s="38" t="str">
        <f t="shared" si="4"/>
        <v/>
      </c>
      <c r="U930" s="28" t="str">
        <f t="shared" si="5"/>
        <v/>
      </c>
      <c r="V930" s="39" t="str">
        <f>IFERROR(__xludf.DUMMYFUNCTION(" IF(Account!$F930&lt;&gt;"""", SPLIT(Account!$F930, "" ""), """")"),"")</f>
        <v/>
      </c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</row>
    <row r="931">
      <c r="A931" s="341"/>
      <c r="B931" s="341"/>
      <c r="C931" s="341"/>
      <c r="D931" s="341"/>
      <c r="E931" s="341"/>
      <c r="F931" s="373"/>
      <c r="G931" s="341"/>
      <c r="H931" s="341"/>
      <c r="I931" s="341"/>
      <c r="J931" s="341"/>
      <c r="K931" s="341"/>
      <c r="L931" s="26" t="str">
        <f t="shared" si="1"/>
        <v/>
      </c>
      <c r="M931" s="28" t="str">
        <f>IFERROR(__xludf.DUMMYFUNCTION("IF(Account!$F931&lt;&gt;"""", VALUE(REGEXREPLACE($I931, ""\,"", ""."")), """")"),"")</f>
        <v/>
      </c>
      <c r="N931" s="31" t="str">
        <f>IF(Account!$F931&lt;&gt;"", DATEVALUE(MID($A931,4,3) &amp; LEFT($A931,3) &amp; RIGHT($A931,4)) + TIMEVALUE($B931), "")</f>
        <v/>
      </c>
      <c r="O931" s="33" t="str">
        <f>IF(Account!$F931&lt;&gt;"", DATEVALUE(MID($A931,4,3) &amp; LEFT($A931,3) &amp; RIGHT($A931,4)), "")</f>
        <v/>
      </c>
      <c r="P931" s="34" t="str">
        <f>IFERROR(VLOOKUP($Q931,Selection!$F:$G,2,false))</f>
        <v/>
      </c>
      <c r="Q931" s="36" t="str">
        <f>IF(AND($X931="change",$H931="EUR"),IF(AND($Z931="Crédit",$N931=$N932),$Q932,IF(AND($Z931="Débit",$N931=$N930),$Q930)),IF(OR(AND(OR($E931&lt;&gt;"",$L931=""),$M931&lt;&gt;0),$A931=""),IFERROR(VLOOKUP($E931,Selection!$E:$F,2,false)),IFERROR(VLOOKUP(SUBSTITUTE($I931,"-","",1),$K932:$Q1119,7,false),VLOOKUP($K931,$K932:$Q1119,7,false))))</f>
        <v/>
      </c>
      <c r="R931" s="34" t="str">
        <f t="shared" si="2"/>
        <v/>
      </c>
      <c r="S931" s="37" t="str">
        <f t="shared" si="3"/>
        <v/>
      </c>
      <c r="T931" s="38" t="str">
        <f t="shared" si="4"/>
        <v/>
      </c>
      <c r="U931" s="28" t="str">
        <f t="shared" si="5"/>
        <v/>
      </c>
      <c r="V931" s="39" t="str">
        <f>IFERROR(__xludf.DUMMYFUNCTION(" IF(Account!$F931&lt;&gt;"""", SPLIT(Account!$F931, "" ""), """")"),"")</f>
        <v/>
      </c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</row>
    <row r="932">
      <c r="A932" s="341"/>
      <c r="B932" s="341"/>
      <c r="C932" s="341"/>
      <c r="D932" s="341"/>
      <c r="E932" s="341"/>
      <c r="F932" s="373"/>
      <c r="G932" s="341"/>
      <c r="H932" s="341"/>
      <c r="I932" s="341"/>
      <c r="J932" s="341"/>
      <c r="K932" s="341"/>
      <c r="L932" s="26" t="str">
        <f t="shared" si="1"/>
        <v/>
      </c>
      <c r="M932" s="28" t="str">
        <f>IFERROR(__xludf.DUMMYFUNCTION("IF(Account!$F932&lt;&gt;"""", VALUE(REGEXREPLACE($I932, ""\,"", ""."")), """")"),"")</f>
        <v/>
      </c>
      <c r="N932" s="31" t="str">
        <f>IF(Account!$F932&lt;&gt;"", DATEVALUE(MID($A932,4,3) &amp; LEFT($A932,3) &amp; RIGHT($A932,4)) + TIMEVALUE($B932), "")</f>
        <v/>
      </c>
      <c r="O932" s="33" t="str">
        <f>IF(Account!$F932&lt;&gt;"", DATEVALUE(MID($A932,4,3) &amp; LEFT($A932,3) &amp; RIGHT($A932,4)), "")</f>
        <v/>
      </c>
      <c r="P932" s="34" t="str">
        <f>IFERROR(VLOOKUP($Q932,Selection!$F:$G,2,false))</f>
        <v/>
      </c>
      <c r="Q932" s="36" t="str">
        <f>IF(AND($X932="change",$H932="EUR"),IF(AND($Z932="Crédit",$N932=$N933),$Q933,IF(AND($Z932="Débit",$N932=$N931),$Q931)),IF(OR(AND(OR($E932&lt;&gt;"",$L932=""),$M932&lt;&gt;0),$A932=""),IFERROR(VLOOKUP($E932,Selection!$E:$F,2,false)),IFERROR(VLOOKUP(SUBSTITUTE($I932,"-","",1),$K933:$Q1119,7,false),VLOOKUP($K932,$K933:$Q1119,7,false))))</f>
        <v/>
      </c>
      <c r="R932" s="34" t="str">
        <f t="shared" si="2"/>
        <v/>
      </c>
      <c r="S932" s="37" t="str">
        <f t="shared" si="3"/>
        <v/>
      </c>
      <c r="T932" s="38" t="str">
        <f t="shared" si="4"/>
        <v/>
      </c>
      <c r="U932" s="28" t="str">
        <f t="shared" si="5"/>
        <v/>
      </c>
      <c r="V932" s="39" t="str">
        <f>IFERROR(__xludf.DUMMYFUNCTION(" IF(Account!$F932&lt;&gt;"""", SPLIT(Account!$F932, "" ""), """")"),"")</f>
        <v/>
      </c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</row>
    <row r="933">
      <c r="A933" s="341"/>
      <c r="B933" s="341"/>
      <c r="C933" s="341"/>
      <c r="D933" s="341"/>
      <c r="E933" s="341"/>
      <c r="F933" s="373"/>
      <c r="G933" s="341"/>
      <c r="H933" s="341"/>
      <c r="I933" s="341"/>
      <c r="J933" s="341"/>
      <c r="K933" s="341"/>
      <c r="L933" s="26" t="str">
        <f t="shared" si="1"/>
        <v/>
      </c>
      <c r="M933" s="28" t="str">
        <f>IFERROR(__xludf.DUMMYFUNCTION("IF(Account!$F933&lt;&gt;"""", VALUE(REGEXREPLACE($I933, ""\,"", ""."")), """")"),"")</f>
        <v/>
      </c>
      <c r="N933" s="31" t="str">
        <f>IF(Account!$F933&lt;&gt;"", DATEVALUE(MID($A933,4,3) &amp; LEFT($A933,3) &amp; RIGHT($A933,4)) + TIMEVALUE($B933), "")</f>
        <v/>
      </c>
      <c r="O933" s="33" t="str">
        <f>IF(Account!$F933&lt;&gt;"", DATEVALUE(MID($A933,4,3) &amp; LEFT($A933,3) &amp; RIGHT($A933,4)), "")</f>
        <v/>
      </c>
      <c r="P933" s="34" t="str">
        <f>IFERROR(VLOOKUP($Q933,Selection!$F:$G,2,false))</f>
        <v/>
      </c>
      <c r="Q933" s="36" t="str">
        <f>IF(AND($X933="change",$H933="EUR"),IF(AND($Z933="Crédit",$N933=$N934),$Q934,IF(AND($Z933="Débit",$N933=$N932),$Q932)),IF(OR(AND(OR($E933&lt;&gt;"",$L933=""),$M933&lt;&gt;0),$A933=""),IFERROR(VLOOKUP($E933,Selection!$E:$F,2,false)),IFERROR(VLOOKUP(SUBSTITUTE($I933,"-","",1),$K934:$Q1119,7,false),VLOOKUP($K933,$K934:$Q1119,7,false))))</f>
        <v/>
      </c>
      <c r="R933" s="34" t="str">
        <f t="shared" si="2"/>
        <v/>
      </c>
      <c r="S933" s="37" t="str">
        <f t="shared" si="3"/>
        <v/>
      </c>
      <c r="T933" s="38" t="str">
        <f t="shared" si="4"/>
        <v/>
      </c>
      <c r="U933" s="28" t="str">
        <f t="shared" si="5"/>
        <v/>
      </c>
      <c r="V933" s="39" t="str">
        <f>IFERROR(__xludf.DUMMYFUNCTION(" IF(Account!$F933&lt;&gt;"""", SPLIT(Account!$F933, "" ""), """")"),"")</f>
        <v/>
      </c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</row>
    <row r="934">
      <c r="A934" s="341"/>
      <c r="B934" s="341"/>
      <c r="C934" s="341"/>
      <c r="D934" s="341"/>
      <c r="E934" s="341"/>
      <c r="F934" s="373"/>
      <c r="G934" s="341"/>
      <c r="H934" s="341"/>
      <c r="I934" s="341"/>
      <c r="J934" s="341"/>
      <c r="K934" s="341"/>
      <c r="L934" s="26" t="str">
        <f t="shared" si="1"/>
        <v/>
      </c>
      <c r="M934" s="28" t="str">
        <f>IFERROR(__xludf.DUMMYFUNCTION("IF(Account!$F934&lt;&gt;"""", VALUE(REGEXREPLACE($I934, ""\,"", ""."")), """")"),"")</f>
        <v/>
      </c>
      <c r="N934" s="31" t="str">
        <f>IF(Account!$F934&lt;&gt;"", DATEVALUE(MID($A934,4,3) &amp; LEFT($A934,3) &amp; RIGHT($A934,4)) + TIMEVALUE($B934), "")</f>
        <v/>
      </c>
      <c r="O934" s="33" t="str">
        <f>IF(Account!$F934&lt;&gt;"", DATEVALUE(MID($A934,4,3) &amp; LEFT($A934,3) &amp; RIGHT($A934,4)), "")</f>
        <v/>
      </c>
      <c r="P934" s="34" t="str">
        <f>IFERROR(VLOOKUP($Q934,Selection!$F:$G,2,false))</f>
        <v/>
      </c>
      <c r="Q934" s="36" t="str">
        <f>IF(AND($X934="change",$H934="EUR"),IF(AND($Z934="Crédit",$N934=$N935),$Q935,IF(AND($Z934="Débit",$N934=$N933),$Q933)),IF(OR(AND(OR($E934&lt;&gt;"",$L934=""),$M934&lt;&gt;0),$A934=""),IFERROR(VLOOKUP($E934,Selection!$E:$F,2,false)),IFERROR(VLOOKUP(SUBSTITUTE($I934,"-","",1),$K935:$Q1119,7,false),VLOOKUP($K934,$K935:$Q1119,7,false))))</f>
        <v/>
      </c>
      <c r="R934" s="34" t="str">
        <f t="shared" si="2"/>
        <v/>
      </c>
      <c r="S934" s="37" t="str">
        <f t="shared" si="3"/>
        <v/>
      </c>
      <c r="T934" s="38" t="str">
        <f t="shared" si="4"/>
        <v/>
      </c>
      <c r="U934" s="28" t="str">
        <f t="shared" si="5"/>
        <v/>
      </c>
      <c r="V934" s="39" t="str">
        <f>IFERROR(__xludf.DUMMYFUNCTION(" IF(Account!$F934&lt;&gt;"""", SPLIT(Account!$F934, "" ""), """")"),"")</f>
        <v/>
      </c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</row>
    <row r="935">
      <c r="A935" s="341"/>
      <c r="B935" s="341"/>
      <c r="C935" s="341"/>
      <c r="D935" s="341"/>
      <c r="E935" s="341"/>
      <c r="F935" s="373"/>
      <c r="G935" s="341"/>
      <c r="H935" s="341"/>
      <c r="I935" s="341"/>
      <c r="J935" s="341"/>
      <c r="K935" s="341"/>
      <c r="L935" s="26" t="str">
        <f t="shared" si="1"/>
        <v/>
      </c>
      <c r="M935" s="28" t="str">
        <f>IFERROR(__xludf.DUMMYFUNCTION("IF(Account!$F935&lt;&gt;"""", VALUE(REGEXREPLACE($I935, ""\,"", ""."")), """")"),"")</f>
        <v/>
      </c>
      <c r="N935" s="31" t="str">
        <f>IF(Account!$F935&lt;&gt;"", DATEVALUE(MID($A935,4,3) &amp; LEFT($A935,3) &amp; RIGHT($A935,4)) + TIMEVALUE($B935), "")</f>
        <v/>
      </c>
      <c r="O935" s="33" t="str">
        <f>IF(Account!$F935&lt;&gt;"", DATEVALUE(MID($A935,4,3) &amp; LEFT($A935,3) &amp; RIGHT($A935,4)), "")</f>
        <v/>
      </c>
      <c r="P935" s="34" t="str">
        <f>IFERROR(VLOOKUP($Q935,Selection!$F:$G,2,false))</f>
        <v/>
      </c>
      <c r="Q935" s="36" t="str">
        <f>IF(AND($X935="change",$H935="EUR"),IF(AND($Z935="Crédit",$N935=$N936),$Q936,IF(AND($Z935="Débit",$N935=$N934),$Q934)),IF(OR(AND(OR($E935&lt;&gt;"",$L935=""),$M935&lt;&gt;0),$A935=""),IFERROR(VLOOKUP($E935,Selection!$E:$F,2,false)),IFERROR(VLOOKUP(SUBSTITUTE($I935,"-","",1),$K936:$Q1119,7,false),VLOOKUP($K935,$K936:$Q1119,7,false))))</f>
        <v/>
      </c>
      <c r="R935" s="34" t="str">
        <f t="shared" si="2"/>
        <v/>
      </c>
      <c r="S935" s="37" t="str">
        <f t="shared" si="3"/>
        <v/>
      </c>
      <c r="T935" s="38" t="str">
        <f t="shared" si="4"/>
        <v/>
      </c>
      <c r="U935" s="28" t="str">
        <f t="shared" si="5"/>
        <v/>
      </c>
      <c r="V935" s="39" t="str">
        <f>IFERROR(__xludf.DUMMYFUNCTION(" IF(Account!$F935&lt;&gt;"""", SPLIT(Account!$F935, "" ""), """")"),"")</f>
        <v/>
      </c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</row>
    <row r="936">
      <c r="A936" s="341"/>
      <c r="B936" s="341"/>
      <c r="C936" s="341"/>
      <c r="D936" s="341"/>
      <c r="E936" s="341"/>
      <c r="F936" s="373"/>
      <c r="G936" s="341"/>
      <c r="H936" s="341"/>
      <c r="I936" s="341"/>
      <c r="J936" s="341"/>
      <c r="K936" s="341"/>
      <c r="L936" s="26" t="str">
        <f t="shared" si="1"/>
        <v/>
      </c>
      <c r="M936" s="28" t="str">
        <f>IFERROR(__xludf.DUMMYFUNCTION("IF(Account!$F936&lt;&gt;"""", VALUE(REGEXREPLACE($I936, ""\,"", ""."")), """")"),"")</f>
        <v/>
      </c>
      <c r="N936" s="31" t="str">
        <f>IF(Account!$F936&lt;&gt;"", DATEVALUE(MID($A936,4,3) &amp; LEFT($A936,3) &amp; RIGHT($A936,4)) + TIMEVALUE($B936), "")</f>
        <v/>
      </c>
      <c r="O936" s="33" t="str">
        <f>IF(Account!$F936&lt;&gt;"", DATEVALUE(MID($A936,4,3) &amp; LEFT($A936,3) &amp; RIGHT($A936,4)), "")</f>
        <v/>
      </c>
      <c r="P936" s="34" t="str">
        <f>IFERROR(VLOOKUP($Q936,Selection!$F:$G,2,false))</f>
        <v/>
      </c>
      <c r="Q936" s="36" t="str">
        <f>IF(AND($X936="change",$H936="EUR"),IF(AND($Z936="Crédit",$N936=$N937),$Q937,IF(AND($Z936="Débit",$N936=$N935),$Q935)),IF(OR(AND(OR($E936&lt;&gt;"",$L936=""),$M936&lt;&gt;0),$A936=""),IFERROR(VLOOKUP($E936,Selection!$E:$F,2,false)),IFERROR(VLOOKUP(SUBSTITUTE($I936,"-","",1),$K937:$Q1119,7,false),VLOOKUP($K936,$K937:$Q1119,7,false))))</f>
        <v/>
      </c>
      <c r="R936" s="34" t="str">
        <f t="shared" si="2"/>
        <v/>
      </c>
      <c r="S936" s="37" t="str">
        <f t="shared" si="3"/>
        <v/>
      </c>
      <c r="T936" s="38" t="str">
        <f t="shared" si="4"/>
        <v/>
      </c>
      <c r="U936" s="28" t="str">
        <f t="shared" si="5"/>
        <v/>
      </c>
      <c r="V936" s="39" t="str">
        <f>IFERROR(__xludf.DUMMYFUNCTION(" IF(Account!$F936&lt;&gt;"""", SPLIT(Account!$F936, "" ""), """")"),"")</f>
        <v/>
      </c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</row>
    <row r="937">
      <c r="A937" s="341"/>
      <c r="B937" s="341"/>
      <c r="C937" s="341"/>
      <c r="D937" s="341"/>
      <c r="E937" s="341"/>
      <c r="F937" s="373"/>
      <c r="G937" s="341"/>
      <c r="H937" s="341"/>
      <c r="I937" s="341"/>
      <c r="J937" s="341"/>
      <c r="K937" s="341"/>
      <c r="L937" s="26" t="str">
        <f t="shared" si="1"/>
        <v/>
      </c>
      <c r="M937" s="28" t="str">
        <f>IFERROR(__xludf.DUMMYFUNCTION("IF(Account!$F937&lt;&gt;"""", VALUE(REGEXREPLACE($I937, ""\,"", ""."")), """")"),"")</f>
        <v/>
      </c>
      <c r="N937" s="31" t="str">
        <f>IF(Account!$F937&lt;&gt;"", DATEVALUE(MID($A937,4,3) &amp; LEFT($A937,3) &amp; RIGHT($A937,4)) + TIMEVALUE($B937), "")</f>
        <v/>
      </c>
      <c r="O937" s="33" t="str">
        <f>IF(Account!$F937&lt;&gt;"", DATEVALUE(MID($A937,4,3) &amp; LEFT($A937,3) &amp; RIGHT($A937,4)), "")</f>
        <v/>
      </c>
      <c r="P937" s="34" t="str">
        <f>IFERROR(VLOOKUP($Q937,Selection!$F:$G,2,false))</f>
        <v/>
      </c>
      <c r="Q937" s="36" t="str">
        <f>IF(AND($X937="change",$H937="EUR"),IF(AND($Z937="Crédit",$N937=$N938),$Q938,IF(AND($Z937="Débit",$N937=$N936),$Q936)),IF(OR(AND(OR($E937&lt;&gt;"",$L937=""),$M937&lt;&gt;0),$A937=""),IFERROR(VLOOKUP($E937,Selection!$E:$F,2,false)),IFERROR(VLOOKUP(SUBSTITUTE($I937,"-","",1),$K938:$Q1119,7,false),VLOOKUP($K937,$K938:$Q1119,7,false))))</f>
        <v/>
      </c>
      <c r="R937" s="34" t="str">
        <f t="shared" si="2"/>
        <v/>
      </c>
      <c r="S937" s="37" t="str">
        <f t="shared" si="3"/>
        <v/>
      </c>
      <c r="T937" s="38" t="str">
        <f t="shared" si="4"/>
        <v/>
      </c>
      <c r="U937" s="28" t="str">
        <f t="shared" si="5"/>
        <v/>
      </c>
      <c r="V937" s="39" t="str">
        <f>IFERROR(__xludf.DUMMYFUNCTION(" IF(Account!$F937&lt;&gt;"""", SPLIT(Account!$F937, "" ""), """")"),"")</f>
        <v/>
      </c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</row>
    <row r="938">
      <c r="A938" s="341"/>
      <c r="B938" s="341"/>
      <c r="C938" s="341"/>
      <c r="D938" s="341"/>
      <c r="E938" s="341"/>
      <c r="F938" s="373"/>
      <c r="G938" s="341"/>
      <c r="H938" s="341"/>
      <c r="I938" s="341"/>
      <c r="J938" s="341"/>
      <c r="K938" s="341"/>
      <c r="L938" s="26" t="str">
        <f t="shared" si="1"/>
        <v/>
      </c>
      <c r="M938" s="28" t="str">
        <f>IFERROR(__xludf.DUMMYFUNCTION("IF(Account!$F938&lt;&gt;"""", VALUE(REGEXREPLACE($I938, ""\,"", ""."")), """")"),"")</f>
        <v/>
      </c>
      <c r="N938" s="31" t="str">
        <f>IF(Account!$F938&lt;&gt;"", DATEVALUE(MID($A938,4,3) &amp; LEFT($A938,3) &amp; RIGHT($A938,4)) + TIMEVALUE($B938), "")</f>
        <v/>
      </c>
      <c r="O938" s="33" t="str">
        <f>IF(Account!$F938&lt;&gt;"", DATEVALUE(MID($A938,4,3) &amp; LEFT($A938,3) &amp; RIGHT($A938,4)), "")</f>
        <v/>
      </c>
      <c r="P938" s="34" t="str">
        <f>IFERROR(VLOOKUP($Q938,Selection!$F:$G,2,false))</f>
        <v/>
      </c>
      <c r="Q938" s="36" t="str">
        <f>IF(AND($X938="change",$H938="EUR"),IF(AND($Z938="Crédit",$N938=$N939),$Q939,IF(AND($Z938="Débit",$N938=$N937),$Q937)),IF(OR(AND(OR($E938&lt;&gt;"",$L938=""),$M938&lt;&gt;0),$A938=""),IFERROR(VLOOKUP($E938,Selection!$E:$F,2,false)),IFERROR(VLOOKUP(SUBSTITUTE($I938,"-","",1),$K939:$Q1119,7,false),VLOOKUP($K938,$K939:$Q1119,7,false))))</f>
        <v/>
      </c>
      <c r="R938" s="34" t="str">
        <f t="shared" si="2"/>
        <v/>
      </c>
      <c r="S938" s="37" t="str">
        <f t="shared" si="3"/>
        <v/>
      </c>
      <c r="T938" s="38" t="str">
        <f t="shared" si="4"/>
        <v/>
      </c>
      <c r="U938" s="28" t="str">
        <f t="shared" si="5"/>
        <v/>
      </c>
      <c r="V938" s="39" t="str">
        <f>IFERROR(__xludf.DUMMYFUNCTION(" IF(Account!$F938&lt;&gt;"""", SPLIT(Account!$F938, "" ""), """")"),"")</f>
        <v/>
      </c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</row>
    <row r="939">
      <c r="A939" s="341"/>
      <c r="B939" s="341"/>
      <c r="C939" s="341"/>
      <c r="D939" s="341"/>
      <c r="E939" s="341"/>
      <c r="F939" s="373"/>
      <c r="G939" s="341"/>
      <c r="H939" s="341"/>
      <c r="I939" s="341"/>
      <c r="J939" s="341"/>
      <c r="K939" s="341"/>
      <c r="L939" s="26" t="str">
        <f t="shared" si="1"/>
        <v/>
      </c>
      <c r="M939" s="28" t="str">
        <f>IFERROR(__xludf.DUMMYFUNCTION("IF(Account!$F939&lt;&gt;"""", VALUE(REGEXREPLACE($I939, ""\,"", ""."")), """")"),"")</f>
        <v/>
      </c>
      <c r="N939" s="31" t="str">
        <f>IF(Account!$F939&lt;&gt;"", DATEVALUE(MID($A939,4,3) &amp; LEFT($A939,3) &amp; RIGHT($A939,4)) + TIMEVALUE($B939), "")</f>
        <v/>
      </c>
      <c r="O939" s="33" t="str">
        <f>IF(Account!$F939&lt;&gt;"", DATEVALUE(MID($A939,4,3) &amp; LEFT($A939,3) &amp; RIGHT($A939,4)), "")</f>
        <v/>
      </c>
      <c r="P939" s="34" t="str">
        <f>IFERROR(VLOOKUP($Q939,Selection!$F:$G,2,false))</f>
        <v/>
      </c>
      <c r="Q939" s="36" t="str">
        <f>IF(AND($X939="change",$H939="EUR"),IF(AND($Z939="Crédit",$N939=$N940),$Q940,IF(AND($Z939="Débit",$N939=$N938),$Q938)),IF(OR(AND(OR($E939&lt;&gt;"",$L939=""),$M939&lt;&gt;0),$A939=""),IFERROR(VLOOKUP($E939,Selection!$E:$F,2,false)),IFERROR(VLOOKUP(SUBSTITUTE($I939,"-","",1),$K940:$Q1119,7,false),VLOOKUP($K939,$K940:$Q1119,7,false))))</f>
        <v/>
      </c>
      <c r="R939" s="34" t="str">
        <f t="shared" si="2"/>
        <v/>
      </c>
      <c r="S939" s="37" t="str">
        <f t="shared" si="3"/>
        <v/>
      </c>
      <c r="T939" s="38" t="str">
        <f t="shared" si="4"/>
        <v/>
      </c>
      <c r="U939" s="28" t="str">
        <f t="shared" si="5"/>
        <v/>
      </c>
      <c r="V939" s="39" t="str">
        <f>IFERROR(__xludf.DUMMYFUNCTION(" IF(Account!$F939&lt;&gt;"""", SPLIT(Account!$F939, "" ""), """")"),"")</f>
        <v/>
      </c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</row>
    <row r="940">
      <c r="A940" s="341"/>
      <c r="B940" s="341"/>
      <c r="C940" s="341"/>
      <c r="D940" s="341"/>
      <c r="E940" s="341"/>
      <c r="F940" s="373"/>
      <c r="G940" s="341"/>
      <c r="H940" s="341"/>
      <c r="I940" s="341"/>
      <c r="J940" s="341"/>
      <c r="K940" s="341"/>
      <c r="L940" s="26" t="str">
        <f t="shared" si="1"/>
        <v/>
      </c>
      <c r="M940" s="28" t="str">
        <f>IFERROR(__xludf.DUMMYFUNCTION("IF(Account!$F940&lt;&gt;"""", VALUE(REGEXREPLACE($I940, ""\,"", ""."")), """")"),"")</f>
        <v/>
      </c>
      <c r="N940" s="31" t="str">
        <f>IF(Account!$F940&lt;&gt;"", DATEVALUE(MID($A940,4,3) &amp; LEFT($A940,3) &amp; RIGHT($A940,4)) + TIMEVALUE($B940), "")</f>
        <v/>
      </c>
      <c r="O940" s="33" t="str">
        <f>IF(Account!$F940&lt;&gt;"", DATEVALUE(MID($A940,4,3) &amp; LEFT($A940,3) &amp; RIGHT($A940,4)), "")</f>
        <v/>
      </c>
      <c r="P940" s="34" t="str">
        <f>IFERROR(VLOOKUP($Q940,Selection!$F:$G,2,false))</f>
        <v/>
      </c>
      <c r="Q940" s="36" t="str">
        <f>IF(AND($X940="change",$H940="EUR"),IF(AND($Z940="Crédit",$N940=$N941),$Q941,IF(AND($Z940="Débit",$N940=$N939),$Q939)),IF(OR(AND(OR($E940&lt;&gt;"",$L940=""),$M940&lt;&gt;0),$A940=""),IFERROR(VLOOKUP($E940,Selection!$E:$F,2,false)),IFERROR(VLOOKUP(SUBSTITUTE($I940,"-","",1),$K941:$Q1119,7,false),VLOOKUP($K940,$K941:$Q1119,7,false))))</f>
        <v/>
      </c>
      <c r="R940" s="34" t="str">
        <f t="shared" si="2"/>
        <v/>
      </c>
      <c r="S940" s="37" t="str">
        <f t="shared" si="3"/>
        <v/>
      </c>
      <c r="T940" s="38" t="str">
        <f t="shared" si="4"/>
        <v/>
      </c>
      <c r="U940" s="28" t="str">
        <f t="shared" si="5"/>
        <v/>
      </c>
      <c r="V940" s="39" t="str">
        <f>IFERROR(__xludf.DUMMYFUNCTION(" IF(Account!$F940&lt;&gt;"""", SPLIT(Account!$F940, "" ""), """")"),"")</f>
        <v/>
      </c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</row>
    <row r="941">
      <c r="A941" s="341"/>
      <c r="B941" s="341"/>
      <c r="C941" s="341"/>
      <c r="D941" s="341"/>
      <c r="E941" s="341"/>
      <c r="F941" s="373"/>
      <c r="G941" s="341"/>
      <c r="H941" s="341"/>
      <c r="I941" s="341"/>
      <c r="J941" s="341"/>
      <c r="K941" s="341"/>
      <c r="L941" s="26" t="str">
        <f t="shared" si="1"/>
        <v/>
      </c>
      <c r="M941" s="28" t="str">
        <f>IFERROR(__xludf.DUMMYFUNCTION("IF(Account!$F941&lt;&gt;"""", VALUE(REGEXREPLACE($I941, ""\,"", ""."")), """")"),"")</f>
        <v/>
      </c>
      <c r="N941" s="31" t="str">
        <f>IF(Account!$F941&lt;&gt;"", DATEVALUE(MID($A941,4,3) &amp; LEFT($A941,3) &amp; RIGHT($A941,4)) + TIMEVALUE($B941), "")</f>
        <v/>
      </c>
      <c r="O941" s="33" t="str">
        <f>IF(Account!$F941&lt;&gt;"", DATEVALUE(MID($A941,4,3) &amp; LEFT($A941,3) &amp; RIGHT($A941,4)), "")</f>
        <v/>
      </c>
      <c r="P941" s="34" t="str">
        <f>IFERROR(VLOOKUP($Q941,Selection!$F:$G,2,false))</f>
        <v/>
      </c>
      <c r="Q941" s="36" t="str">
        <f>IF(AND($X941="change",$H941="EUR"),IF(AND($Z941="Crédit",$N941=$N942),$Q942,IF(AND($Z941="Débit",$N941=$N940),$Q940)),IF(OR(AND(OR($E941&lt;&gt;"",$L941=""),$M941&lt;&gt;0),$A941=""),IFERROR(VLOOKUP($E941,Selection!$E:$F,2,false)),IFERROR(VLOOKUP(SUBSTITUTE($I941,"-","",1),$K942:$Q1119,7,false),VLOOKUP($K941,$K942:$Q1119,7,false))))</f>
        <v/>
      </c>
      <c r="R941" s="34" t="str">
        <f t="shared" si="2"/>
        <v/>
      </c>
      <c r="S941" s="37" t="str">
        <f t="shared" si="3"/>
        <v/>
      </c>
      <c r="T941" s="38" t="str">
        <f t="shared" si="4"/>
        <v/>
      </c>
      <c r="U941" s="28" t="str">
        <f t="shared" si="5"/>
        <v/>
      </c>
      <c r="V941" s="39" t="str">
        <f>IFERROR(__xludf.DUMMYFUNCTION(" IF(Account!$F941&lt;&gt;"""", SPLIT(Account!$F941, "" ""), """")"),"")</f>
        <v/>
      </c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</row>
    <row r="942">
      <c r="A942" s="341"/>
      <c r="B942" s="341"/>
      <c r="C942" s="341"/>
      <c r="D942" s="341"/>
      <c r="E942" s="341"/>
      <c r="F942" s="373"/>
      <c r="G942" s="341"/>
      <c r="H942" s="341"/>
      <c r="I942" s="341"/>
      <c r="J942" s="341"/>
      <c r="K942" s="341"/>
      <c r="L942" s="26" t="str">
        <f t="shared" si="1"/>
        <v/>
      </c>
      <c r="M942" s="28" t="str">
        <f>IFERROR(__xludf.DUMMYFUNCTION("IF(Account!$F942&lt;&gt;"""", VALUE(REGEXREPLACE($I942, ""\,"", ""."")), """")"),"")</f>
        <v/>
      </c>
      <c r="N942" s="31" t="str">
        <f>IF(Account!$F942&lt;&gt;"", DATEVALUE(MID($A942,4,3) &amp; LEFT($A942,3) &amp; RIGHT($A942,4)) + TIMEVALUE($B942), "")</f>
        <v/>
      </c>
      <c r="O942" s="33" t="str">
        <f>IF(Account!$F942&lt;&gt;"", DATEVALUE(MID($A942,4,3) &amp; LEFT($A942,3) &amp; RIGHT($A942,4)), "")</f>
        <v/>
      </c>
      <c r="P942" s="34" t="str">
        <f>IFERROR(VLOOKUP($Q942,Selection!$F:$G,2,false))</f>
        <v/>
      </c>
      <c r="Q942" s="36" t="str">
        <f>IF(AND($X942="change",$H942="EUR"),IF(AND($Z942="Crédit",$N942=$N943),$Q943,IF(AND($Z942="Débit",$N942=$N941),$Q941)),IF(OR(AND(OR($E942&lt;&gt;"",$L942=""),$M942&lt;&gt;0),$A942=""),IFERROR(VLOOKUP($E942,Selection!$E:$F,2,false)),IFERROR(VLOOKUP(SUBSTITUTE($I942,"-","",1),$K943:$Q1119,7,false),VLOOKUP($K942,$K943:$Q1119,7,false))))</f>
        <v/>
      </c>
      <c r="R942" s="34" t="str">
        <f t="shared" si="2"/>
        <v/>
      </c>
      <c r="S942" s="37" t="str">
        <f t="shared" si="3"/>
        <v/>
      </c>
      <c r="T942" s="38" t="str">
        <f t="shared" si="4"/>
        <v/>
      </c>
      <c r="U942" s="28" t="str">
        <f t="shared" si="5"/>
        <v/>
      </c>
      <c r="V942" s="39" t="str">
        <f>IFERROR(__xludf.DUMMYFUNCTION(" IF(Account!$F942&lt;&gt;"""", SPLIT(Account!$F942, "" ""), """")"),"")</f>
        <v/>
      </c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</row>
    <row r="943">
      <c r="A943" s="341"/>
      <c r="B943" s="341"/>
      <c r="C943" s="341"/>
      <c r="D943" s="341"/>
      <c r="E943" s="341"/>
      <c r="F943" s="373"/>
      <c r="G943" s="341"/>
      <c r="H943" s="341"/>
      <c r="I943" s="341"/>
      <c r="J943" s="341"/>
      <c r="K943" s="341"/>
      <c r="L943" s="26" t="str">
        <f t="shared" si="1"/>
        <v/>
      </c>
      <c r="M943" s="28" t="str">
        <f>IFERROR(__xludf.DUMMYFUNCTION("IF(Account!$F943&lt;&gt;"""", VALUE(REGEXREPLACE($I943, ""\,"", ""."")), """")"),"")</f>
        <v/>
      </c>
      <c r="N943" s="31" t="str">
        <f>IF(Account!$F943&lt;&gt;"", DATEVALUE(MID($A943,4,3) &amp; LEFT($A943,3) &amp; RIGHT($A943,4)) + TIMEVALUE($B943), "")</f>
        <v/>
      </c>
      <c r="O943" s="33" t="str">
        <f>IF(Account!$F943&lt;&gt;"", DATEVALUE(MID($A943,4,3) &amp; LEFT($A943,3) &amp; RIGHT($A943,4)), "")</f>
        <v/>
      </c>
      <c r="P943" s="34" t="str">
        <f>IFERROR(VLOOKUP($Q943,Selection!$F:$G,2,false))</f>
        <v/>
      </c>
      <c r="Q943" s="36" t="str">
        <f>IF(AND($X943="change",$H943="EUR"),IF(AND($Z943="Crédit",$N943=$N944),$Q944,IF(AND($Z943="Débit",$N943=$N942),$Q942)),IF(OR(AND(OR($E943&lt;&gt;"",$L943=""),$M943&lt;&gt;0),$A943=""),IFERROR(VLOOKUP($E943,Selection!$E:$F,2,false)),IFERROR(VLOOKUP(SUBSTITUTE($I943,"-","",1),$K944:$Q1119,7,false),VLOOKUP($K943,$K944:$Q1119,7,false))))</f>
        <v/>
      </c>
      <c r="R943" s="34" t="str">
        <f t="shared" si="2"/>
        <v/>
      </c>
      <c r="S943" s="37" t="str">
        <f t="shared" si="3"/>
        <v/>
      </c>
      <c r="T943" s="38" t="str">
        <f t="shared" si="4"/>
        <v/>
      </c>
      <c r="U943" s="28" t="str">
        <f t="shared" si="5"/>
        <v/>
      </c>
      <c r="V943" s="39" t="str">
        <f>IFERROR(__xludf.DUMMYFUNCTION(" IF(Account!$F943&lt;&gt;"""", SPLIT(Account!$F943, "" ""), """")"),"")</f>
        <v/>
      </c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</row>
    <row r="944">
      <c r="A944" s="341"/>
      <c r="B944" s="341"/>
      <c r="C944" s="341"/>
      <c r="D944" s="341"/>
      <c r="E944" s="341"/>
      <c r="F944" s="373"/>
      <c r="G944" s="341"/>
      <c r="H944" s="341"/>
      <c r="I944" s="341"/>
      <c r="J944" s="341"/>
      <c r="K944" s="341"/>
      <c r="L944" s="26" t="str">
        <f t="shared" si="1"/>
        <v/>
      </c>
      <c r="M944" s="28" t="str">
        <f>IFERROR(__xludf.DUMMYFUNCTION("IF(Account!$F944&lt;&gt;"""", VALUE(REGEXREPLACE($I944, ""\,"", ""."")), """")"),"")</f>
        <v/>
      </c>
      <c r="N944" s="31" t="str">
        <f>IF(Account!$F944&lt;&gt;"", DATEVALUE(MID($A944,4,3) &amp; LEFT($A944,3) &amp; RIGHT($A944,4)) + TIMEVALUE($B944), "")</f>
        <v/>
      </c>
      <c r="O944" s="33" t="str">
        <f>IF(Account!$F944&lt;&gt;"", DATEVALUE(MID($A944,4,3) &amp; LEFT($A944,3) &amp; RIGHT($A944,4)), "")</f>
        <v/>
      </c>
      <c r="P944" s="34" t="str">
        <f>IFERROR(VLOOKUP($Q944,Selection!$F:$G,2,false))</f>
        <v/>
      </c>
      <c r="Q944" s="36" t="str">
        <f>IF(AND($X944="change",$H944="EUR"),IF(AND($Z944="Crédit",$N944=$N945),$Q945,IF(AND($Z944="Débit",$N944=$N943),$Q943)),IF(OR(AND(OR($E944&lt;&gt;"",$L944=""),$M944&lt;&gt;0),$A944=""),IFERROR(VLOOKUP($E944,Selection!$E:$F,2,false)),IFERROR(VLOOKUP(SUBSTITUTE($I944,"-","",1),$K945:$Q1119,7,false),VLOOKUP($K944,$K945:$Q1119,7,false))))</f>
        <v/>
      </c>
      <c r="R944" s="34" t="str">
        <f t="shared" si="2"/>
        <v/>
      </c>
      <c r="S944" s="37" t="str">
        <f t="shared" si="3"/>
        <v/>
      </c>
      <c r="T944" s="38" t="str">
        <f t="shared" si="4"/>
        <v/>
      </c>
      <c r="U944" s="28" t="str">
        <f t="shared" si="5"/>
        <v/>
      </c>
      <c r="V944" s="39" t="str">
        <f>IFERROR(__xludf.DUMMYFUNCTION(" IF(Account!$F944&lt;&gt;"""", SPLIT(Account!$F944, "" ""), """")"),"")</f>
        <v/>
      </c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</row>
    <row r="945">
      <c r="A945" s="341"/>
      <c r="B945" s="341"/>
      <c r="C945" s="341"/>
      <c r="D945" s="341"/>
      <c r="E945" s="341"/>
      <c r="F945" s="373"/>
      <c r="G945" s="341"/>
      <c r="H945" s="341"/>
      <c r="I945" s="341"/>
      <c r="J945" s="341"/>
      <c r="K945" s="341"/>
      <c r="L945" s="26" t="str">
        <f t="shared" si="1"/>
        <v/>
      </c>
      <c r="M945" s="28" t="str">
        <f>IFERROR(__xludf.DUMMYFUNCTION("IF(Account!$F945&lt;&gt;"""", VALUE(REGEXREPLACE($I945, ""\,"", ""."")), """")"),"")</f>
        <v/>
      </c>
      <c r="N945" s="31" t="str">
        <f>IF(Account!$F945&lt;&gt;"", DATEVALUE(MID($A945,4,3) &amp; LEFT($A945,3) &amp; RIGHT($A945,4)) + TIMEVALUE($B945), "")</f>
        <v/>
      </c>
      <c r="O945" s="33" t="str">
        <f>IF(Account!$F945&lt;&gt;"", DATEVALUE(MID($A945,4,3) &amp; LEFT($A945,3) &amp; RIGHT($A945,4)), "")</f>
        <v/>
      </c>
      <c r="P945" s="34" t="str">
        <f>IFERROR(VLOOKUP($Q945,Selection!$F:$G,2,false))</f>
        <v/>
      </c>
      <c r="Q945" s="36" t="str">
        <f>IF(AND($X945="change",$H945="EUR"),IF(AND($Z945="Crédit",$N945=$N946),$Q946,IF(AND($Z945="Débit",$N945=$N944),$Q944)),IF(OR(AND(OR($E945&lt;&gt;"",$L945=""),$M945&lt;&gt;0),$A945=""),IFERROR(VLOOKUP($E945,Selection!$E:$F,2,false)),IFERROR(VLOOKUP(SUBSTITUTE($I945,"-","",1),$K946:$Q1119,7,false),VLOOKUP($K945,$K946:$Q1119,7,false))))</f>
        <v/>
      </c>
      <c r="R945" s="34" t="str">
        <f t="shared" si="2"/>
        <v/>
      </c>
      <c r="S945" s="37" t="str">
        <f t="shared" si="3"/>
        <v/>
      </c>
      <c r="T945" s="38" t="str">
        <f t="shared" si="4"/>
        <v/>
      </c>
      <c r="U945" s="28" t="str">
        <f t="shared" si="5"/>
        <v/>
      </c>
      <c r="V945" s="39" t="str">
        <f>IFERROR(__xludf.DUMMYFUNCTION(" IF(Account!$F945&lt;&gt;"""", SPLIT(Account!$F945, "" ""), """")"),"")</f>
        <v/>
      </c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</row>
    <row r="946">
      <c r="A946" s="341"/>
      <c r="B946" s="341"/>
      <c r="C946" s="341"/>
      <c r="D946" s="341"/>
      <c r="E946" s="341"/>
      <c r="F946" s="373"/>
      <c r="G946" s="341"/>
      <c r="H946" s="341"/>
      <c r="I946" s="341"/>
      <c r="J946" s="341"/>
      <c r="K946" s="341"/>
      <c r="L946" s="26" t="str">
        <f t="shared" si="1"/>
        <v/>
      </c>
      <c r="M946" s="28" t="str">
        <f>IFERROR(__xludf.DUMMYFUNCTION("IF(Account!$F946&lt;&gt;"""", VALUE(REGEXREPLACE($I946, ""\,"", ""."")), """")"),"")</f>
        <v/>
      </c>
      <c r="N946" s="31" t="str">
        <f>IF(Account!$F946&lt;&gt;"", DATEVALUE(MID($A946,4,3) &amp; LEFT($A946,3) &amp; RIGHT($A946,4)) + TIMEVALUE($B946), "")</f>
        <v/>
      </c>
      <c r="O946" s="33" t="str">
        <f>IF(Account!$F946&lt;&gt;"", DATEVALUE(MID($A946,4,3) &amp; LEFT($A946,3) &amp; RIGHT($A946,4)), "")</f>
        <v/>
      </c>
      <c r="P946" s="34" t="str">
        <f>IFERROR(VLOOKUP($Q946,Selection!$F:$G,2,false))</f>
        <v/>
      </c>
      <c r="Q946" s="36" t="str">
        <f>IF(AND($X946="change",$H946="EUR"),IF(AND($Z946="Crédit",$N946=$N947),$Q947,IF(AND($Z946="Débit",$N946=$N945),$Q945)),IF(OR(AND(OR($E946&lt;&gt;"",$L946=""),$M946&lt;&gt;0),$A946=""),IFERROR(VLOOKUP($E946,Selection!$E:$F,2,false)),IFERROR(VLOOKUP(SUBSTITUTE($I946,"-","",1),$K947:$Q1119,7,false),VLOOKUP($K946,$K947:$Q1119,7,false))))</f>
        <v/>
      </c>
      <c r="R946" s="34" t="str">
        <f t="shared" si="2"/>
        <v/>
      </c>
      <c r="S946" s="37" t="str">
        <f t="shared" si="3"/>
        <v/>
      </c>
      <c r="T946" s="38" t="str">
        <f t="shared" si="4"/>
        <v/>
      </c>
      <c r="U946" s="28" t="str">
        <f t="shared" si="5"/>
        <v/>
      </c>
      <c r="V946" s="39" t="str">
        <f>IFERROR(__xludf.DUMMYFUNCTION(" IF(Account!$F946&lt;&gt;"""", SPLIT(Account!$F946, "" ""), """")"),"")</f>
        <v/>
      </c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</row>
    <row r="947">
      <c r="A947" s="341"/>
      <c r="B947" s="341"/>
      <c r="C947" s="341"/>
      <c r="D947" s="341"/>
      <c r="E947" s="341"/>
      <c r="F947" s="373"/>
      <c r="G947" s="341"/>
      <c r="H947" s="341"/>
      <c r="I947" s="341"/>
      <c r="J947" s="341"/>
      <c r="K947" s="341"/>
      <c r="L947" s="26" t="str">
        <f t="shared" si="1"/>
        <v/>
      </c>
      <c r="M947" s="28" t="str">
        <f>IFERROR(__xludf.DUMMYFUNCTION("IF(Account!$F947&lt;&gt;"""", VALUE(REGEXREPLACE($I947, ""\,"", ""."")), """")"),"")</f>
        <v/>
      </c>
      <c r="N947" s="31" t="str">
        <f>IF(Account!$F947&lt;&gt;"", DATEVALUE(MID($A947,4,3) &amp; LEFT($A947,3) &amp; RIGHT($A947,4)) + TIMEVALUE($B947), "")</f>
        <v/>
      </c>
      <c r="O947" s="33" t="str">
        <f>IF(Account!$F947&lt;&gt;"", DATEVALUE(MID($A947,4,3) &amp; LEFT($A947,3) &amp; RIGHT($A947,4)), "")</f>
        <v/>
      </c>
      <c r="P947" s="34" t="str">
        <f>IFERROR(VLOOKUP($Q947,Selection!$F:$G,2,false))</f>
        <v/>
      </c>
      <c r="Q947" s="36" t="str">
        <f>IF(AND($X947="change",$H947="EUR"),IF(AND($Z947="Crédit",$N947=$N948),$Q948,IF(AND($Z947="Débit",$N947=$N946),$Q946)),IF(OR(AND(OR($E947&lt;&gt;"",$L947=""),$M947&lt;&gt;0),$A947=""),IFERROR(VLOOKUP($E947,Selection!$E:$F,2,false)),IFERROR(VLOOKUP(SUBSTITUTE($I947,"-","",1),$K948:$Q1119,7,false),VLOOKUP($K947,$K948:$Q1119,7,false))))</f>
        <v/>
      </c>
      <c r="R947" s="34" t="str">
        <f t="shared" si="2"/>
        <v/>
      </c>
      <c r="S947" s="37" t="str">
        <f t="shared" si="3"/>
        <v/>
      </c>
      <c r="T947" s="38" t="str">
        <f t="shared" si="4"/>
        <v/>
      </c>
      <c r="U947" s="28" t="str">
        <f t="shared" si="5"/>
        <v/>
      </c>
      <c r="V947" s="39" t="str">
        <f>IFERROR(__xludf.DUMMYFUNCTION(" IF(Account!$F947&lt;&gt;"""", SPLIT(Account!$F947, "" ""), """")"),"")</f>
        <v/>
      </c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</row>
    <row r="948">
      <c r="A948" s="341"/>
      <c r="B948" s="341"/>
      <c r="C948" s="341"/>
      <c r="D948" s="341"/>
      <c r="E948" s="341"/>
      <c r="F948" s="373"/>
      <c r="G948" s="341"/>
      <c r="H948" s="341"/>
      <c r="I948" s="341"/>
      <c r="J948" s="341"/>
      <c r="K948" s="341"/>
      <c r="L948" s="26" t="str">
        <f t="shared" si="1"/>
        <v/>
      </c>
      <c r="M948" s="28" t="str">
        <f>IFERROR(__xludf.DUMMYFUNCTION("IF(Account!$F948&lt;&gt;"""", VALUE(REGEXREPLACE($I948, ""\,"", ""."")), """")"),"")</f>
        <v/>
      </c>
      <c r="N948" s="31" t="str">
        <f>IF(Account!$F948&lt;&gt;"", DATEVALUE(MID($A948,4,3) &amp; LEFT($A948,3) &amp; RIGHT($A948,4)) + TIMEVALUE($B948), "")</f>
        <v/>
      </c>
      <c r="O948" s="33" t="str">
        <f>IF(Account!$F948&lt;&gt;"", DATEVALUE(MID($A948,4,3) &amp; LEFT($A948,3) &amp; RIGHT($A948,4)), "")</f>
        <v/>
      </c>
      <c r="P948" s="34" t="str">
        <f>IFERROR(VLOOKUP($Q948,Selection!$F:$G,2,false))</f>
        <v/>
      </c>
      <c r="Q948" s="36" t="str">
        <f>IF(AND($X948="change",$H948="EUR"),IF(AND($Z948="Crédit",$N948=$N949),$Q949,IF(AND($Z948="Débit",$N948=$N947),$Q947)),IF(OR(AND(OR($E948&lt;&gt;"",$L948=""),$M948&lt;&gt;0),$A948=""),IFERROR(VLOOKUP($E948,Selection!$E:$F,2,false)),IFERROR(VLOOKUP(SUBSTITUTE($I948,"-","",1),$K949:$Q1119,7,false),VLOOKUP($K948,$K949:$Q1119,7,false))))</f>
        <v/>
      </c>
      <c r="R948" s="34" t="str">
        <f t="shared" si="2"/>
        <v/>
      </c>
      <c r="S948" s="37" t="str">
        <f t="shared" si="3"/>
        <v/>
      </c>
      <c r="T948" s="38" t="str">
        <f t="shared" si="4"/>
        <v/>
      </c>
      <c r="U948" s="28" t="str">
        <f t="shared" si="5"/>
        <v/>
      </c>
      <c r="V948" s="39" t="str">
        <f>IFERROR(__xludf.DUMMYFUNCTION(" IF(Account!$F948&lt;&gt;"""", SPLIT(Account!$F948, "" ""), """")"),"")</f>
        <v/>
      </c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</row>
    <row r="949">
      <c r="A949" s="341"/>
      <c r="B949" s="341"/>
      <c r="C949" s="341"/>
      <c r="D949" s="341"/>
      <c r="E949" s="341"/>
      <c r="F949" s="373"/>
      <c r="G949" s="341"/>
      <c r="H949" s="341"/>
      <c r="I949" s="341"/>
      <c r="J949" s="341"/>
      <c r="K949" s="341"/>
      <c r="L949" s="26" t="str">
        <f t="shared" si="1"/>
        <v/>
      </c>
      <c r="M949" s="28" t="str">
        <f>IFERROR(__xludf.DUMMYFUNCTION("IF(Account!$F949&lt;&gt;"""", VALUE(REGEXREPLACE($I949, ""\,"", ""."")), """")"),"")</f>
        <v/>
      </c>
      <c r="N949" s="31" t="str">
        <f>IF(Account!$F949&lt;&gt;"", DATEVALUE(MID($A949,4,3) &amp; LEFT($A949,3) &amp; RIGHT($A949,4)) + TIMEVALUE($B949), "")</f>
        <v/>
      </c>
      <c r="O949" s="33" t="str">
        <f>IF(Account!$F949&lt;&gt;"", DATEVALUE(MID($A949,4,3) &amp; LEFT($A949,3) &amp; RIGHT($A949,4)), "")</f>
        <v/>
      </c>
      <c r="P949" s="34" t="str">
        <f>IFERROR(VLOOKUP($Q949,Selection!$F:$G,2,false))</f>
        <v/>
      </c>
      <c r="Q949" s="36" t="str">
        <f>IF(AND($X949="change",$H949="EUR"),IF(AND($Z949="Crédit",$N949=$N950),$Q950,IF(AND($Z949="Débit",$N949=$N948),$Q948)),IF(OR(AND(OR($E949&lt;&gt;"",$L949=""),$M949&lt;&gt;0),$A949=""),IFERROR(VLOOKUP($E949,Selection!$E:$F,2,false)),IFERROR(VLOOKUP(SUBSTITUTE($I949,"-","",1),$K950:$Q1119,7,false),VLOOKUP($K949,$K950:$Q1119,7,false))))</f>
        <v/>
      </c>
      <c r="R949" s="34" t="str">
        <f t="shared" si="2"/>
        <v/>
      </c>
      <c r="S949" s="37" t="str">
        <f t="shared" si="3"/>
        <v/>
      </c>
      <c r="T949" s="38" t="str">
        <f t="shared" si="4"/>
        <v/>
      </c>
      <c r="U949" s="28" t="str">
        <f t="shared" si="5"/>
        <v/>
      </c>
      <c r="V949" s="39" t="str">
        <f>IFERROR(__xludf.DUMMYFUNCTION(" IF(Account!$F949&lt;&gt;"""", SPLIT(Account!$F949, "" ""), """")"),"")</f>
        <v/>
      </c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</row>
    <row r="950">
      <c r="A950" s="341"/>
      <c r="B950" s="341"/>
      <c r="C950" s="341"/>
      <c r="D950" s="341"/>
      <c r="E950" s="341"/>
      <c r="F950" s="373"/>
      <c r="G950" s="341"/>
      <c r="H950" s="341"/>
      <c r="I950" s="341"/>
      <c r="J950" s="341"/>
      <c r="K950" s="341"/>
      <c r="L950" s="26" t="str">
        <f t="shared" si="1"/>
        <v/>
      </c>
      <c r="M950" s="28" t="str">
        <f>IFERROR(__xludf.DUMMYFUNCTION("IF(Account!$F950&lt;&gt;"""", VALUE(REGEXREPLACE($I950, ""\,"", ""."")), """")"),"")</f>
        <v/>
      </c>
      <c r="N950" s="31" t="str">
        <f>IF(Account!$F950&lt;&gt;"", DATEVALUE(MID($A950,4,3) &amp; LEFT($A950,3) &amp; RIGHT($A950,4)) + TIMEVALUE($B950), "")</f>
        <v/>
      </c>
      <c r="O950" s="33" t="str">
        <f>IF(Account!$F950&lt;&gt;"", DATEVALUE(MID($A950,4,3) &amp; LEFT($A950,3) &amp; RIGHT($A950,4)), "")</f>
        <v/>
      </c>
      <c r="P950" s="34" t="str">
        <f>IFERROR(VLOOKUP($Q950,Selection!$F:$G,2,false))</f>
        <v/>
      </c>
      <c r="Q950" s="36" t="str">
        <f>IF(AND($X950="change",$H950="EUR"),IF(AND($Z950="Crédit",$N950=$N951),$Q951,IF(AND($Z950="Débit",$N950=$N949),$Q949)),IF(OR(AND(OR($E950&lt;&gt;"",$L950=""),$M950&lt;&gt;0),$A950=""),IFERROR(VLOOKUP($E950,Selection!$E:$F,2,false)),IFERROR(VLOOKUP(SUBSTITUTE($I950,"-","",1),$K951:$Q1119,7,false),VLOOKUP($K950,$K951:$Q1119,7,false))))</f>
        <v/>
      </c>
      <c r="R950" s="34" t="str">
        <f t="shared" si="2"/>
        <v/>
      </c>
      <c r="S950" s="37" t="str">
        <f t="shared" si="3"/>
        <v/>
      </c>
      <c r="T950" s="38" t="str">
        <f t="shared" si="4"/>
        <v/>
      </c>
      <c r="U950" s="28" t="str">
        <f t="shared" si="5"/>
        <v/>
      </c>
      <c r="V950" s="39" t="str">
        <f>IFERROR(__xludf.DUMMYFUNCTION(" IF(Account!$F950&lt;&gt;"""", SPLIT(Account!$F950, "" ""), """")"),"")</f>
        <v/>
      </c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</row>
    <row r="951">
      <c r="A951" s="341"/>
      <c r="B951" s="341"/>
      <c r="C951" s="341"/>
      <c r="D951" s="341"/>
      <c r="E951" s="341"/>
      <c r="F951" s="373"/>
      <c r="G951" s="341"/>
      <c r="H951" s="341"/>
      <c r="I951" s="341"/>
      <c r="J951" s="341"/>
      <c r="K951" s="341"/>
      <c r="L951" s="26" t="str">
        <f t="shared" si="1"/>
        <v/>
      </c>
      <c r="M951" s="28" t="str">
        <f>IFERROR(__xludf.DUMMYFUNCTION("IF(Account!$F951&lt;&gt;"""", VALUE(REGEXREPLACE($I951, ""\,"", ""."")), """")"),"")</f>
        <v/>
      </c>
      <c r="N951" s="31" t="str">
        <f>IF(Account!$F951&lt;&gt;"", DATEVALUE(MID($A951,4,3) &amp; LEFT($A951,3) &amp; RIGHT($A951,4)) + TIMEVALUE($B951), "")</f>
        <v/>
      </c>
      <c r="O951" s="33" t="str">
        <f>IF(Account!$F951&lt;&gt;"", DATEVALUE(MID($A951,4,3) &amp; LEFT($A951,3) &amp; RIGHT($A951,4)), "")</f>
        <v/>
      </c>
      <c r="P951" s="34" t="str">
        <f>IFERROR(VLOOKUP($Q951,Selection!$F:$G,2,false))</f>
        <v/>
      </c>
      <c r="Q951" s="36" t="str">
        <f>IF(AND($X951="change",$H951="EUR"),IF(AND($Z951="Crédit",$N951=$N952),$Q952,IF(AND($Z951="Débit",$N951=$N950),$Q950)),IF(OR(AND(OR($E951&lt;&gt;"",$L951=""),$M951&lt;&gt;0),$A951=""),IFERROR(VLOOKUP($E951,Selection!$E:$F,2,false)),IFERROR(VLOOKUP(SUBSTITUTE($I951,"-","",1),$K952:$Q1119,7,false),VLOOKUP($K951,$K952:$Q1119,7,false))))</f>
        <v/>
      </c>
      <c r="R951" s="34" t="str">
        <f t="shared" si="2"/>
        <v/>
      </c>
      <c r="S951" s="37" t="str">
        <f t="shared" si="3"/>
        <v/>
      </c>
      <c r="T951" s="38" t="str">
        <f t="shared" si="4"/>
        <v/>
      </c>
      <c r="U951" s="28" t="str">
        <f t="shared" si="5"/>
        <v/>
      </c>
      <c r="V951" s="39" t="str">
        <f>IFERROR(__xludf.DUMMYFUNCTION(" IF(Account!$F951&lt;&gt;"""", SPLIT(Account!$F951, "" ""), """")"),"")</f>
        <v/>
      </c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</row>
    <row r="952">
      <c r="A952" s="341"/>
      <c r="B952" s="341"/>
      <c r="C952" s="341"/>
      <c r="D952" s="341"/>
      <c r="E952" s="341"/>
      <c r="F952" s="373"/>
      <c r="G952" s="341"/>
      <c r="H952" s="341"/>
      <c r="I952" s="341"/>
      <c r="J952" s="341"/>
      <c r="K952" s="341"/>
      <c r="L952" s="26" t="str">
        <f t="shared" si="1"/>
        <v/>
      </c>
      <c r="M952" s="28" t="str">
        <f>IFERROR(__xludf.DUMMYFUNCTION("IF(Account!$F952&lt;&gt;"""", VALUE(REGEXREPLACE($I952, ""\,"", ""."")), """")"),"")</f>
        <v/>
      </c>
      <c r="N952" s="31" t="str">
        <f>IF(Account!$F952&lt;&gt;"", DATEVALUE(MID($A952,4,3) &amp; LEFT($A952,3) &amp; RIGHT($A952,4)) + TIMEVALUE($B952), "")</f>
        <v/>
      </c>
      <c r="O952" s="33" t="str">
        <f>IF(Account!$F952&lt;&gt;"", DATEVALUE(MID($A952,4,3) &amp; LEFT($A952,3) &amp; RIGHT($A952,4)), "")</f>
        <v/>
      </c>
      <c r="P952" s="34" t="str">
        <f>IFERROR(VLOOKUP($Q952,Selection!$F:$G,2,false))</f>
        <v/>
      </c>
      <c r="Q952" s="36" t="str">
        <f>IF(AND($X952="change",$H952="EUR"),IF(AND($Z952="Crédit",$N952=$N953),$Q953,IF(AND($Z952="Débit",$N952=$N951),$Q951)),IF(OR(AND(OR($E952&lt;&gt;"",$L952=""),$M952&lt;&gt;0),$A952=""),IFERROR(VLOOKUP($E952,Selection!$E:$F,2,false)),IFERROR(VLOOKUP(SUBSTITUTE($I952,"-","",1),$K953:$Q1119,7,false),VLOOKUP($K952,$K953:$Q1119,7,false))))</f>
        <v/>
      </c>
      <c r="R952" s="34" t="str">
        <f t="shared" si="2"/>
        <v/>
      </c>
      <c r="S952" s="37" t="str">
        <f t="shared" si="3"/>
        <v/>
      </c>
      <c r="T952" s="38" t="str">
        <f t="shared" si="4"/>
        <v/>
      </c>
      <c r="U952" s="28" t="str">
        <f t="shared" si="5"/>
        <v/>
      </c>
      <c r="V952" s="39" t="str">
        <f>IFERROR(__xludf.DUMMYFUNCTION(" IF(Account!$F952&lt;&gt;"""", SPLIT(Account!$F952, "" ""), """")"),"")</f>
        <v/>
      </c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</row>
    <row r="953">
      <c r="A953" s="341"/>
      <c r="B953" s="341"/>
      <c r="C953" s="341"/>
      <c r="D953" s="341"/>
      <c r="E953" s="341"/>
      <c r="F953" s="373"/>
      <c r="G953" s="341"/>
      <c r="H953" s="341"/>
      <c r="I953" s="341"/>
      <c r="J953" s="341"/>
      <c r="K953" s="341"/>
      <c r="L953" s="26" t="str">
        <f t="shared" si="1"/>
        <v/>
      </c>
      <c r="M953" s="28" t="str">
        <f>IFERROR(__xludf.DUMMYFUNCTION("IF(Account!$F953&lt;&gt;"""", VALUE(REGEXREPLACE($I953, ""\,"", ""."")), """")"),"")</f>
        <v/>
      </c>
      <c r="N953" s="31" t="str">
        <f>IF(Account!$F953&lt;&gt;"", DATEVALUE(MID($A953,4,3) &amp; LEFT($A953,3) &amp; RIGHT($A953,4)) + TIMEVALUE($B953), "")</f>
        <v/>
      </c>
      <c r="O953" s="33" t="str">
        <f>IF(Account!$F953&lt;&gt;"", DATEVALUE(MID($A953,4,3) &amp; LEFT($A953,3) &amp; RIGHT($A953,4)), "")</f>
        <v/>
      </c>
      <c r="P953" s="34" t="str">
        <f>IFERROR(VLOOKUP($Q953,Selection!$F:$G,2,false))</f>
        <v/>
      </c>
      <c r="Q953" s="36" t="str">
        <f>IF(AND($X953="change",$H953="EUR"),IF(AND($Z953="Crédit",$N953=$N954),$Q954,IF(AND($Z953="Débit",$N953=$N952),$Q952)),IF(OR(AND(OR($E953&lt;&gt;"",$L953=""),$M953&lt;&gt;0),$A953=""),IFERROR(VLOOKUP($E953,Selection!$E:$F,2,false)),IFERROR(VLOOKUP(SUBSTITUTE($I953,"-","",1),$K954:$Q1119,7,false),VLOOKUP($K953,$K954:$Q1119,7,false))))</f>
        <v/>
      </c>
      <c r="R953" s="34" t="str">
        <f t="shared" si="2"/>
        <v/>
      </c>
      <c r="S953" s="37" t="str">
        <f t="shared" si="3"/>
        <v/>
      </c>
      <c r="T953" s="38" t="str">
        <f t="shared" si="4"/>
        <v/>
      </c>
      <c r="U953" s="28" t="str">
        <f t="shared" si="5"/>
        <v/>
      </c>
      <c r="V953" s="39" t="str">
        <f>IFERROR(__xludf.DUMMYFUNCTION(" IF(Account!$F953&lt;&gt;"""", SPLIT(Account!$F953, "" ""), """")"),"")</f>
        <v/>
      </c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</row>
    <row r="954">
      <c r="A954" s="341"/>
      <c r="B954" s="341"/>
      <c r="C954" s="341"/>
      <c r="D954" s="341"/>
      <c r="E954" s="341"/>
      <c r="F954" s="373"/>
      <c r="G954" s="341"/>
      <c r="H954" s="341"/>
      <c r="I954" s="341"/>
      <c r="J954" s="341"/>
      <c r="K954" s="341"/>
      <c r="L954" s="26" t="str">
        <f t="shared" si="1"/>
        <v/>
      </c>
      <c r="M954" s="28" t="str">
        <f>IFERROR(__xludf.DUMMYFUNCTION("IF(Account!$F954&lt;&gt;"""", VALUE(REGEXREPLACE($I954, ""\,"", ""."")), """")"),"")</f>
        <v/>
      </c>
      <c r="N954" s="31" t="str">
        <f>IF(Account!$F954&lt;&gt;"", DATEVALUE(MID($A954,4,3) &amp; LEFT($A954,3) &amp; RIGHT($A954,4)) + TIMEVALUE($B954), "")</f>
        <v/>
      </c>
      <c r="O954" s="33" t="str">
        <f>IF(Account!$F954&lt;&gt;"", DATEVALUE(MID($A954,4,3) &amp; LEFT($A954,3) &amp; RIGHT($A954,4)), "")</f>
        <v/>
      </c>
      <c r="P954" s="34" t="str">
        <f>IFERROR(VLOOKUP($Q954,Selection!$F:$G,2,false))</f>
        <v/>
      </c>
      <c r="Q954" s="36" t="str">
        <f>IF(AND($X954="change",$H954="EUR"),IF(AND($Z954="Crédit",$N954=$N955),$Q955,IF(AND($Z954="Débit",$N954=$N953),$Q953)),IF(OR(AND(OR($E954&lt;&gt;"",$L954=""),$M954&lt;&gt;0),$A954=""),IFERROR(VLOOKUP($E954,Selection!$E:$F,2,false)),IFERROR(VLOOKUP(SUBSTITUTE($I954,"-","",1),$K955:$Q1119,7,false),VLOOKUP($K954,$K955:$Q1119,7,false))))</f>
        <v/>
      </c>
      <c r="R954" s="34" t="str">
        <f t="shared" si="2"/>
        <v/>
      </c>
      <c r="S954" s="37" t="str">
        <f t="shared" si="3"/>
        <v/>
      </c>
      <c r="T954" s="38" t="str">
        <f t="shared" si="4"/>
        <v/>
      </c>
      <c r="U954" s="28" t="str">
        <f t="shared" si="5"/>
        <v/>
      </c>
      <c r="V954" s="39" t="str">
        <f>IFERROR(__xludf.DUMMYFUNCTION(" IF(Account!$F954&lt;&gt;"""", SPLIT(Account!$F954, "" ""), """")"),"")</f>
        <v/>
      </c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</row>
    <row r="955">
      <c r="A955" s="341"/>
      <c r="B955" s="341"/>
      <c r="C955" s="341"/>
      <c r="D955" s="341"/>
      <c r="E955" s="341"/>
      <c r="F955" s="373"/>
      <c r="G955" s="341"/>
      <c r="H955" s="341"/>
      <c r="I955" s="341"/>
      <c r="J955" s="341"/>
      <c r="K955" s="341"/>
      <c r="L955" s="26" t="str">
        <f t="shared" si="1"/>
        <v/>
      </c>
      <c r="M955" s="28" t="str">
        <f>IFERROR(__xludf.DUMMYFUNCTION("IF(Account!$F955&lt;&gt;"""", VALUE(REGEXREPLACE($I955, ""\,"", ""."")), """")"),"")</f>
        <v/>
      </c>
      <c r="N955" s="31" t="str">
        <f>IF(Account!$F955&lt;&gt;"", DATEVALUE(MID($A955,4,3) &amp; LEFT($A955,3) &amp; RIGHT($A955,4)) + TIMEVALUE($B955), "")</f>
        <v/>
      </c>
      <c r="O955" s="33" t="str">
        <f>IF(Account!$F955&lt;&gt;"", DATEVALUE(MID($A955,4,3) &amp; LEFT($A955,3) &amp; RIGHT($A955,4)), "")</f>
        <v/>
      </c>
      <c r="P955" s="34" t="str">
        <f>IFERROR(VLOOKUP($Q955,Selection!$F:$G,2,false))</f>
        <v/>
      </c>
      <c r="Q955" s="36" t="str">
        <f>IF(AND($X955="change",$H955="EUR"),IF(AND($Z955="Crédit",$N955=$N956),$Q956,IF(AND($Z955="Débit",$N955=$N954),$Q954)),IF(OR(AND(OR($E955&lt;&gt;"",$L955=""),$M955&lt;&gt;0),$A955=""),IFERROR(VLOOKUP($E955,Selection!$E:$F,2,false)),IFERROR(VLOOKUP(SUBSTITUTE($I955,"-","",1),$K956:$Q1119,7,false),VLOOKUP($K955,$K956:$Q1119,7,false))))</f>
        <v/>
      </c>
      <c r="R955" s="34" t="str">
        <f t="shared" si="2"/>
        <v/>
      </c>
      <c r="S955" s="37" t="str">
        <f t="shared" si="3"/>
        <v/>
      </c>
      <c r="T955" s="38" t="str">
        <f t="shared" si="4"/>
        <v/>
      </c>
      <c r="U955" s="28" t="str">
        <f t="shared" si="5"/>
        <v/>
      </c>
      <c r="V955" s="39" t="str">
        <f>IFERROR(__xludf.DUMMYFUNCTION(" IF(Account!$F955&lt;&gt;"""", SPLIT(Account!$F955, "" ""), """")"),"")</f>
        <v/>
      </c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</row>
    <row r="956">
      <c r="A956" s="341"/>
      <c r="B956" s="341"/>
      <c r="C956" s="341"/>
      <c r="D956" s="341"/>
      <c r="E956" s="341"/>
      <c r="F956" s="373"/>
      <c r="G956" s="341"/>
      <c r="H956" s="341"/>
      <c r="I956" s="341"/>
      <c r="J956" s="341"/>
      <c r="K956" s="341"/>
      <c r="L956" s="26" t="str">
        <f t="shared" si="1"/>
        <v/>
      </c>
      <c r="M956" s="28" t="str">
        <f>IFERROR(__xludf.DUMMYFUNCTION("IF(Account!$F956&lt;&gt;"""", VALUE(REGEXREPLACE($I956, ""\,"", ""."")), """")"),"")</f>
        <v/>
      </c>
      <c r="N956" s="31" t="str">
        <f>IF(Account!$F956&lt;&gt;"", DATEVALUE(MID($A956,4,3) &amp; LEFT($A956,3) &amp; RIGHT($A956,4)) + TIMEVALUE($B956), "")</f>
        <v/>
      </c>
      <c r="O956" s="33" t="str">
        <f>IF(Account!$F956&lt;&gt;"", DATEVALUE(MID($A956,4,3) &amp; LEFT($A956,3) &amp; RIGHT($A956,4)), "")</f>
        <v/>
      </c>
      <c r="P956" s="34" t="str">
        <f>IFERROR(VLOOKUP($Q956,Selection!$F:$G,2,false))</f>
        <v/>
      </c>
      <c r="Q956" s="36" t="str">
        <f>IF(AND($X956="change",$H956="EUR"),IF(AND($Z956="Crédit",$N956=$N957),$Q957,IF(AND($Z956="Débit",$N956=$N955),$Q955)),IF(OR(AND(OR($E956&lt;&gt;"",$L956=""),$M956&lt;&gt;0),$A956=""),IFERROR(VLOOKUP($E956,Selection!$E:$F,2,false)),IFERROR(VLOOKUP(SUBSTITUTE($I956,"-","",1),$K957:$Q1119,7,false),VLOOKUP($K956,$K957:$Q1119,7,false))))</f>
        <v/>
      </c>
      <c r="R956" s="34" t="str">
        <f t="shared" si="2"/>
        <v/>
      </c>
      <c r="S956" s="37" t="str">
        <f t="shared" si="3"/>
        <v/>
      </c>
      <c r="T956" s="38" t="str">
        <f t="shared" si="4"/>
        <v/>
      </c>
      <c r="U956" s="28" t="str">
        <f t="shared" si="5"/>
        <v/>
      </c>
      <c r="V956" s="39" t="str">
        <f>IFERROR(__xludf.DUMMYFUNCTION(" IF(Account!$F956&lt;&gt;"""", SPLIT(Account!$F956, "" ""), """")"),"")</f>
        <v/>
      </c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</row>
    <row r="957">
      <c r="A957" s="341"/>
      <c r="B957" s="341"/>
      <c r="C957" s="341"/>
      <c r="D957" s="341"/>
      <c r="E957" s="341"/>
      <c r="F957" s="373"/>
      <c r="G957" s="341"/>
      <c r="H957" s="341"/>
      <c r="I957" s="341"/>
      <c r="J957" s="341"/>
      <c r="K957" s="341"/>
      <c r="L957" s="26" t="str">
        <f t="shared" si="1"/>
        <v/>
      </c>
      <c r="M957" s="28" t="str">
        <f>IFERROR(__xludf.DUMMYFUNCTION("IF(Account!$F957&lt;&gt;"""", VALUE(REGEXREPLACE($I957, ""\,"", ""."")), """")"),"")</f>
        <v/>
      </c>
      <c r="N957" s="31" t="str">
        <f>IF(Account!$F957&lt;&gt;"", DATEVALUE(MID($A957,4,3) &amp; LEFT($A957,3) &amp; RIGHT($A957,4)) + TIMEVALUE($B957), "")</f>
        <v/>
      </c>
      <c r="O957" s="33" t="str">
        <f>IF(Account!$F957&lt;&gt;"", DATEVALUE(MID($A957,4,3) &amp; LEFT($A957,3) &amp; RIGHT($A957,4)), "")</f>
        <v/>
      </c>
      <c r="P957" s="34" t="str">
        <f>IFERROR(VLOOKUP($Q957,Selection!$F:$G,2,false))</f>
        <v/>
      </c>
      <c r="Q957" s="36" t="str">
        <f>IF(AND($X957="change",$H957="EUR"),IF(AND($Z957="Crédit",$N957=$N958),$Q958,IF(AND($Z957="Débit",$N957=$N956),$Q956)),IF(OR(AND(OR($E957&lt;&gt;"",$L957=""),$M957&lt;&gt;0),$A957=""),IFERROR(VLOOKUP($E957,Selection!$E:$F,2,false)),IFERROR(VLOOKUP(SUBSTITUTE($I957,"-","",1),$K958:$Q1119,7,false),VLOOKUP($K957,$K958:$Q1119,7,false))))</f>
        <v/>
      </c>
      <c r="R957" s="34" t="str">
        <f t="shared" si="2"/>
        <v/>
      </c>
      <c r="S957" s="37" t="str">
        <f t="shared" si="3"/>
        <v/>
      </c>
      <c r="T957" s="38" t="str">
        <f t="shared" si="4"/>
        <v/>
      </c>
      <c r="U957" s="28" t="str">
        <f t="shared" si="5"/>
        <v/>
      </c>
      <c r="V957" s="39" t="str">
        <f>IFERROR(__xludf.DUMMYFUNCTION(" IF(Account!$F957&lt;&gt;"""", SPLIT(Account!$F957, "" ""), """")"),"")</f>
        <v/>
      </c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</row>
    <row r="958">
      <c r="A958" s="341"/>
      <c r="B958" s="341"/>
      <c r="C958" s="341"/>
      <c r="D958" s="341"/>
      <c r="E958" s="341"/>
      <c r="F958" s="373"/>
      <c r="G958" s="341"/>
      <c r="H958" s="341"/>
      <c r="I958" s="341"/>
      <c r="J958" s="341"/>
      <c r="K958" s="341"/>
      <c r="L958" s="26" t="str">
        <f t="shared" si="1"/>
        <v/>
      </c>
      <c r="M958" s="28" t="str">
        <f>IFERROR(__xludf.DUMMYFUNCTION("IF(Account!$F958&lt;&gt;"""", VALUE(REGEXREPLACE($I958, ""\,"", ""."")), """")"),"")</f>
        <v/>
      </c>
      <c r="N958" s="31" t="str">
        <f>IF(Account!$F958&lt;&gt;"", DATEVALUE(MID($A958,4,3) &amp; LEFT($A958,3) &amp; RIGHT($A958,4)) + TIMEVALUE($B958), "")</f>
        <v/>
      </c>
      <c r="O958" s="33" t="str">
        <f>IF(Account!$F958&lt;&gt;"", DATEVALUE(MID($A958,4,3) &amp; LEFT($A958,3) &amp; RIGHT($A958,4)), "")</f>
        <v/>
      </c>
      <c r="P958" s="34" t="str">
        <f>IFERROR(VLOOKUP($Q958,Selection!$F:$G,2,false))</f>
        <v/>
      </c>
      <c r="Q958" s="36" t="str">
        <f>IF(AND($X958="change",$H958="EUR"),IF(AND($Z958="Crédit",$N958=$N959),$Q959,IF(AND($Z958="Débit",$N958=$N957),$Q957)),IF(OR(AND(OR($E958&lt;&gt;"",$L958=""),$M958&lt;&gt;0),$A958=""),IFERROR(VLOOKUP($E958,Selection!$E:$F,2,false)),IFERROR(VLOOKUP(SUBSTITUTE($I958,"-","",1),$K959:$Q1119,7,false),VLOOKUP($K958,$K959:$Q1119,7,false))))</f>
        <v/>
      </c>
      <c r="R958" s="34" t="str">
        <f t="shared" si="2"/>
        <v/>
      </c>
      <c r="S958" s="37" t="str">
        <f t="shared" si="3"/>
        <v/>
      </c>
      <c r="T958" s="38" t="str">
        <f t="shared" si="4"/>
        <v/>
      </c>
      <c r="U958" s="28" t="str">
        <f t="shared" si="5"/>
        <v/>
      </c>
      <c r="V958" s="39" t="str">
        <f>IFERROR(__xludf.DUMMYFUNCTION(" IF(Account!$F958&lt;&gt;"""", SPLIT(Account!$F958, "" ""), """")"),"")</f>
        <v/>
      </c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</row>
    <row r="959">
      <c r="A959" s="341"/>
      <c r="B959" s="341"/>
      <c r="C959" s="341"/>
      <c r="D959" s="341"/>
      <c r="E959" s="341"/>
      <c r="F959" s="373"/>
      <c r="G959" s="341"/>
      <c r="H959" s="341"/>
      <c r="I959" s="341"/>
      <c r="J959" s="341"/>
      <c r="K959" s="341"/>
      <c r="L959" s="26" t="str">
        <f t="shared" si="1"/>
        <v/>
      </c>
      <c r="M959" s="28" t="str">
        <f>IFERROR(__xludf.DUMMYFUNCTION("IF(Account!$F959&lt;&gt;"""", VALUE(REGEXREPLACE($I959, ""\,"", ""."")), """")"),"")</f>
        <v/>
      </c>
      <c r="N959" s="31" t="str">
        <f>IF(Account!$F959&lt;&gt;"", DATEVALUE(MID($A959,4,3) &amp; LEFT($A959,3) &amp; RIGHT($A959,4)) + TIMEVALUE($B959), "")</f>
        <v/>
      </c>
      <c r="O959" s="33" t="str">
        <f>IF(Account!$F959&lt;&gt;"", DATEVALUE(MID($A959,4,3) &amp; LEFT($A959,3) &amp; RIGHT($A959,4)), "")</f>
        <v/>
      </c>
      <c r="P959" s="34" t="str">
        <f>IFERROR(VLOOKUP($Q959,Selection!$F:$G,2,false))</f>
        <v/>
      </c>
      <c r="Q959" s="36" t="str">
        <f>IF(AND($X959="change",$H959="EUR"),IF(AND($Z959="Crédit",$N959=$N960),$Q960,IF(AND($Z959="Débit",$N959=$N958),$Q958)),IF(OR(AND(OR($E959&lt;&gt;"",$L959=""),$M959&lt;&gt;0),$A959=""),IFERROR(VLOOKUP($E959,Selection!$E:$F,2,false)),IFERROR(VLOOKUP(SUBSTITUTE($I959,"-","",1),$K960:$Q1119,7,false),VLOOKUP($K959,$K960:$Q1119,7,false))))</f>
        <v/>
      </c>
      <c r="R959" s="34" t="str">
        <f t="shared" si="2"/>
        <v/>
      </c>
      <c r="S959" s="37" t="str">
        <f t="shared" si="3"/>
        <v/>
      </c>
      <c r="T959" s="38" t="str">
        <f t="shared" si="4"/>
        <v/>
      </c>
      <c r="U959" s="28" t="str">
        <f t="shared" si="5"/>
        <v/>
      </c>
      <c r="V959" s="39" t="str">
        <f>IFERROR(__xludf.DUMMYFUNCTION(" IF(Account!$F959&lt;&gt;"""", SPLIT(Account!$F959, "" ""), """")"),"")</f>
        <v/>
      </c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</row>
    <row r="960">
      <c r="A960" s="341"/>
      <c r="B960" s="341"/>
      <c r="C960" s="341"/>
      <c r="D960" s="341"/>
      <c r="E960" s="341"/>
      <c r="F960" s="373"/>
      <c r="G960" s="341"/>
      <c r="H960" s="341"/>
      <c r="I960" s="341"/>
      <c r="J960" s="341"/>
      <c r="K960" s="341"/>
      <c r="L960" s="26" t="str">
        <f t="shared" si="1"/>
        <v/>
      </c>
      <c r="M960" s="28" t="str">
        <f>IFERROR(__xludf.DUMMYFUNCTION("IF(Account!$F960&lt;&gt;"""", VALUE(REGEXREPLACE($I960, ""\,"", ""."")), """")"),"")</f>
        <v/>
      </c>
      <c r="N960" s="31" t="str">
        <f>IF(Account!$F960&lt;&gt;"", DATEVALUE(MID($A960,4,3) &amp; LEFT($A960,3) &amp; RIGHT($A960,4)) + TIMEVALUE($B960), "")</f>
        <v/>
      </c>
      <c r="O960" s="33" t="str">
        <f>IF(Account!$F960&lt;&gt;"", DATEVALUE(MID($A960,4,3) &amp; LEFT($A960,3) &amp; RIGHT($A960,4)), "")</f>
        <v/>
      </c>
      <c r="P960" s="34" t="str">
        <f>IFERROR(VLOOKUP($Q960,Selection!$F:$G,2,false))</f>
        <v/>
      </c>
      <c r="Q960" s="36" t="str">
        <f>IF(AND($X960="change",$H960="EUR"),IF(AND($Z960="Crédit",$N960=$N961),$Q961,IF(AND($Z960="Débit",$N960=$N959),$Q959)),IF(OR(AND(OR($E960&lt;&gt;"",$L960=""),$M960&lt;&gt;0),$A960=""),IFERROR(VLOOKUP($E960,Selection!$E:$F,2,false)),IFERROR(VLOOKUP(SUBSTITUTE($I960,"-","",1),$K961:$Q1119,7,false),VLOOKUP($K960,$K961:$Q1119,7,false))))</f>
        <v/>
      </c>
      <c r="R960" s="34" t="str">
        <f t="shared" si="2"/>
        <v/>
      </c>
      <c r="S960" s="37" t="str">
        <f t="shared" si="3"/>
        <v/>
      </c>
      <c r="T960" s="38" t="str">
        <f t="shared" si="4"/>
        <v/>
      </c>
      <c r="U960" s="28" t="str">
        <f t="shared" si="5"/>
        <v/>
      </c>
      <c r="V960" s="39" t="str">
        <f>IFERROR(__xludf.DUMMYFUNCTION(" IF(Account!$F960&lt;&gt;"""", SPLIT(Account!$F960, "" ""), """")"),"")</f>
        <v/>
      </c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</row>
    <row r="961">
      <c r="A961" s="341"/>
      <c r="B961" s="341"/>
      <c r="C961" s="341"/>
      <c r="D961" s="341"/>
      <c r="E961" s="341"/>
      <c r="F961" s="373"/>
      <c r="G961" s="341"/>
      <c r="H961" s="341"/>
      <c r="I961" s="341"/>
      <c r="J961" s="341"/>
      <c r="K961" s="341"/>
      <c r="L961" s="26" t="str">
        <f t="shared" si="1"/>
        <v/>
      </c>
      <c r="M961" s="28" t="str">
        <f>IFERROR(__xludf.DUMMYFUNCTION("IF(Account!$F961&lt;&gt;"""", VALUE(REGEXREPLACE($I961, ""\,"", ""."")), """")"),"")</f>
        <v/>
      </c>
      <c r="N961" s="31" t="str">
        <f>IF(Account!$F961&lt;&gt;"", DATEVALUE(MID($A961,4,3) &amp; LEFT($A961,3) &amp; RIGHT($A961,4)) + TIMEVALUE($B961), "")</f>
        <v/>
      </c>
      <c r="O961" s="33" t="str">
        <f>IF(Account!$F961&lt;&gt;"", DATEVALUE(MID($A961,4,3) &amp; LEFT($A961,3) &amp; RIGHT($A961,4)), "")</f>
        <v/>
      </c>
      <c r="P961" s="34" t="str">
        <f>IFERROR(VLOOKUP($Q961,Selection!$F:$G,2,false))</f>
        <v/>
      </c>
      <c r="Q961" s="36" t="str">
        <f>IF(AND($X961="change",$H961="EUR"),IF(AND($Z961="Crédit",$N961=$N962),$Q962,IF(AND($Z961="Débit",$N961=$N960),$Q960)),IF(OR(AND(OR($E961&lt;&gt;"",$L961=""),$M961&lt;&gt;0),$A961=""),IFERROR(VLOOKUP($E961,Selection!$E:$F,2,false)),IFERROR(VLOOKUP(SUBSTITUTE($I961,"-","",1),$K962:$Q1119,7,false),VLOOKUP($K961,$K962:$Q1119,7,false))))</f>
        <v/>
      </c>
      <c r="R961" s="34" t="str">
        <f t="shared" si="2"/>
        <v/>
      </c>
      <c r="S961" s="37" t="str">
        <f t="shared" si="3"/>
        <v/>
      </c>
      <c r="T961" s="38" t="str">
        <f t="shared" si="4"/>
        <v/>
      </c>
      <c r="U961" s="28" t="str">
        <f t="shared" si="5"/>
        <v/>
      </c>
      <c r="V961" s="39" t="str">
        <f>IFERROR(__xludf.DUMMYFUNCTION(" IF(Account!$F961&lt;&gt;"""", SPLIT(Account!$F961, "" ""), """")"),"")</f>
        <v/>
      </c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</row>
    <row r="962">
      <c r="A962" s="341"/>
      <c r="B962" s="341"/>
      <c r="C962" s="341"/>
      <c r="D962" s="341"/>
      <c r="E962" s="341"/>
      <c r="F962" s="373"/>
      <c r="G962" s="341"/>
      <c r="H962" s="341"/>
      <c r="I962" s="341"/>
      <c r="J962" s="341"/>
      <c r="K962" s="341"/>
      <c r="L962" s="26" t="str">
        <f t="shared" si="1"/>
        <v/>
      </c>
      <c r="M962" s="28" t="str">
        <f>IFERROR(__xludf.DUMMYFUNCTION("IF(Account!$F962&lt;&gt;"""", VALUE(REGEXREPLACE($I962, ""\,"", ""."")), """")"),"")</f>
        <v/>
      </c>
      <c r="N962" s="31" t="str">
        <f>IF(Account!$F962&lt;&gt;"", DATEVALUE(MID($A962,4,3) &amp; LEFT($A962,3) &amp; RIGHT($A962,4)) + TIMEVALUE($B962), "")</f>
        <v/>
      </c>
      <c r="O962" s="33" t="str">
        <f>IF(Account!$F962&lt;&gt;"", DATEVALUE(MID($A962,4,3) &amp; LEFT($A962,3) &amp; RIGHT($A962,4)), "")</f>
        <v/>
      </c>
      <c r="P962" s="34" t="str">
        <f>IFERROR(VLOOKUP($Q962,Selection!$F:$G,2,false))</f>
        <v/>
      </c>
      <c r="Q962" s="36" t="str">
        <f>IF(AND($X962="change",$H962="EUR"),IF(AND($Z962="Crédit",$N962=$N963),$Q963,IF(AND($Z962="Débit",$N962=$N961),$Q961)),IF(OR(AND(OR($E962&lt;&gt;"",$L962=""),$M962&lt;&gt;0),$A962=""),IFERROR(VLOOKUP($E962,Selection!$E:$F,2,false)),IFERROR(VLOOKUP(SUBSTITUTE($I962,"-","",1),$K963:$Q1119,7,false),VLOOKUP($K962,$K963:$Q1119,7,false))))</f>
        <v/>
      </c>
      <c r="R962" s="34" t="str">
        <f t="shared" si="2"/>
        <v/>
      </c>
      <c r="S962" s="37" t="str">
        <f t="shared" si="3"/>
        <v/>
      </c>
      <c r="T962" s="38" t="str">
        <f t="shared" si="4"/>
        <v/>
      </c>
      <c r="U962" s="28" t="str">
        <f t="shared" si="5"/>
        <v/>
      </c>
      <c r="V962" s="39" t="str">
        <f>IFERROR(__xludf.DUMMYFUNCTION(" IF(Account!$F962&lt;&gt;"""", SPLIT(Account!$F962, "" ""), """")"),"")</f>
        <v/>
      </c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</row>
    <row r="963">
      <c r="A963" s="341"/>
      <c r="B963" s="341"/>
      <c r="C963" s="341"/>
      <c r="D963" s="341"/>
      <c r="E963" s="341"/>
      <c r="F963" s="373"/>
      <c r="G963" s="341"/>
      <c r="H963" s="341"/>
      <c r="I963" s="341"/>
      <c r="J963" s="341"/>
      <c r="K963" s="341"/>
      <c r="L963" s="26" t="str">
        <f t="shared" si="1"/>
        <v/>
      </c>
      <c r="M963" s="28" t="str">
        <f>IFERROR(__xludf.DUMMYFUNCTION("IF(Account!$F963&lt;&gt;"""", VALUE(REGEXREPLACE($I963, ""\,"", ""."")), """")"),"")</f>
        <v/>
      </c>
      <c r="N963" s="31" t="str">
        <f>IF(Account!$F963&lt;&gt;"", DATEVALUE(MID($A963,4,3) &amp; LEFT($A963,3) &amp; RIGHT($A963,4)) + TIMEVALUE($B963), "")</f>
        <v/>
      </c>
      <c r="O963" s="33" t="str">
        <f>IF(Account!$F963&lt;&gt;"", DATEVALUE(MID($A963,4,3) &amp; LEFT($A963,3) &amp; RIGHT($A963,4)), "")</f>
        <v/>
      </c>
      <c r="P963" s="34" t="str">
        <f>IFERROR(VLOOKUP($Q963,Selection!$F:$G,2,false))</f>
        <v/>
      </c>
      <c r="Q963" s="36" t="str">
        <f>IF(AND($X963="change",$H963="EUR"),IF(AND($Z963="Crédit",$N963=$N964),$Q964,IF(AND($Z963="Débit",$N963=$N962),$Q962)),IF(OR(AND(OR($E963&lt;&gt;"",$L963=""),$M963&lt;&gt;0),$A963=""),IFERROR(VLOOKUP($E963,Selection!$E:$F,2,false)),IFERROR(VLOOKUP(SUBSTITUTE($I963,"-","",1),$K964:$Q1119,7,false),VLOOKUP($K963,$K964:$Q1119,7,false))))</f>
        <v/>
      </c>
      <c r="R963" s="34" t="str">
        <f t="shared" si="2"/>
        <v/>
      </c>
      <c r="S963" s="37" t="str">
        <f t="shared" si="3"/>
        <v/>
      </c>
      <c r="T963" s="38" t="str">
        <f t="shared" si="4"/>
        <v/>
      </c>
      <c r="U963" s="28" t="str">
        <f t="shared" si="5"/>
        <v/>
      </c>
      <c r="V963" s="39" t="str">
        <f>IFERROR(__xludf.DUMMYFUNCTION(" IF(Account!$F963&lt;&gt;"""", SPLIT(Account!$F963, "" ""), """")"),"")</f>
        <v/>
      </c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</row>
    <row r="964">
      <c r="A964" s="341"/>
      <c r="B964" s="341"/>
      <c r="C964" s="341"/>
      <c r="D964" s="341"/>
      <c r="E964" s="341"/>
      <c r="F964" s="373"/>
      <c r="G964" s="341"/>
      <c r="H964" s="341"/>
      <c r="I964" s="341"/>
      <c r="J964" s="341"/>
      <c r="K964" s="341"/>
      <c r="L964" s="26" t="str">
        <f t="shared" si="1"/>
        <v/>
      </c>
      <c r="M964" s="28" t="str">
        <f>IFERROR(__xludf.DUMMYFUNCTION("IF(Account!$F964&lt;&gt;"""", VALUE(REGEXREPLACE($I964, ""\,"", ""."")), """")"),"")</f>
        <v/>
      </c>
      <c r="N964" s="31" t="str">
        <f>IF(Account!$F964&lt;&gt;"", DATEVALUE(MID($A964,4,3) &amp; LEFT($A964,3) &amp; RIGHT($A964,4)) + TIMEVALUE($B964), "")</f>
        <v/>
      </c>
      <c r="O964" s="33" t="str">
        <f>IF(Account!$F964&lt;&gt;"", DATEVALUE(MID($A964,4,3) &amp; LEFT($A964,3) &amp; RIGHT($A964,4)), "")</f>
        <v/>
      </c>
      <c r="P964" s="34" t="str">
        <f>IFERROR(VLOOKUP($Q964,Selection!$F:$G,2,false))</f>
        <v/>
      </c>
      <c r="Q964" s="36" t="str">
        <f>IF(AND($X964="change",$H964="EUR"),IF(AND($Z964="Crédit",$N964=$N965),$Q965,IF(AND($Z964="Débit",$N964=$N963),$Q963)),IF(OR(AND(OR($E964&lt;&gt;"",$L964=""),$M964&lt;&gt;0),$A964=""),IFERROR(VLOOKUP($E964,Selection!$E:$F,2,false)),IFERROR(VLOOKUP(SUBSTITUTE($I964,"-","",1),$K965:$Q1119,7,false),VLOOKUP($K964,$K965:$Q1119,7,false))))</f>
        <v/>
      </c>
      <c r="R964" s="34" t="str">
        <f t="shared" si="2"/>
        <v/>
      </c>
      <c r="S964" s="37" t="str">
        <f t="shared" si="3"/>
        <v/>
      </c>
      <c r="T964" s="38" t="str">
        <f t="shared" si="4"/>
        <v/>
      </c>
      <c r="U964" s="28" t="str">
        <f t="shared" si="5"/>
        <v/>
      </c>
      <c r="V964" s="39" t="str">
        <f>IFERROR(__xludf.DUMMYFUNCTION(" IF(Account!$F964&lt;&gt;"""", SPLIT(Account!$F964, "" ""), """")"),"")</f>
        <v/>
      </c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</row>
    <row r="965">
      <c r="A965" s="341"/>
      <c r="B965" s="341"/>
      <c r="C965" s="341"/>
      <c r="D965" s="341"/>
      <c r="E965" s="341"/>
      <c r="F965" s="373"/>
      <c r="G965" s="341"/>
      <c r="H965" s="341"/>
      <c r="I965" s="341"/>
      <c r="J965" s="341"/>
      <c r="K965" s="341"/>
      <c r="L965" s="26" t="str">
        <f t="shared" si="1"/>
        <v/>
      </c>
      <c r="M965" s="28" t="str">
        <f>IFERROR(__xludf.DUMMYFUNCTION("IF(Account!$F965&lt;&gt;"""", VALUE(REGEXREPLACE($I965, ""\,"", ""."")), """")"),"")</f>
        <v/>
      </c>
      <c r="N965" s="31" t="str">
        <f>IF(Account!$F965&lt;&gt;"", DATEVALUE(MID($A965,4,3) &amp; LEFT($A965,3) &amp; RIGHT($A965,4)) + TIMEVALUE($B965), "")</f>
        <v/>
      </c>
      <c r="O965" s="33" t="str">
        <f>IF(Account!$F965&lt;&gt;"", DATEVALUE(MID($A965,4,3) &amp; LEFT($A965,3) &amp; RIGHT($A965,4)), "")</f>
        <v/>
      </c>
      <c r="P965" s="34" t="str">
        <f>IFERROR(VLOOKUP($Q965,Selection!$F:$G,2,false))</f>
        <v/>
      </c>
      <c r="Q965" s="36" t="str">
        <f>IF(AND($X965="change",$H965="EUR"),IF(AND($Z965="Crédit",$N965=$N966),$Q966,IF(AND($Z965="Débit",$N965=$N964),$Q964)),IF(OR(AND(OR($E965&lt;&gt;"",$L965=""),$M965&lt;&gt;0),$A965=""),IFERROR(VLOOKUP($E965,Selection!$E:$F,2,false)),IFERROR(VLOOKUP(SUBSTITUTE($I965,"-","",1),$K966:$Q1119,7,false),VLOOKUP($K965,$K966:$Q1119,7,false))))</f>
        <v/>
      </c>
      <c r="R965" s="34" t="str">
        <f t="shared" si="2"/>
        <v/>
      </c>
      <c r="S965" s="37" t="str">
        <f t="shared" si="3"/>
        <v/>
      </c>
      <c r="T965" s="38" t="str">
        <f t="shared" si="4"/>
        <v/>
      </c>
      <c r="U965" s="28" t="str">
        <f t="shared" si="5"/>
        <v/>
      </c>
      <c r="V965" s="39" t="str">
        <f>IFERROR(__xludf.DUMMYFUNCTION(" IF(Account!$F965&lt;&gt;"""", SPLIT(Account!$F965, "" ""), """")"),"")</f>
        <v/>
      </c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</row>
    <row r="966">
      <c r="A966" s="341"/>
      <c r="B966" s="341"/>
      <c r="C966" s="341"/>
      <c r="D966" s="341"/>
      <c r="E966" s="341"/>
      <c r="F966" s="373"/>
      <c r="G966" s="341"/>
      <c r="H966" s="341"/>
      <c r="I966" s="341"/>
      <c r="J966" s="341"/>
      <c r="K966" s="341"/>
      <c r="L966" s="26" t="str">
        <f t="shared" si="1"/>
        <v/>
      </c>
      <c r="M966" s="28" t="str">
        <f>IFERROR(__xludf.DUMMYFUNCTION("IF(Account!$F966&lt;&gt;"""", VALUE(REGEXREPLACE($I966, ""\,"", ""."")), """")"),"")</f>
        <v/>
      </c>
      <c r="N966" s="31" t="str">
        <f>IF(Account!$F966&lt;&gt;"", DATEVALUE(MID($A966,4,3) &amp; LEFT($A966,3) &amp; RIGHT($A966,4)) + TIMEVALUE($B966), "")</f>
        <v/>
      </c>
      <c r="O966" s="33" t="str">
        <f>IF(Account!$F966&lt;&gt;"", DATEVALUE(MID($A966,4,3) &amp; LEFT($A966,3) &amp; RIGHT($A966,4)), "")</f>
        <v/>
      </c>
      <c r="P966" s="34" t="str">
        <f>IFERROR(VLOOKUP($Q966,Selection!$F:$G,2,false))</f>
        <v/>
      </c>
      <c r="Q966" s="36" t="str">
        <f>IF(AND($X966="change",$H966="EUR"),IF(AND($Z966="Crédit",$N966=$N967),$Q967,IF(AND($Z966="Débit",$N966=$N965),$Q965)),IF(OR(AND(OR($E966&lt;&gt;"",$L966=""),$M966&lt;&gt;0),$A966=""),IFERROR(VLOOKUP($E966,Selection!$E:$F,2,false)),IFERROR(VLOOKUP(SUBSTITUTE($I966,"-","",1),$K967:$Q1119,7,false),VLOOKUP($K966,$K967:$Q1119,7,false))))</f>
        <v/>
      </c>
      <c r="R966" s="34" t="str">
        <f t="shared" si="2"/>
        <v/>
      </c>
      <c r="S966" s="37" t="str">
        <f t="shared" si="3"/>
        <v/>
      </c>
      <c r="T966" s="38" t="str">
        <f t="shared" si="4"/>
        <v/>
      </c>
      <c r="U966" s="28" t="str">
        <f t="shared" si="5"/>
        <v/>
      </c>
      <c r="V966" s="39" t="str">
        <f>IFERROR(__xludf.DUMMYFUNCTION(" IF(Account!$F966&lt;&gt;"""", SPLIT(Account!$F966, "" ""), """")"),"")</f>
        <v/>
      </c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</row>
    <row r="967">
      <c r="A967" s="341"/>
      <c r="B967" s="341"/>
      <c r="C967" s="341"/>
      <c r="D967" s="341"/>
      <c r="E967" s="341"/>
      <c r="F967" s="373"/>
      <c r="G967" s="341"/>
      <c r="H967" s="341"/>
      <c r="I967" s="341"/>
      <c r="J967" s="341"/>
      <c r="K967" s="341"/>
      <c r="L967" s="26" t="str">
        <f t="shared" si="1"/>
        <v/>
      </c>
      <c r="M967" s="28" t="str">
        <f>IFERROR(__xludf.DUMMYFUNCTION("IF(Account!$F967&lt;&gt;"""", VALUE(REGEXREPLACE($I967, ""\,"", ""."")), """")"),"")</f>
        <v/>
      </c>
      <c r="N967" s="31" t="str">
        <f>IF(Account!$F967&lt;&gt;"", DATEVALUE(MID($A967,4,3) &amp; LEFT($A967,3) &amp; RIGHT($A967,4)) + TIMEVALUE($B967), "")</f>
        <v/>
      </c>
      <c r="O967" s="33" t="str">
        <f>IF(Account!$F967&lt;&gt;"", DATEVALUE(MID($A967,4,3) &amp; LEFT($A967,3) &amp; RIGHT($A967,4)), "")</f>
        <v/>
      </c>
      <c r="P967" s="34" t="str">
        <f>IFERROR(VLOOKUP($Q967,Selection!$F:$G,2,false))</f>
        <v/>
      </c>
      <c r="Q967" s="36" t="str">
        <f>IF(AND($X967="change",$H967="EUR"),IF(AND($Z967="Crédit",$N967=$N968),$Q968,IF(AND($Z967="Débit",$N967=$N966),$Q966)),IF(OR(AND(OR($E967&lt;&gt;"",$L967=""),$M967&lt;&gt;0),$A967=""),IFERROR(VLOOKUP($E967,Selection!$E:$F,2,false)),IFERROR(VLOOKUP(SUBSTITUTE($I967,"-","",1),$K968:$Q1119,7,false),VLOOKUP($K967,$K968:$Q1119,7,false))))</f>
        <v/>
      </c>
      <c r="R967" s="34" t="str">
        <f t="shared" si="2"/>
        <v/>
      </c>
      <c r="S967" s="37" t="str">
        <f t="shared" si="3"/>
        <v/>
      </c>
      <c r="T967" s="38" t="str">
        <f t="shared" si="4"/>
        <v/>
      </c>
      <c r="U967" s="28" t="str">
        <f t="shared" si="5"/>
        <v/>
      </c>
      <c r="V967" s="39" t="str">
        <f>IFERROR(__xludf.DUMMYFUNCTION(" IF(Account!$F967&lt;&gt;"""", SPLIT(Account!$F967, "" ""), """")"),"")</f>
        <v/>
      </c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</row>
    <row r="968">
      <c r="A968" s="341"/>
      <c r="B968" s="341"/>
      <c r="C968" s="341"/>
      <c r="D968" s="341"/>
      <c r="E968" s="341"/>
      <c r="F968" s="373"/>
      <c r="G968" s="341"/>
      <c r="H968" s="341"/>
      <c r="I968" s="341"/>
      <c r="J968" s="341"/>
      <c r="K968" s="341"/>
      <c r="L968" s="26" t="str">
        <f t="shared" si="1"/>
        <v/>
      </c>
      <c r="M968" s="28" t="str">
        <f>IFERROR(__xludf.DUMMYFUNCTION("IF(Account!$F968&lt;&gt;"""", VALUE(REGEXREPLACE($I968, ""\,"", ""."")), """")"),"")</f>
        <v/>
      </c>
      <c r="N968" s="31" t="str">
        <f>IF(Account!$F968&lt;&gt;"", DATEVALUE(MID($A968,4,3) &amp; LEFT($A968,3) &amp; RIGHT($A968,4)) + TIMEVALUE($B968), "")</f>
        <v/>
      </c>
      <c r="O968" s="33" t="str">
        <f>IF(Account!$F968&lt;&gt;"", DATEVALUE(MID($A968,4,3) &amp; LEFT($A968,3) &amp; RIGHT($A968,4)), "")</f>
        <v/>
      </c>
      <c r="P968" s="34" t="str">
        <f>IFERROR(VLOOKUP($Q968,Selection!$F:$G,2,false))</f>
        <v/>
      </c>
      <c r="Q968" s="36" t="str">
        <f>IF(AND($X968="change",$H968="EUR"),IF(AND($Z968="Crédit",$N968=$N969),$Q969,IF(AND($Z968="Débit",$N968=$N967),$Q967)),IF(OR(AND(OR($E968&lt;&gt;"",$L968=""),$M968&lt;&gt;0),$A968=""),IFERROR(VLOOKUP($E968,Selection!$E:$F,2,false)),IFERROR(VLOOKUP(SUBSTITUTE($I968,"-","",1),$K969:$Q1119,7,false),VLOOKUP($K968,$K969:$Q1119,7,false))))</f>
        <v/>
      </c>
      <c r="R968" s="34" t="str">
        <f t="shared" si="2"/>
        <v/>
      </c>
      <c r="S968" s="37" t="str">
        <f t="shared" si="3"/>
        <v/>
      </c>
      <c r="T968" s="38" t="str">
        <f t="shared" si="4"/>
        <v/>
      </c>
      <c r="U968" s="28" t="str">
        <f t="shared" si="5"/>
        <v/>
      </c>
      <c r="V968" s="39" t="str">
        <f>IFERROR(__xludf.DUMMYFUNCTION(" IF(Account!$F968&lt;&gt;"""", SPLIT(Account!$F968, "" ""), """")"),"")</f>
        <v/>
      </c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</row>
    <row r="969">
      <c r="A969" s="341"/>
      <c r="B969" s="341"/>
      <c r="C969" s="341"/>
      <c r="D969" s="341"/>
      <c r="E969" s="341"/>
      <c r="F969" s="373"/>
      <c r="G969" s="341"/>
      <c r="H969" s="341"/>
      <c r="I969" s="341"/>
      <c r="J969" s="341"/>
      <c r="K969" s="341"/>
      <c r="L969" s="26" t="str">
        <f t="shared" si="1"/>
        <v/>
      </c>
      <c r="M969" s="28" t="str">
        <f>IFERROR(__xludf.DUMMYFUNCTION("IF(Account!$F969&lt;&gt;"""", VALUE(REGEXREPLACE($I969, ""\,"", ""."")), """")"),"")</f>
        <v/>
      </c>
      <c r="N969" s="31" t="str">
        <f>IF(Account!$F969&lt;&gt;"", DATEVALUE(MID($A969,4,3) &amp; LEFT($A969,3) &amp; RIGHT($A969,4)) + TIMEVALUE($B969), "")</f>
        <v/>
      </c>
      <c r="O969" s="33" t="str">
        <f>IF(Account!$F969&lt;&gt;"", DATEVALUE(MID($A969,4,3) &amp; LEFT($A969,3) &amp; RIGHT($A969,4)), "")</f>
        <v/>
      </c>
      <c r="P969" s="34" t="str">
        <f>IFERROR(VLOOKUP($Q969,Selection!$F:$G,2,false))</f>
        <v/>
      </c>
      <c r="Q969" s="36" t="str">
        <f>IF(AND($X969="change",$H969="EUR"),IF(AND($Z969="Crédit",$N969=$N970),$Q970,IF(AND($Z969="Débit",$N969=$N968),$Q968)),IF(OR(AND(OR($E969&lt;&gt;"",$L969=""),$M969&lt;&gt;0),$A969=""),IFERROR(VLOOKUP($E969,Selection!$E:$F,2,false)),IFERROR(VLOOKUP(SUBSTITUTE($I969,"-","",1),$K970:$Q1119,7,false),VLOOKUP($K969,$K970:$Q1119,7,false))))</f>
        <v/>
      </c>
      <c r="R969" s="34" t="str">
        <f t="shared" si="2"/>
        <v/>
      </c>
      <c r="S969" s="37" t="str">
        <f t="shared" si="3"/>
        <v/>
      </c>
      <c r="T969" s="38" t="str">
        <f t="shared" si="4"/>
        <v/>
      </c>
      <c r="U969" s="28" t="str">
        <f t="shared" si="5"/>
        <v/>
      </c>
      <c r="V969" s="39" t="str">
        <f>IFERROR(__xludf.DUMMYFUNCTION(" IF(Account!$F969&lt;&gt;"""", SPLIT(Account!$F969, "" ""), """")"),"")</f>
        <v/>
      </c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</row>
    <row r="970">
      <c r="A970" s="341"/>
      <c r="B970" s="341"/>
      <c r="C970" s="341"/>
      <c r="D970" s="341"/>
      <c r="E970" s="341"/>
      <c r="F970" s="373"/>
      <c r="G970" s="341"/>
      <c r="H970" s="341"/>
      <c r="I970" s="341"/>
      <c r="J970" s="341"/>
      <c r="K970" s="341"/>
      <c r="L970" s="26" t="str">
        <f t="shared" si="1"/>
        <v/>
      </c>
      <c r="M970" s="28" t="str">
        <f>IFERROR(__xludf.DUMMYFUNCTION("IF(Account!$F970&lt;&gt;"""", VALUE(REGEXREPLACE($I970, ""\,"", ""."")), """")"),"")</f>
        <v/>
      </c>
      <c r="N970" s="31" t="str">
        <f>IF(Account!$F970&lt;&gt;"", DATEVALUE(MID($A970,4,3) &amp; LEFT($A970,3) &amp; RIGHT($A970,4)) + TIMEVALUE($B970), "")</f>
        <v/>
      </c>
      <c r="O970" s="33" t="str">
        <f>IF(Account!$F970&lt;&gt;"", DATEVALUE(MID($A970,4,3) &amp; LEFT($A970,3) &amp; RIGHT($A970,4)), "")</f>
        <v/>
      </c>
      <c r="P970" s="34" t="str">
        <f>IFERROR(VLOOKUP($Q970,Selection!$F:$G,2,false))</f>
        <v/>
      </c>
      <c r="Q970" s="36" t="str">
        <f>IF(AND($X970="change",$H970="EUR"),IF(AND($Z970="Crédit",$N970=$N971),$Q971,IF(AND($Z970="Débit",$N970=$N969),$Q969)),IF(OR(AND(OR($E970&lt;&gt;"",$L970=""),$M970&lt;&gt;0),$A970=""),IFERROR(VLOOKUP($E970,Selection!$E:$F,2,false)),IFERROR(VLOOKUP(SUBSTITUTE($I970,"-","",1),$K971:$Q1119,7,false),VLOOKUP($K970,$K971:$Q1119,7,false))))</f>
        <v/>
      </c>
      <c r="R970" s="34" t="str">
        <f t="shared" si="2"/>
        <v/>
      </c>
      <c r="S970" s="37" t="str">
        <f t="shared" si="3"/>
        <v/>
      </c>
      <c r="T970" s="38" t="str">
        <f t="shared" si="4"/>
        <v/>
      </c>
      <c r="U970" s="28" t="str">
        <f t="shared" si="5"/>
        <v/>
      </c>
      <c r="V970" s="39" t="str">
        <f>IFERROR(__xludf.DUMMYFUNCTION(" IF(Account!$F970&lt;&gt;"""", SPLIT(Account!$F970, "" ""), """")"),"")</f>
        <v/>
      </c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</row>
    <row r="971">
      <c r="A971" s="341"/>
      <c r="B971" s="341"/>
      <c r="C971" s="341"/>
      <c r="D971" s="341"/>
      <c r="E971" s="341"/>
      <c r="F971" s="373"/>
      <c r="G971" s="341"/>
      <c r="H971" s="341"/>
      <c r="I971" s="341"/>
      <c r="J971" s="341"/>
      <c r="K971" s="341"/>
      <c r="L971" s="26" t="str">
        <f t="shared" si="1"/>
        <v/>
      </c>
      <c r="M971" s="28" t="str">
        <f>IFERROR(__xludf.DUMMYFUNCTION("IF(Account!$F971&lt;&gt;"""", VALUE(REGEXREPLACE($I971, ""\,"", ""."")), """")"),"")</f>
        <v/>
      </c>
      <c r="N971" s="31" t="str">
        <f>IF(Account!$F971&lt;&gt;"", DATEVALUE(MID($A971,4,3) &amp; LEFT($A971,3) &amp; RIGHT($A971,4)) + TIMEVALUE($B971), "")</f>
        <v/>
      </c>
      <c r="O971" s="33" t="str">
        <f>IF(Account!$F971&lt;&gt;"", DATEVALUE(MID($A971,4,3) &amp; LEFT($A971,3) &amp; RIGHT($A971,4)), "")</f>
        <v/>
      </c>
      <c r="P971" s="34" t="str">
        <f>IFERROR(VLOOKUP($Q971,Selection!$F:$G,2,false))</f>
        <v/>
      </c>
      <c r="Q971" s="36" t="str">
        <f>IF(AND($X971="change",$H971="EUR"),IF(AND($Z971="Crédit",$N971=$N972),$Q972,IF(AND($Z971="Débit",$N971=$N970),$Q970)),IF(OR(AND(OR($E971&lt;&gt;"",$L971=""),$M971&lt;&gt;0),$A971=""),IFERROR(VLOOKUP($E971,Selection!$E:$F,2,false)),IFERROR(VLOOKUP(SUBSTITUTE($I971,"-","",1),$K972:$Q1119,7,false),VLOOKUP($K971,$K972:$Q1119,7,false))))</f>
        <v/>
      </c>
      <c r="R971" s="34" t="str">
        <f t="shared" si="2"/>
        <v/>
      </c>
      <c r="S971" s="37" t="str">
        <f t="shared" si="3"/>
        <v/>
      </c>
      <c r="T971" s="38" t="str">
        <f t="shared" si="4"/>
        <v/>
      </c>
      <c r="U971" s="28" t="str">
        <f t="shared" si="5"/>
        <v/>
      </c>
      <c r="V971" s="39" t="str">
        <f>IFERROR(__xludf.DUMMYFUNCTION(" IF(Account!$F971&lt;&gt;"""", SPLIT(Account!$F971, "" ""), """")"),"")</f>
        <v/>
      </c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</row>
    <row r="972">
      <c r="A972" s="341"/>
      <c r="B972" s="341"/>
      <c r="C972" s="341"/>
      <c r="D972" s="341"/>
      <c r="E972" s="341"/>
      <c r="F972" s="373"/>
      <c r="G972" s="341"/>
      <c r="H972" s="341"/>
      <c r="I972" s="341"/>
      <c r="J972" s="341"/>
      <c r="K972" s="341"/>
      <c r="L972" s="26" t="str">
        <f t="shared" si="1"/>
        <v/>
      </c>
      <c r="M972" s="28" t="str">
        <f>IFERROR(__xludf.DUMMYFUNCTION("IF(Account!$F972&lt;&gt;"""", VALUE(REGEXREPLACE($I972, ""\,"", ""."")), """")"),"")</f>
        <v/>
      </c>
      <c r="N972" s="31" t="str">
        <f>IF(Account!$F972&lt;&gt;"", DATEVALUE(MID($A972,4,3) &amp; LEFT($A972,3) &amp; RIGHT($A972,4)) + TIMEVALUE($B972), "")</f>
        <v/>
      </c>
      <c r="O972" s="33" t="str">
        <f>IF(Account!$F972&lt;&gt;"", DATEVALUE(MID($A972,4,3) &amp; LEFT($A972,3) &amp; RIGHT($A972,4)), "")</f>
        <v/>
      </c>
      <c r="P972" s="34" t="str">
        <f>IFERROR(VLOOKUP($Q972,Selection!$F:$G,2,false))</f>
        <v/>
      </c>
      <c r="Q972" s="36" t="str">
        <f>IF(AND($X972="change",$H972="EUR"),IF(AND($Z972="Crédit",$N972=$N973),$Q973,IF(AND($Z972="Débit",$N972=$N971),$Q971)),IF(OR(AND(OR($E972&lt;&gt;"",$L972=""),$M972&lt;&gt;0),$A972=""),IFERROR(VLOOKUP($E972,Selection!$E:$F,2,false)),IFERROR(VLOOKUP(SUBSTITUTE($I972,"-","",1),$K973:$Q1119,7,false),VLOOKUP($K972,$K973:$Q1119,7,false))))</f>
        <v/>
      </c>
      <c r="R972" s="34" t="str">
        <f t="shared" si="2"/>
        <v/>
      </c>
      <c r="S972" s="37" t="str">
        <f t="shared" si="3"/>
        <v/>
      </c>
      <c r="T972" s="38" t="str">
        <f t="shared" si="4"/>
        <v/>
      </c>
      <c r="U972" s="28" t="str">
        <f t="shared" si="5"/>
        <v/>
      </c>
      <c r="V972" s="39" t="str">
        <f>IFERROR(__xludf.DUMMYFUNCTION(" IF(Account!$F972&lt;&gt;"""", SPLIT(Account!$F972, "" ""), """")"),"")</f>
        <v/>
      </c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</row>
    <row r="973">
      <c r="A973" s="341"/>
      <c r="B973" s="341"/>
      <c r="C973" s="341"/>
      <c r="D973" s="341"/>
      <c r="E973" s="341"/>
      <c r="F973" s="373"/>
      <c r="G973" s="341"/>
      <c r="H973" s="341"/>
      <c r="I973" s="341"/>
      <c r="J973" s="341"/>
      <c r="K973" s="341"/>
      <c r="L973" s="26" t="str">
        <f t="shared" si="1"/>
        <v/>
      </c>
      <c r="M973" s="28" t="str">
        <f>IFERROR(__xludf.DUMMYFUNCTION("IF(Account!$F973&lt;&gt;"""", VALUE(REGEXREPLACE($I973, ""\,"", ""."")), """")"),"")</f>
        <v/>
      </c>
      <c r="N973" s="31" t="str">
        <f>IF(Account!$F973&lt;&gt;"", DATEVALUE(MID($A973,4,3) &amp; LEFT($A973,3) &amp; RIGHT($A973,4)) + TIMEVALUE($B973), "")</f>
        <v/>
      </c>
      <c r="O973" s="33" t="str">
        <f>IF(Account!$F973&lt;&gt;"", DATEVALUE(MID($A973,4,3) &amp; LEFT($A973,3) &amp; RIGHT($A973,4)), "")</f>
        <v/>
      </c>
      <c r="P973" s="34" t="str">
        <f>IFERROR(VLOOKUP($Q973,Selection!$F:$G,2,false))</f>
        <v/>
      </c>
      <c r="Q973" s="36" t="str">
        <f>IF(AND($X973="change",$H973="EUR"),IF(AND($Z973="Crédit",$N973=$N974),$Q974,IF(AND($Z973="Débit",$N973=$N972),$Q972)),IF(OR(AND(OR($E973&lt;&gt;"",$L973=""),$M973&lt;&gt;0),$A973=""),IFERROR(VLOOKUP($E973,Selection!$E:$F,2,false)),IFERROR(VLOOKUP(SUBSTITUTE($I973,"-","",1),$K974:$Q1119,7,false),VLOOKUP($K973,$K974:$Q1119,7,false))))</f>
        <v/>
      </c>
      <c r="R973" s="34" t="str">
        <f t="shared" si="2"/>
        <v/>
      </c>
      <c r="S973" s="37" t="str">
        <f t="shared" si="3"/>
        <v/>
      </c>
      <c r="T973" s="38" t="str">
        <f t="shared" si="4"/>
        <v/>
      </c>
      <c r="U973" s="28" t="str">
        <f t="shared" si="5"/>
        <v/>
      </c>
      <c r="V973" s="39" t="str">
        <f>IFERROR(__xludf.DUMMYFUNCTION(" IF(Account!$F973&lt;&gt;"""", SPLIT(Account!$F973, "" ""), """")"),"")</f>
        <v/>
      </c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</row>
    <row r="974">
      <c r="A974" s="341"/>
      <c r="B974" s="341"/>
      <c r="C974" s="341"/>
      <c r="D974" s="341"/>
      <c r="E974" s="341"/>
      <c r="F974" s="373"/>
      <c r="G974" s="341"/>
      <c r="H974" s="341"/>
      <c r="I974" s="341"/>
      <c r="J974" s="341"/>
      <c r="K974" s="341"/>
      <c r="L974" s="26" t="str">
        <f t="shared" si="1"/>
        <v/>
      </c>
      <c r="M974" s="28" t="str">
        <f>IFERROR(__xludf.DUMMYFUNCTION("IF(Account!$F974&lt;&gt;"""", VALUE(REGEXREPLACE($I974, ""\,"", ""."")), """")"),"")</f>
        <v/>
      </c>
      <c r="N974" s="31" t="str">
        <f>IF(Account!$F974&lt;&gt;"", DATEVALUE(MID($A974,4,3) &amp; LEFT($A974,3) &amp; RIGHT($A974,4)) + TIMEVALUE($B974), "")</f>
        <v/>
      </c>
      <c r="O974" s="33" t="str">
        <f>IF(Account!$F974&lt;&gt;"", DATEVALUE(MID($A974,4,3) &amp; LEFT($A974,3) &amp; RIGHT($A974,4)), "")</f>
        <v/>
      </c>
      <c r="P974" s="34" t="str">
        <f>IFERROR(VLOOKUP($Q974,Selection!$F:$G,2,false))</f>
        <v/>
      </c>
      <c r="Q974" s="36" t="str">
        <f>IF(AND($X974="change",$H974="EUR"),IF(AND($Z974="Crédit",$N974=$N975),$Q975,IF(AND($Z974="Débit",$N974=$N973),$Q973)),IF(OR(AND(OR($E974&lt;&gt;"",$L974=""),$M974&lt;&gt;0),$A974=""),IFERROR(VLOOKUP($E974,Selection!$E:$F,2,false)),IFERROR(VLOOKUP(SUBSTITUTE($I974,"-","",1),$K975:$Q1119,7,false),VLOOKUP($K974,$K975:$Q1119,7,false))))</f>
        <v/>
      </c>
      <c r="R974" s="34" t="str">
        <f t="shared" si="2"/>
        <v/>
      </c>
      <c r="S974" s="37" t="str">
        <f t="shared" si="3"/>
        <v/>
      </c>
      <c r="T974" s="38" t="str">
        <f t="shared" si="4"/>
        <v/>
      </c>
      <c r="U974" s="28" t="str">
        <f t="shared" si="5"/>
        <v/>
      </c>
      <c r="V974" s="39" t="str">
        <f>IFERROR(__xludf.DUMMYFUNCTION(" IF(Account!$F974&lt;&gt;"""", SPLIT(Account!$F974, "" ""), """")"),"")</f>
        <v/>
      </c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</row>
    <row r="975">
      <c r="A975" s="341"/>
      <c r="B975" s="341"/>
      <c r="C975" s="341"/>
      <c r="D975" s="341"/>
      <c r="E975" s="341"/>
      <c r="F975" s="373"/>
      <c r="G975" s="341"/>
      <c r="H975" s="341"/>
      <c r="I975" s="341"/>
      <c r="J975" s="341"/>
      <c r="K975" s="341"/>
      <c r="L975" s="26" t="str">
        <f t="shared" si="1"/>
        <v/>
      </c>
      <c r="M975" s="28" t="str">
        <f>IFERROR(__xludf.DUMMYFUNCTION("IF(Account!$F975&lt;&gt;"""", VALUE(REGEXREPLACE($I975, ""\,"", ""."")), """")"),"")</f>
        <v/>
      </c>
      <c r="N975" s="31" t="str">
        <f>IF(Account!$F975&lt;&gt;"", DATEVALUE(MID($A975,4,3) &amp; LEFT($A975,3) &amp; RIGHT($A975,4)) + TIMEVALUE($B975), "")</f>
        <v/>
      </c>
      <c r="O975" s="33" t="str">
        <f>IF(Account!$F975&lt;&gt;"", DATEVALUE(MID($A975,4,3) &amp; LEFT($A975,3) &amp; RIGHT($A975,4)), "")</f>
        <v/>
      </c>
      <c r="P975" s="34" t="str">
        <f>IFERROR(VLOOKUP($Q975,Selection!$F:$G,2,false))</f>
        <v/>
      </c>
      <c r="Q975" s="36" t="str">
        <f>IF(AND($X975="change",$H975="EUR"),IF(AND($Z975="Crédit",$N975=$N976),$Q976,IF(AND($Z975="Débit",$N975=$N974),$Q974)),IF(OR(AND(OR($E975&lt;&gt;"",$L975=""),$M975&lt;&gt;0),$A975=""),IFERROR(VLOOKUP($E975,Selection!$E:$F,2,false)),IFERROR(VLOOKUP(SUBSTITUTE($I975,"-","",1),$K976:$Q1119,7,false),VLOOKUP($K975,$K976:$Q1119,7,false))))</f>
        <v/>
      </c>
      <c r="R975" s="34" t="str">
        <f t="shared" si="2"/>
        <v/>
      </c>
      <c r="S975" s="37" t="str">
        <f t="shared" si="3"/>
        <v/>
      </c>
      <c r="T975" s="38" t="str">
        <f t="shared" si="4"/>
        <v/>
      </c>
      <c r="U975" s="28" t="str">
        <f t="shared" si="5"/>
        <v/>
      </c>
      <c r="V975" s="39" t="str">
        <f>IFERROR(__xludf.DUMMYFUNCTION(" IF(Account!$F975&lt;&gt;"""", SPLIT(Account!$F975, "" ""), """")"),"")</f>
        <v/>
      </c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</row>
    <row r="976">
      <c r="A976" s="341"/>
      <c r="B976" s="341"/>
      <c r="C976" s="341"/>
      <c r="D976" s="341"/>
      <c r="E976" s="341"/>
      <c r="F976" s="373"/>
      <c r="G976" s="341"/>
      <c r="H976" s="341"/>
      <c r="I976" s="341"/>
      <c r="J976" s="341"/>
      <c r="K976" s="341"/>
      <c r="L976" s="26" t="str">
        <f t="shared" si="1"/>
        <v/>
      </c>
      <c r="M976" s="28" t="str">
        <f>IFERROR(__xludf.DUMMYFUNCTION("IF(Account!$F976&lt;&gt;"""", VALUE(REGEXREPLACE($I976, ""\,"", ""."")), """")"),"")</f>
        <v/>
      </c>
      <c r="N976" s="31" t="str">
        <f>IF(Account!$F976&lt;&gt;"", DATEVALUE(MID($A976,4,3) &amp; LEFT($A976,3) &amp; RIGHT($A976,4)) + TIMEVALUE($B976), "")</f>
        <v/>
      </c>
      <c r="O976" s="33" t="str">
        <f>IF(Account!$F976&lt;&gt;"", DATEVALUE(MID($A976,4,3) &amp; LEFT($A976,3) &amp; RIGHT($A976,4)), "")</f>
        <v/>
      </c>
      <c r="P976" s="34" t="str">
        <f>IFERROR(VLOOKUP($Q976,Selection!$F:$G,2,false))</f>
        <v/>
      </c>
      <c r="Q976" s="36" t="str">
        <f>IF(AND($X976="change",$H976="EUR"),IF(AND($Z976="Crédit",$N976=$N977),$Q977,IF(AND($Z976="Débit",$N976=$N975),$Q975)),IF(OR(AND(OR($E976&lt;&gt;"",$L976=""),$M976&lt;&gt;0),$A976=""),IFERROR(VLOOKUP($E976,Selection!$E:$F,2,false)),IFERROR(VLOOKUP(SUBSTITUTE($I976,"-","",1),$K977:$Q1119,7,false),VLOOKUP($K976,$K977:$Q1119,7,false))))</f>
        <v/>
      </c>
      <c r="R976" s="34" t="str">
        <f t="shared" si="2"/>
        <v/>
      </c>
      <c r="S976" s="37" t="str">
        <f t="shared" si="3"/>
        <v/>
      </c>
      <c r="T976" s="38" t="str">
        <f t="shared" si="4"/>
        <v/>
      </c>
      <c r="U976" s="28" t="str">
        <f t="shared" si="5"/>
        <v/>
      </c>
      <c r="V976" s="39" t="str">
        <f>IFERROR(__xludf.DUMMYFUNCTION(" IF(Account!$F976&lt;&gt;"""", SPLIT(Account!$F976, "" ""), """")"),"")</f>
        <v/>
      </c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</row>
    <row r="977">
      <c r="A977" s="341"/>
      <c r="B977" s="341"/>
      <c r="C977" s="341"/>
      <c r="D977" s="341"/>
      <c r="E977" s="341"/>
      <c r="F977" s="373"/>
      <c r="G977" s="341"/>
      <c r="H977" s="341"/>
      <c r="I977" s="341"/>
      <c r="J977" s="341"/>
      <c r="K977" s="341"/>
      <c r="L977" s="26" t="str">
        <f t="shared" si="1"/>
        <v/>
      </c>
      <c r="M977" s="28" t="str">
        <f>IFERROR(__xludf.DUMMYFUNCTION("IF(Account!$F977&lt;&gt;"""", VALUE(REGEXREPLACE($I977, ""\,"", ""."")), """")"),"")</f>
        <v/>
      </c>
      <c r="N977" s="31" t="str">
        <f>IF(Account!$F977&lt;&gt;"", DATEVALUE(MID($A977,4,3) &amp; LEFT($A977,3) &amp; RIGHT($A977,4)) + TIMEVALUE($B977), "")</f>
        <v/>
      </c>
      <c r="O977" s="33" t="str">
        <f>IF(Account!$F977&lt;&gt;"", DATEVALUE(MID($A977,4,3) &amp; LEFT($A977,3) &amp; RIGHT($A977,4)), "")</f>
        <v/>
      </c>
      <c r="P977" s="34" t="str">
        <f>IFERROR(VLOOKUP($Q977,Selection!$F:$G,2,false))</f>
        <v/>
      </c>
      <c r="Q977" s="36" t="str">
        <f>IF(AND($X977="change",$H977="EUR"),IF(AND($Z977="Crédit",$N977=$N978),$Q978,IF(AND($Z977="Débit",$N977=$N976),$Q976)),IF(OR(AND(OR($E977&lt;&gt;"",$L977=""),$M977&lt;&gt;0),$A977=""),IFERROR(VLOOKUP($E977,Selection!$E:$F,2,false)),IFERROR(VLOOKUP(SUBSTITUTE($I977,"-","",1),$K978:$Q1119,7,false),VLOOKUP($K977,$K978:$Q1119,7,false))))</f>
        <v/>
      </c>
      <c r="R977" s="34" t="str">
        <f t="shared" si="2"/>
        <v/>
      </c>
      <c r="S977" s="37" t="str">
        <f t="shared" si="3"/>
        <v/>
      </c>
      <c r="T977" s="38" t="str">
        <f t="shared" si="4"/>
        <v/>
      </c>
      <c r="U977" s="28" t="str">
        <f t="shared" si="5"/>
        <v/>
      </c>
      <c r="V977" s="39" t="str">
        <f>IFERROR(__xludf.DUMMYFUNCTION(" IF(Account!$F977&lt;&gt;"""", SPLIT(Account!$F977, "" ""), """")"),"")</f>
        <v/>
      </c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</row>
    <row r="978">
      <c r="A978" s="341"/>
      <c r="B978" s="341"/>
      <c r="C978" s="341"/>
      <c r="D978" s="341"/>
      <c r="E978" s="341"/>
      <c r="F978" s="373"/>
      <c r="G978" s="341"/>
      <c r="H978" s="341"/>
      <c r="I978" s="341"/>
      <c r="J978" s="341"/>
      <c r="K978" s="341"/>
      <c r="L978" s="26" t="str">
        <f t="shared" si="1"/>
        <v/>
      </c>
      <c r="M978" s="28" t="str">
        <f>IFERROR(__xludf.DUMMYFUNCTION("IF(Account!$F978&lt;&gt;"""", VALUE(REGEXREPLACE($I978, ""\,"", ""."")), """")"),"")</f>
        <v/>
      </c>
      <c r="N978" s="31" t="str">
        <f>IF(Account!$F978&lt;&gt;"", DATEVALUE(MID($A978,4,3) &amp; LEFT($A978,3) &amp; RIGHT($A978,4)) + TIMEVALUE($B978), "")</f>
        <v/>
      </c>
      <c r="O978" s="33" t="str">
        <f>IF(Account!$F978&lt;&gt;"", DATEVALUE(MID($A978,4,3) &amp; LEFT($A978,3) &amp; RIGHT($A978,4)), "")</f>
        <v/>
      </c>
      <c r="P978" s="34" t="str">
        <f>IFERROR(VLOOKUP($Q978,Selection!$F:$G,2,false))</f>
        <v/>
      </c>
      <c r="Q978" s="36" t="str">
        <f>IF(AND($X978="change",$H978="EUR"),IF(AND($Z978="Crédit",$N978=$N979),$Q979,IF(AND($Z978="Débit",$N978=$N977),$Q977)),IF(OR(AND(OR($E978&lt;&gt;"",$L978=""),$M978&lt;&gt;0),$A978=""),IFERROR(VLOOKUP($E978,Selection!$E:$F,2,false)),IFERROR(VLOOKUP(SUBSTITUTE($I978,"-","",1),$K979:$Q1119,7,false),VLOOKUP($K978,$K979:$Q1119,7,false))))</f>
        <v/>
      </c>
      <c r="R978" s="34" t="str">
        <f t="shared" si="2"/>
        <v/>
      </c>
      <c r="S978" s="37" t="str">
        <f t="shared" si="3"/>
        <v/>
      </c>
      <c r="T978" s="38" t="str">
        <f t="shared" si="4"/>
        <v/>
      </c>
      <c r="U978" s="28" t="str">
        <f t="shared" si="5"/>
        <v/>
      </c>
      <c r="V978" s="39" t="str">
        <f>IFERROR(__xludf.DUMMYFUNCTION(" IF(Account!$F978&lt;&gt;"""", SPLIT(Account!$F978, "" ""), """")"),"")</f>
        <v/>
      </c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</row>
    <row r="979">
      <c r="A979" s="341"/>
      <c r="B979" s="341"/>
      <c r="C979" s="341"/>
      <c r="D979" s="341"/>
      <c r="E979" s="341"/>
      <c r="F979" s="373"/>
      <c r="G979" s="341"/>
      <c r="H979" s="341"/>
      <c r="I979" s="341"/>
      <c r="J979" s="341"/>
      <c r="K979" s="341"/>
      <c r="L979" s="26" t="str">
        <f t="shared" si="1"/>
        <v/>
      </c>
      <c r="M979" s="28" t="str">
        <f>IFERROR(__xludf.DUMMYFUNCTION("IF(Account!$F979&lt;&gt;"""", VALUE(REGEXREPLACE($I979, ""\,"", ""."")), """")"),"")</f>
        <v/>
      </c>
      <c r="N979" s="31" t="str">
        <f>IF(Account!$F979&lt;&gt;"", DATEVALUE(MID($A979,4,3) &amp; LEFT($A979,3) &amp; RIGHT($A979,4)) + TIMEVALUE($B979), "")</f>
        <v/>
      </c>
      <c r="O979" s="33" t="str">
        <f>IF(Account!$F979&lt;&gt;"", DATEVALUE(MID($A979,4,3) &amp; LEFT($A979,3) &amp; RIGHT($A979,4)), "")</f>
        <v/>
      </c>
      <c r="P979" s="34" t="str">
        <f>IFERROR(VLOOKUP($Q979,Selection!$F:$G,2,false))</f>
        <v/>
      </c>
      <c r="Q979" s="36" t="str">
        <f>IF(AND($X979="change",$H979="EUR"),IF(AND($Z979="Crédit",$N979=$N980),$Q980,IF(AND($Z979="Débit",$N979=$N978),$Q978)),IF(OR(AND(OR($E979&lt;&gt;"",$L979=""),$M979&lt;&gt;0),$A979=""),IFERROR(VLOOKUP($E979,Selection!$E:$F,2,false)),IFERROR(VLOOKUP(SUBSTITUTE($I979,"-","",1),$K980:$Q1119,7,false),VLOOKUP($K979,$K980:$Q1119,7,false))))</f>
        <v/>
      </c>
      <c r="R979" s="34" t="str">
        <f t="shared" si="2"/>
        <v/>
      </c>
      <c r="S979" s="37" t="str">
        <f t="shared" si="3"/>
        <v/>
      </c>
      <c r="T979" s="38" t="str">
        <f t="shared" si="4"/>
        <v/>
      </c>
      <c r="U979" s="28" t="str">
        <f t="shared" si="5"/>
        <v/>
      </c>
      <c r="V979" s="39" t="str">
        <f>IFERROR(__xludf.DUMMYFUNCTION(" IF(Account!$F979&lt;&gt;"""", SPLIT(Account!$F979, "" ""), """")"),"")</f>
        <v/>
      </c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</row>
    <row r="980">
      <c r="A980" s="341"/>
      <c r="B980" s="341"/>
      <c r="C980" s="341"/>
      <c r="D980" s="341"/>
      <c r="E980" s="341"/>
      <c r="F980" s="373"/>
      <c r="G980" s="341"/>
      <c r="H980" s="341"/>
      <c r="I980" s="341"/>
      <c r="J980" s="341"/>
      <c r="K980" s="341"/>
      <c r="L980" s="26" t="str">
        <f t="shared" si="1"/>
        <v/>
      </c>
      <c r="M980" s="28" t="str">
        <f>IFERROR(__xludf.DUMMYFUNCTION("IF(Account!$F980&lt;&gt;"""", VALUE(REGEXREPLACE($I980, ""\,"", ""."")), """")"),"")</f>
        <v/>
      </c>
      <c r="N980" s="31" t="str">
        <f>IF(Account!$F980&lt;&gt;"", DATEVALUE(MID($A980,4,3) &amp; LEFT($A980,3) &amp; RIGHT($A980,4)) + TIMEVALUE($B980), "")</f>
        <v/>
      </c>
      <c r="O980" s="33" t="str">
        <f>IF(Account!$F980&lt;&gt;"", DATEVALUE(MID($A980,4,3) &amp; LEFT($A980,3) &amp; RIGHT($A980,4)), "")</f>
        <v/>
      </c>
      <c r="P980" s="34" t="str">
        <f>IFERROR(VLOOKUP($Q980,Selection!$F:$G,2,false))</f>
        <v/>
      </c>
      <c r="Q980" s="36" t="str">
        <f>IF(AND($X980="change",$H980="EUR"),IF(AND($Z980="Crédit",$N980=$N981),$Q981,IF(AND($Z980="Débit",$N980=$N979),$Q979)),IF(OR(AND(OR($E980&lt;&gt;"",$L980=""),$M980&lt;&gt;0),$A980=""),IFERROR(VLOOKUP($E980,Selection!$E:$F,2,false)),IFERROR(VLOOKUP(SUBSTITUTE($I980,"-","",1),$K981:$Q1119,7,false),VLOOKUP($K980,$K981:$Q1119,7,false))))</f>
        <v/>
      </c>
      <c r="R980" s="34" t="str">
        <f t="shared" si="2"/>
        <v/>
      </c>
      <c r="S980" s="37" t="str">
        <f t="shared" si="3"/>
        <v/>
      </c>
      <c r="T980" s="38" t="str">
        <f t="shared" si="4"/>
        <v/>
      </c>
      <c r="U980" s="28" t="str">
        <f t="shared" si="5"/>
        <v/>
      </c>
      <c r="V980" s="39" t="str">
        <f>IFERROR(__xludf.DUMMYFUNCTION(" IF(Account!$F980&lt;&gt;"""", SPLIT(Account!$F980, "" ""), """")"),"")</f>
        <v/>
      </c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</row>
    <row r="981">
      <c r="A981" s="341"/>
      <c r="B981" s="341"/>
      <c r="C981" s="341"/>
      <c r="D981" s="341"/>
      <c r="E981" s="341"/>
      <c r="F981" s="373"/>
      <c r="G981" s="341"/>
      <c r="H981" s="341"/>
      <c r="I981" s="341"/>
      <c r="J981" s="341"/>
      <c r="K981" s="341"/>
      <c r="L981" s="26" t="str">
        <f t="shared" si="1"/>
        <v/>
      </c>
      <c r="M981" s="28" t="str">
        <f>IFERROR(__xludf.DUMMYFUNCTION("IF(Account!$F981&lt;&gt;"""", VALUE(REGEXREPLACE($I981, ""\,"", ""."")), """")"),"")</f>
        <v/>
      </c>
      <c r="N981" s="31" t="str">
        <f>IF(Account!$F981&lt;&gt;"", DATEVALUE(MID($A981,4,3) &amp; LEFT($A981,3) &amp; RIGHT($A981,4)) + TIMEVALUE($B981), "")</f>
        <v/>
      </c>
      <c r="O981" s="33" t="str">
        <f>IF(Account!$F981&lt;&gt;"", DATEVALUE(MID($A981,4,3) &amp; LEFT($A981,3) &amp; RIGHT($A981,4)), "")</f>
        <v/>
      </c>
      <c r="P981" s="34" t="str">
        <f>IFERROR(VLOOKUP($Q981,Selection!$F:$G,2,false))</f>
        <v/>
      </c>
      <c r="Q981" s="36" t="str">
        <f>IF(AND($X981="change",$H981="EUR"),IF(AND($Z981="Crédit",$N981=$N982),$Q982,IF(AND($Z981="Débit",$N981=$N980),$Q980)),IF(OR(AND(OR($E981&lt;&gt;"",$L981=""),$M981&lt;&gt;0),$A981=""),IFERROR(VLOOKUP($E981,Selection!$E:$F,2,false)),IFERROR(VLOOKUP(SUBSTITUTE($I981,"-","",1),$K982:$Q1119,7,false),VLOOKUP($K981,$K982:$Q1119,7,false))))</f>
        <v/>
      </c>
      <c r="R981" s="34" t="str">
        <f t="shared" si="2"/>
        <v/>
      </c>
      <c r="S981" s="37" t="str">
        <f t="shared" si="3"/>
        <v/>
      </c>
      <c r="T981" s="38" t="str">
        <f t="shared" si="4"/>
        <v/>
      </c>
      <c r="U981" s="28" t="str">
        <f t="shared" si="5"/>
        <v/>
      </c>
      <c r="V981" s="39" t="str">
        <f>IFERROR(__xludf.DUMMYFUNCTION(" IF(Account!$F981&lt;&gt;"""", SPLIT(Account!$F981, "" ""), """")"),"")</f>
        <v/>
      </c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</row>
    <row r="982">
      <c r="A982" s="341"/>
      <c r="B982" s="341"/>
      <c r="C982" s="341"/>
      <c r="D982" s="341"/>
      <c r="E982" s="341"/>
      <c r="F982" s="373"/>
      <c r="G982" s="341"/>
      <c r="H982" s="341"/>
      <c r="I982" s="341"/>
      <c r="J982" s="341"/>
      <c r="K982" s="341"/>
      <c r="L982" s="26" t="str">
        <f t="shared" si="1"/>
        <v/>
      </c>
      <c r="M982" s="28" t="str">
        <f>IFERROR(__xludf.DUMMYFUNCTION("IF(Account!$F982&lt;&gt;"""", VALUE(REGEXREPLACE($I982, ""\,"", ""."")), """")"),"")</f>
        <v/>
      </c>
      <c r="N982" s="31" t="str">
        <f>IF(Account!$F982&lt;&gt;"", DATEVALUE(MID($A982,4,3) &amp; LEFT($A982,3) &amp; RIGHT($A982,4)) + TIMEVALUE($B982), "")</f>
        <v/>
      </c>
      <c r="O982" s="33" t="str">
        <f>IF(Account!$F982&lt;&gt;"", DATEVALUE(MID($A982,4,3) &amp; LEFT($A982,3) &amp; RIGHT($A982,4)), "")</f>
        <v/>
      </c>
      <c r="P982" s="34" t="str">
        <f>IFERROR(VLOOKUP($Q982,Selection!$F:$G,2,false))</f>
        <v/>
      </c>
      <c r="Q982" s="36" t="str">
        <f>IF(AND($X982="change",$H982="EUR"),IF(AND($Z982="Crédit",$N982=$N983),$Q983,IF(AND($Z982="Débit",$N982=$N981),$Q981)),IF(OR(AND(OR($E982&lt;&gt;"",$L982=""),$M982&lt;&gt;0),$A982=""),IFERROR(VLOOKUP($E982,Selection!$E:$F,2,false)),IFERROR(VLOOKUP(SUBSTITUTE($I982,"-","",1),$K983:$Q1119,7,false),VLOOKUP($K982,$K983:$Q1119,7,false))))</f>
        <v/>
      </c>
      <c r="R982" s="34" t="str">
        <f t="shared" si="2"/>
        <v/>
      </c>
      <c r="S982" s="37" t="str">
        <f t="shared" si="3"/>
        <v/>
      </c>
      <c r="T982" s="38" t="str">
        <f t="shared" si="4"/>
        <v/>
      </c>
      <c r="U982" s="28" t="str">
        <f t="shared" si="5"/>
        <v/>
      </c>
      <c r="V982" s="39" t="str">
        <f>IFERROR(__xludf.DUMMYFUNCTION(" IF(Account!$F982&lt;&gt;"""", SPLIT(Account!$F982, "" ""), """")"),"")</f>
        <v/>
      </c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</row>
    <row r="983">
      <c r="A983" s="341"/>
      <c r="B983" s="341"/>
      <c r="C983" s="341"/>
      <c r="D983" s="341"/>
      <c r="E983" s="341"/>
      <c r="F983" s="373"/>
      <c r="G983" s="341"/>
      <c r="H983" s="341"/>
      <c r="I983" s="341"/>
      <c r="J983" s="341"/>
      <c r="K983" s="341"/>
      <c r="L983" s="26" t="str">
        <f t="shared" si="1"/>
        <v/>
      </c>
      <c r="M983" s="28" t="str">
        <f>IFERROR(__xludf.DUMMYFUNCTION("IF(Account!$F983&lt;&gt;"""", VALUE(REGEXREPLACE($I983, ""\,"", ""."")), """")"),"")</f>
        <v/>
      </c>
      <c r="N983" s="31" t="str">
        <f>IF(Account!$F983&lt;&gt;"", DATEVALUE(MID($A983,4,3) &amp; LEFT($A983,3) &amp; RIGHT($A983,4)) + TIMEVALUE($B983), "")</f>
        <v/>
      </c>
      <c r="O983" s="33" t="str">
        <f>IF(Account!$F983&lt;&gt;"", DATEVALUE(MID($A983,4,3) &amp; LEFT($A983,3) &amp; RIGHT($A983,4)), "")</f>
        <v/>
      </c>
      <c r="P983" s="34" t="str">
        <f>IFERROR(VLOOKUP($Q983,Selection!$F:$G,2,false))</f>
        <v/>
      </c>
      <c r="Q983" s="36" t="str">
        <f>IF(AND($X983="change",$H983="EUR"),IF(AND($Z983="Crédit",$N983=$N984),$Q984,IF(AND($Z983="Débit",$N983=$N982),$Q982)),IF(OR(AND(OR($E983&lt;&gt;"",$L983=""),$M983&lt;&gt;0),$A983=""),IFERROR(VLOOKUP($E983,Selection!$E:$F,2,false)),IFERROR(VLOOKUP(SUBSTITUTE($I983,"-","",1),$K984:$Q1119,7,false),VLOOKUP($K983,$K984:$Q1119,7,false))))</f>
        <v/>
      </c>
      <c r="R983" s="34" t="str">
        <f t="shared" si="2"/>
        <v/>
      </c>
      <c r="S983" s="37" t="str">
        <f t="shared" si="3"/>
        <v/>
      </c>
      <c r="T983" s="38" t="str">
        <f t="shared" si="4"/>
        <v/>
      </c>
      <c r="U983" s="28" t="str">
        <f t="shared" si="5"/>
        <v/>
      </c>
      <c r="V983" s="39" t="str">
        <f>IFERROR(__xludf.DUMMYFUNCTION(" IF(Account!$F983&lt;&gt;"""", SPLIT(Account!$F983, "" ""), """")"),"")</f>
        <v/>
      </c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</row>
    <row r="984">
      <c r="A984" s="341"/>
      <c r="B984" s="341"/>
      <c r="C984" s="341"/>
      <c r="D984" s="341"/>
      <c r="E984" s="341"/>
      <c r="F984" s="373"/>
      <c r="G984" s="341"/>
      <c r="H984" s="341"/>
      <c r="I984" s="341"/>
      <c r="J984" s="341"/>
      <c r="K984" s="341"/>
      <c r="L984" s="26" t="str">
        <f t="shared" si="1"/>
        <v/>
      </c>
      <c r="M984" s="28" t="str">
        <f>IFERROR(__xludf.DUMMYFUNCTION("IF(Account!$F984&lt;&gt;"""", VALUE(REGEXREPLACE($I984, ""\,"", ""."")), """")"),"")</f>
        <v/>
      </c>
      <c r="N984" s="31" t="str">
        <f>IF(Account!$F984&lt;&gt;"", DATEVALUE(MID($A984,4,3) &amp; LEFT($A984,3) &amp; RIGHT($A984,4)) + TIMEVALUE($B984), "")</f>
        <v/>
      </c>
      <c r="O984" s="33" t="str">
        <f>IF(Account!$F984&lt;&gt;"", DATEVALUE(MID($A984,4,3) &amp; LEFT($A984,3) &amp; RIGHT($A984,4)), "")</f>
        <v/>
      </c>
      <c r="P984" s="34" t="str">
        <f>IFERROR(VLOOKUP($Q984,Selection!$F:$G,2,false))</f>
        <v/>
      </c>
      <c r="Q984" s="36" t="str">
        <f>IF(AND($X984="change",$H984="EUR"),IF(AND($Z984="Crédit",$N984=$N985),$Q985,IF(AND($Z984="Débit",$N984=$N983),$Q983)),IF(OR(AND(OR($E984&lt;&gt;"",$L984=""),$M984&lt;&gt;0),$A984=""),IFERROR(VLOOKUP($E984,Selection!$E:$F,2,false)),IFERROR(VLOOKUP(SUBSTITUTE($I984,"-","",1),$K985:$Q1119,7,false),VLOOKUP($K984,$K985:$Q1119,7,false))))</f>
        <v/>
      </c>
      <c r="R984" s="34" t="str">
        <f t="shared" si="2"/>
        <v/>
      </c>
      <c r="S984" s="37" t="str">
        <f t="shared" si="3"/>
        <v/>
      </c>
      <c r="T984" s="38" t="str">
        <f t="shared" si="4"/>
        <v/>
      </c>
      <c r="U984" s="28" t="str">
        <f t="shared" si="5"/>
        <v/>
      </c>
      <c r="V984" s="39" t="str">
        <f>IFERROR(__xludf.DUMMYFUNCTION(" IF(Account!$F984&lt;&gt;"""", SPLIT(Account!$F984, "" ""), """")"),"")</f>
        <v/>
      </c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</row>
    <row r="985">
      <c r="A985" s="341"/>
      <c r="B985" s="341"/>
      <c r="C985" s="341"/>
      <c r="D985" s="341"/>
      <c r="E985" s="341"/>
      <c r="F985" s="373"/>
      <c r="G985" s="341"/>
      <c r="H985" s="341"/>
      <c r="I985" s="341"/>
      <c r="J985" s="341"/>
      <c r="K985" s="341"/>
      <c r="L985" s="26" t="str">
        <f t="shared" si="1"/>
        <v/>
      </c>
      <c r="M985" s="28" t="str">
        <f>IFERROR(__xludf.DUMMYFUNCTION("IF(Account!$F985&lt;&gt;"""", VALUE(REGEXREPLACE($I985, ""\,"", ""."")), """")"),"")</f>
        <v/>
      </c>
      <c r="N985" s="31" t="str">
        <f>IF(Account!$F985&lt;&gt;"", DATEVALUE(MID($A985,4,3) &amp; LEFT($A985,3) &amp; RIGHT($A985,4)) + TIMEVALUE($B985), "")</f>
        <v/>
      </c>
      <c r="O985" s="33" t="str">
        <f>IF(Account!$F985&lt;&gt;"", DATEVALUE(MID($A985,4,3) &amp; LEFT($A985,3) &amp; RIGHT($A985,4)), "")</f>
        <v/>
      </c>
      <c r="P985" s="34" t="str">
        <f>IFERROR(VLOOKUP($Q985,Selection!$F:$G,2,false))</f>
        <v/>
      </c>
      <c r="Q985" s="36" t="str">
        <f>IF(AND($X985="change",$H985="EUR"),IF(AND($Z985="Crédit",$N985=$N986),$Q986,IF(AND($Z985="Débit",$N985=$N984),$Q984)),IF(OR(AND(OR($E985&lt;&gt;"",$L985=""),$M985&lt;&gt;0),$A985=""),IFERROR(VLOOKUP($E985,Selection!$E:$F,2,false)),IFERROR(VLOOKUP(SUBSTITUTE($I985,"-","",1),$K986:$Q1119,7,false),VLOOKUP($K985,$K986:$Q1119,7,false))))</f>
        <v/>
      </c>
      <c r="R985" s="34" t="str">
        <f t="shared" si="2"/>
        <v/>
      </c>
      <c r="S985" s="37" t="str">
        <f t="shared" si="3"/>
        <v/>
      </c>
      <c r="T985" s="38" t="str">
        <f t="shared" si="4"/>
        <v/>
      </c>
      <c r="U985" s="28" t="str">
        <f t="shared" si="5"/>
        <v/>
      </c>
      <c r="V985" s="39" t="str">
        <f>IFERROR(__xludf.DUMMYFUNCTION(" IF(Account!$F985&lt;&gt;"""", SPLIT(Account!$F985, "" ""), """")"),"")</f>
        <v/>
      </c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</row>
    <row r="986">
      <c r="A986" s="341"/>
      <c r="B986" s="341"/>
      <c r="C986" s="341"/>
      <c r="D986" s="341"/>
      <c r="E986" s="341"/>
      <c r="F986" s="373"/>
      <c r="G986" s="341"/>
      <c r="H986" s="341"/>
      <c r="I986" s="341"/>
      <c r="J986" s="341"/>
      <c r="K986" s="341"/>
      <c r="L986" s="26" t="str">
        <f t="shared" si="1"/>
        <v/>
      </c>
      <c r="M986" s="28" t="str">
        <f>IFERROR(__xludf.DUMMYFUNCTION("IF(Account!$F986&lt;&gt;"""", VALUE(REGEXREPLACE($I986, ""\,"", ""."")), """")"),"")</f>
        <v/>
      </c>
      <c r="N986" s="31" t="str">
        <f>IF(Account!$F986&lt;&gt;"", DATEVALUE(MID($A986,4,3) &amp; LEFT($A986,3) &amp; RIGHT($A986,4)) + TIMEVALUE($B986), "")</f>
        <v/>
      </c>
      <c r="O986" s="33" t="str">
        <f>IF(Account!$F986&lt;&gt;"", DATEVALUE(MID($A986,4,3) &amp; LEFT($A986,3) &amp; RIGHT($A986,4)), "")</f>
        <v/>
      </c>
      <c r="P986" s="34" t="str">
        <f>IFERROR(VLOOKUP($Q986,Selection!$F:$G,2,false))</f>
        <v/>
      </c>
      <c r="Q986" s="36" t="str">
        <f>IF(AND($X986="change",$H986="EUR"),IF(AND($Z986="Crédit",$N986=$N987),$Q987,IF(AND($Z986="Débit",$N986=$N985),$Q985)),IF(OR(AND(OR($E986&lt;&gt;"",$L986=""),$M986&lt;&gt;0),$A986=""),IFERROR(VLOOKUP($E986,Selection!$E:$F,2,false)),IFERROR(VLOOKUP(SUBSTITUTE($I986,"-","",1),$K987:$Q1119,7,false),VLOOKUP($K986,$K987:$Q1119,7,false))))</f>
        <v/>
      </c>
      <c r="R986" s="34" t="str">
        <f t="shared" si="2"/>
        <v/>
      </c>
      <c r="S986" s="37" t="str">
        <f t="shared" si="3"/>
        <v/>
      </c>
      <c r="T986" s="38" t="str">
        <f t="shared" si="4"/>
        <v/>
      </c>
      <c r="U986" s="28" t="str">
        <f t="shared" si="5"/>
        <v/>
      </c>
      <c r="V986" s="39" t="str">
        <f>IFERROR(__xludf.DUMMYFUNCTION(" IF(Account!$F986&lt;&gt;"""", SPLIT(Account!$F986, "" ""), """")"),"")</f>
        <v/>
      </c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</row>
    <row r="987">
      <c r="A987" s="341"/>
      <c r="B987" s="341"/>
      <c r="C987" s="341"/>
      <c r="D987" s="341"/>
      <c r="E987" s="341"/>
      <c r="F987" s="373"/>
      <c r="G987" s="341"/>
      <c r="H987" s="341"/>
      <c r="I987" s="341"/>
      <c r="J987" s="341"/>
      <c r="K987" s="341"/>
      <c r="L987" s="26" t="str">
        <f t="shared" si="1"/>
        <v/>
      </c>
      <c r="M987" s="28" t="str">
        <f>IFERROR(__xludf.DUMMYFUNCTION("IF(Account!$F987&lt;&gt;"""", VALUE(REGEXREPLACE($I987, ""\,"", ""."")), """")"),"")</f>
        <v/>
      </c>
      <c r="N987" s="31" t="str">
        <f>IF(Account!$F987&lt;&gt;"", DATEVALUE(MID($A987,4,3) &amp; LEFT($A987,3) &amp; RIGHT($A987,4)) + TIMEVALUE($B987), "")</f>
        <v/>
      </c>
      <c r="O987" s="33" t="str">
        <f>IF(Account!$F987&lt;&gt;"", DATEVALUE(MID($A987,4,3) &amp; LEFT($A987,3) &amp; RIGHT($A987,4)), "")</f>
        <v/>
      </c>
      <c r="P987" s="34" t="str">
        <f>IFERROR(VLOOKUP($Q987,Selection!$F:$G,2,false))</f>
        <v/>
      </c>
      <c r="Q987" s="36" t="str">
        <f>IF(AND($X987="change",$H987="EUR"),IF(AND($Z987="Crédit",$N987=$N988),$Q988,IF(AND($Z987="Débit",$N987=$N986),$Q986)),IF(OR(AND(OR($E987&lt;&gt;"",$L987=""),$M987&lt;&gt;0),$A987=""),IFERROR(VLOOKUP($E987,Selection!$E:$F,2,false)),IFERROR(VLOOKUP(SUBSTITUTE($I987,"-","",1),$K988:$Q1119,7,false),VLOOKUP($K987,$K988:$Q1119,7,false))))</f>
        <v/>
      </c>
      <c r="R987" s="34" t="str">
        <f t="shared" si="2"/>
        <v/>
      </c>
      <c r="S987" s="37" t="str">
        <f t="shared" si="3"/>
        <v/>
      </c>
      <c r="T987" s="38" t="str">
        <f t="shared" si="4"/>
        <v/>
      </c>
      <c r="U987" s="28" t="str">
        <f t="shared" si="5"/>
        <v/>
      </c>
      <c r="V987" s="39" t="str">
        <f>IFERROR(__xludf.DUMMYFUNCTION(" IF(Account!$F987&lt;&gt;"""", SPLIT(Account!$F987, "" ""), """")"),"")</f>
        <v/>
      </c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</row>
    <row r="988">
      <c r="A988" s="341"/>
      <c r="B988" s="341"/>
      <c r="C988" s="341"/>
      <c r="D988" s="341"/>
      <c r="E988" s="341"/>
      <c r="F988" s="373"/>
      <c r="G988" s="341"/>
      <c r="H988" s="341"/>
      <c r="I988" s="341"/>
      <c r="J988" s="341"/>
      <c r="K988" s="341"/>
      <c r="L988" s="26" t="str">
        <f t="shared" si="1"/>
        <v/>
      </c>
      <c r="M988" s="28" t="str">
        <f>IFERROR(__xludf.DUMMYFUNCTION("IF(Account!$F988&lt;&gt;"""", VALUE(REGEXREPLACE($I988, ""\,"", ""."")), """")"),"")</f>
        <v/>
      </c>
      <c r="N988" s="31" t="str">
        <f>IF(Account!$F988&lt;&gt;"", DATEVALUE(MID($A988,4,3) &amp; LEFT($A988,3) &amp; RIGHT($A988,4)) + TIMEVALUE($B988), "")</f>
        <v/>
      </c>
      <c r="O988" s="33" t="str">
        <f>IF(Account!$F988&lt;&gt;"", DATEVALUE(MID($A988,4,3) &amp; LEFT($A988,3) &amp; RIGHT($A988,4)), "")</f>
        <v/>
      </c>
      <c r="P988" s="34" t="str">
        <f>IFERROR(VLOOKUP($Q988,Selection!$F:$G,2,false))</f>
        <v/>
      </c>
      <c r="Q988" s="36" t="str">
        <f>IF(AND($X988="change",$H988="EUR"),IF(AND($Z988="Crédit",$N988=$N989),$Q989,IF(AND($Z988="Débit",$N988=$N987),$Q987)),IF(OR(AND(OR($E988&lt;&gt;"",$L988=""),$M988&lt;&gt;0),$A988=""),IFERROR(VLOOKUP($E988,Selection!$E:$F,2,false)),IFERROR(VLOOKUP(SUBSTITUTE($I988,"-","",1),$K989:$Q1119,7,false),VLOOKUP($K988,$K989:$Q1119,7,false))))</f>
        <v/>
      </c>
      <c r="R988" s="34" t="str">
        <f t="shared" si="2"/>
        <v/>
      </c>
      <c r="S988" s="37" t="str">
        <f t="shared" si="3"/>
        <v/>
      </c>
      <c r="T988" s="38" t="str">
        <f t="shared" si="4"/>
        <v/>
      </c>
      <c r="U988" s="28" t="str">
        <f t="shared" si="5"/>
        <v/>
      </c>
      <c r="V988" s="39" t="str">
        <f>IFERROR(__xludf.DUMMYFUNCTION(" IF(Account!$F988&lt;&gt;"""", SPLIT(Account!$F988, "" ""), """")"),"")</f>
        <v/>
      </c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</row>
    <row r="989">
      <c r="A989" s="341"/>
      <c r="B989" s="341"/>
      <c r="C989" s="341"/>
      <c r="D989" s="341"/>
      <c r="E989" s="341"/>
      <c r="F989" s="373"/>
      <c r="G989" s="341"/>
      <c r="H989" s="341"/>
      <c r="I989" s="341"/>
      <c r="J989" s="341"/>
      <c r="K989" s="341"/>
      <c r="L989" s="26" t="str">
        <f t="shared" si="1"/>
        <v/>
      </c>
      <c r="M989" s="28" t="str">
        <f>IFERROR(__xludf.DUMMYFUNCTION("IF(Account!$F989&lt;&gt;"""", VALUE(REGEXREPLACE($I989, ""\,"", ""."")), """")"),"")</f>
        <v/>
      </c>
      <c r="N989" s="31" t="str">
        <f>IF(Account!$F989&lt;&gt;"", DATEVALUE(MID($A989,4,3) &amp; LEFT($A989,3) &amp; RIGHT($A989,4)) + TIMEVALUE($B989), "")</f>
        <v/>
      </c>
      <c r="O989" s="33" t="str">
        <f>IF(Account!$F989&lt;&gt;"", DATEVALUE(MID($A989,4,3) &amp; LEFT($A989,3) &amp; RIGHT($A989,4)), "")</f>
        <v/>
      </c>
      <c r="P989" s="34" t="str">
        <f>IFERROR(VLOOKUP($Q989,Selection!$F:$G,2,false))</f>
        <v/>
      </c>
      <c r="Q989" s="36" t="str">
        <f>IF(AND($X989="change",$H989="EUR"),IF(AND($Z989="Crédit",$N989=$N990),$Q990,IF(AND($Z989="Débit",$N989=$N988),$Q988)),IF(OR(AND(OR($E989&lt;&gt;"",$L989=""),$M989&lt;&gt;0),$A989=""),IFERROR(VLOOKUP($E989,Selection!$E:$F,2,false)),IFERROR(VLOOKUP(SUBSTITUTE($I989,"-","",1),$K990:$Q1119,7,false),VLOOKUP($K989,$K990:$Q1119,7,false))))</f>
        <v/>
      </c>
      <c r="R989" s="34" t="str">
        <f t="shared" si="2"/>
        <v/>
      </c>
      <c r="S989" s="37" t="str">
        <f t="shared" si="3"/>
        <v/>
      </c>
      <c r="T989" s="38" t="str">
        <f t="shared" si="4"/>
        <v/>
      </c>
      <c r="U989" s="28" t="str">
        <f t="shared" si="5"/>
        <v/>
      </c>
      <c r="V989" s="39" t="str">
        <f>IFERROR(__xludf.DUMMYFUNCTION(" IF(Account!$F989&lt;&gt;"""", SPLIT(Account!$F989, "" ""), """")"),"")</f>
        <v/>
      </c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</row>
    <row r="990">
      <c r="A990" s="341"/>
      <c r="B990" s="341"/>
      <c r="C990" s="341"/>
      <c r="D990" s="341"/>
      <c r="E990" s="341"/>
      <c r="F990" s="373"/>
      <c r="G990" s="341"/>
      <c r="H990" s="341"/>
      <c r="I990" s="341"/>
      <c r="J990" s="341"/>
      <c r="K990" s="341"/>
      <c r="L990" s="26" t="str">
        <f t="shared" si="1"/>
        <v/>
      </c>
      <c r="M990" s="28" t="str">
        <f>IFERROR(__xludf.DUMMYFUNCTION("IF(Account!$F990&lt;&gt;"""", VALUE(REGEXREPLACE($I990, ""\,"", ""."")), """")"),"")</f>
        <v/>
      </c>
      <c r="N990" s="31" t="str">
        <f>IF(Account!$F990&lt;&gt;"", DATEVALUE(MID($A990,4,3) &amp; LEFT($A990,3) &amp; RIGHT($A990,4)) + TIMEVALUE($B990), "")</f>
        <v/>
      </c>
      <c r="O990" s="33" t="str">
        <f>IF(Account!$F990&lt;&gt;"", DATEVALUE(MID($A990,4,3) &amp; LEFT($A990,3) &amp; RIGHT($A990,4)), "")</f>
        <v/>
      </c>
      <c r="P990" s="34" t="str">
        <f>IFERROR(VLOOKUP($Q990,Selection!$F:$G,2,false))</f>
        <v/>
      </c>
      <c r="Q990" s="36" t="str">
        <f>IF(AND($X990="change",$H990="EUR"),IF(AND($Z990="Crédit",$N990=$N991),$Q991,IF(AND($Z990="Débit",$N990=$N989),$Q989)),IF(OR(AND(OR($E990&lt;&gt;"",$L990=""),$M990&lt;&gt;0),$A990=""),IFERROR(VLOOKUP($E990,Selection!$E:$F,2,false)),IFERROR(VLOOKUP(SUBSTITUTE($I990,"-","",1),$K991:$Q1119,7,false),VLOOKUP($K990,$K991:$Q1119,7,false))))</f>
        <v/>
      </c>
      <c r="R990" s="34" t="str">
        <f t="shared" si="2"/>
        <v/>
      </c>
      <c r="S990" s="37" t="str">
        <f t="shared" si="3"/>
        <v/>
      </c>
      <c r="T990" s="38" t="str">
        <f t="shared" si="4"/>
        <v/>
      </c>
      <c r="U990" s="28" t="str">
        <f t="shared" si="5"/>
        <v/>
      </c>
      <c r="V990" s="39" t="str">
        <f>IFERROR(__xludf.DUMMYFUNCTION(" IF(Account!$F990&lt;&gt;"""", SPLIT(Account!$F990, "" ""), """")"),"")</f>
        <v/>
      </c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</row>
    <row r="991">
      <c r="A991" s="341"/>
      <c r="B991" s="341"/>
      <c r="C991" s="341"/>
      <c r="D991" s="341"/>
      <c r="E991" s="341"/>
      <c r="F991" s="373"/>
      <c r="G991" s="341"/>
      <c r="H991" s="341"/>
      <c r="I991" s="341"/>
      <c r="J991" s="341"/>
      <c r="K991" s="341"/>
      <c r="L991" s="26" t="str">
        <f t="shared" si="1"/>
        <v/>
      </c>
      <c r="M991" s="28" t="str">
        <f>IFERROR(__xludf.DUMMYFUNCTION("IF(Account!$F991&lt;&gt;"""", VALUE(REGEXREPLACE($I991, ""\,"", ""."")), """")"),"")</f>
        <v/>
      </c>
      <c r="N991" s="31" t="str">
        <f>IF(Account!$F991&lt;&gt;"", DATEVALUE(MID($A991,4,3) &amp; LEFT($A991,3) &amp; RIGHT($A991,4)) + TIMEVALUE($B991), "")</f>
        <v/>
      </c>
      <c r="O991" s="33" t="str">
        <f>IF(Account!$F991&lt;&gt;"", DATEVALUE(MID($A991,4,3) &amp; LEFT($A991,3) &amp; RIGHT($A991,4)), "")</f>
        <v/>
      </c>
      <c r="P991" s="34" t="str">
        <f>IFERROR(VLOOKUP($Q991,Selection!$F:$G,2,false))</f>
        <v/>
      </c>
      <c r="Q991" s="36" t="str">
        <f>IF(AND($X991="change",$H991="EUR"),IF(AND($Z991="Crédit",$N991=$N992),$Q992,IF(AND($Z991="Débit",$N991=$N990),$Q990)),IF(OR(AND(OR($E991&lt;&gt;"",$L991=""),$M991&lt;&gt;0),$A991=""),IFERROR(VLOOKUP($E991,Selection!$E:$F,2,false)),IFERROR(VLOOKUP(SUBSTITUTE($I991,"-","",1),$K992:$Q1119,7,false),VLOOKUP($K991,$K992:$Q1119,7,false))))</f>
        <v/>
      </c>
      <c r="R991" s="34" t="str">
        <f t="shared" si="2"/>
        <v/>
      </c>
      <c r="S991" s="37" t="str">
        <f t="shared" si="3"/>
        <v/>
      </c>
      <c r="T991" s="38" t="str">
        <f t="shared" si="4"/>
        <v/>
      </c>
      <c r="U991" s="28" t="str">
        <f t="shared" si="5"/>
        <v/>
      </c>
      <c r="V991" s="39" t="str">
        <f>IFERROR(__xludf.DUMMYFUNCTION(" IF(Account!$F991&lt;&gt;"""", SPLIT(Account!$F991, "" ""), """")"),"")</f>
        <v/>
      </c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</row>
    <row r="992">
      <c r="A992" s="341"/>
      <c r="B992" s="341"/>
      <c r="C992" s="341"/>
      <c r="D992" s="341"/>
      <c r="E992" s="341"/>
      <c r="F992" s="373"/>
      <c r="G992" s="341"/>
      <c r="H992" s="341"/>
      <c r="I992" s="341"/>
      <c r="J992" s="341"/>
      <c r="K992" s="341"/>
      <c r="L992" s="26" t="str">
        <f t="shared" si="1"/>
        <v/>
      </c>
      <c r="M992" s="28" t="str">
        <f>IFERROR(__xludf.DUMMYFUNCTION("IF(Account!$F992&lt;&gt;"""", VALUE(REGEXREPLACE($I992, ""\,"", ""."")), """")"),"")</f>
        <v/>
      </c>
      <c r="N992" s="31" t="str">
        <f>IF(Account!$F992&lt;&gt;"", DATEVALUE(MID($A992,4,3) &amp; LEFT($A992,3) &amp; RIGHT($A992,4)) + TIMEVALUE($B992), "")</f>
        <v/>
      </c>
      <c r="O992" s="33" t="str">
        <f>IF(Account!$F992&lt;&gt;"", DATEVALUE(MID($A992,4,3) &amp; LEFT($A992,3) &amp; RIGHT($A992,4)), "")</f>
        <v/>
      </c>
      <c r="P992" s="34" t="str">
        <f>IFERROR(VLOOKUP($Q992,Selection!$F:$G,2,false))</f>
        <v/>
      </c>
      <c r="Q992" s="36" t="str">
        <f>IF(AND($X992="change",$H992="EUR"),IF(AND($Z992="Crédit",$N992=$N993),$Q993,IF(AND($Z992="Débit",$N992=$N991),$Q991)),IF(OR(AND(OR($E992&lt;&gt;"",$L992=""),$M992&lt;&gt;0),$A992=""),IFERROR(VLOOKUP($E992,Selection!$E:$F,2,false)),IFERROR(VLOOKUP(SUBSTITUTE($I992,"-","",1),$K993:$Q1119,7,false),VLOOKUP($K992,$K993:$Q1119,7,false))))</f>
        <v/>
      </c>
      <c r="R992" s="34" t="str">
        <f t="shared" si="2"/>
        <v/>
      </c>
      <c r="S992" s="37" t="str">
        <f t="shared" si="3"/>
        <v/>
      </c>
      <c r="T992" s="38" t="str">
        <f t="shared" si="4"/>
        <v/>
      </c>
      <c r="U992" s="28" t="str">
        <f t="shared" si="5"/>
        <v/>
      </c>
      <c r="V992" s="39" t="str">
        <f>IFERROR(__xludf.DUMMYFUNCTION(" IF(Account!$F992&lt;&gt;"""", SPLIT(Account!$F992, "" ""), """")"),"")</f>
        <v/>
      </c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</row>
    <row r="993">
      <c r="A993" s="341"/>
      <c r="B993" s="341"/>
      <c r="C993" s="341"/>
      <c r="D993" s="341"/>
      <c r="E993" s="341"/>
      <c r="F993" s="373"/>
      <c r="G993" s="341"/>
      <c r="H993" s="341"/>
      <c r="I993" s="341"/>
      <c r="J993" s="341"/>
      <c r="K993" s="341"/>
      <c r="L993" s="26" t="str">
        <f t="shared" si="1"/>
        <v/>
      </c>
      <c r="M993" s="28" t="str">
        <f>IFERROR(__xludf.DUMMYFUNCTION("IF(Account!$F993&lt;&gt;"""", VALUE(REGEXREPLACE($I993, ""\,"", ""."")), """")"),"")</f>
        <v/>
      </c>
      <c r="N993" s="31" t="str">
        <f>IF(Account!$F993&lt;&gt;"", DATEVALUE(MID($A993,4,3) &amp; LEFT($A993,3) &amp; RIGHT($A993,4)) + TIMEVALUE($B993), "")</f>
        <v/>
      </c>
      <c r="O993" s="33" t="str">
        <f>IF(Account!$F993&lt;&gt;"", DATEVALUE(MID($A993,4,3) &amp; LEFT($A993,3) &amp; RIGHT($A993,4)), "")</f>
        <v/>
      </c>
      <c r="P993" s="34" t="str">
        <f>IFERROR(VLOOKUP($Q993,Selection!$F:$G,2,false))</f>
        <v/>
      </c>
      <c r="Q993" s="36" t="str">
        <f>IF(AND($X993="change",$H993="EUR"),IF(AND($Z993="Crédit",$N993=$N994),$Q994,IF(AND($Z993="Débit",$N993=$N992),$Q992)),IF(OR(AND(OR($E993&lt;&gt;"",$L993=""),$M993&lt;&gt;0),$A993=""),IFERROR(VLOOKUP($E993,Selection!$E:$F,2,false)),IFERROR(VLOOKUP(SUBSTITUTE($I993,"-","",1),$K994:$Q1119,7,false),VLOOKUP($K993,$K994:$Q1119,7,false))))</f>
        <v/>
      </c>
      <c r="R993" s="34" t="str">
        <f t="shared" si="2"/>
        <v/>
      </c>
      <c r="S993" s="37" t="str">
        <f t="shared" si="3"/>
        <v/>
      </c>
      <c r="T993" s="38" t="str">
        <f t="shared" si="4"/>
        <v/>
      </c>
      <c r="U993" s="28" t="str">
        <f t="shared" si="5"/>
        <v/>
      </c>
      <c r="V993" s="39" t="str">
        <f>IFERROR(__xludf.DUMMYFUNCTION(" IF(Account!$F993&lt;&gt;"""", SPLIT(Account!$F993, "" ""), """")"),"")</f>
        <v/>
      </c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</row>
    <row r="994">
      <c r="A994" s="341"/>
      <c r="B994" s="341"/>
      <c r="C994" s="341"/>
      <c r="D994" s="341"/>
      <c r="E994" s="341"/>
      <c r="F994" s="373"/>
      <c r="G994" s="341"/>
      <c r="H994" s="341"/>
      <c r="I994" s="341"/>
      <c r="J994" s="341"/>
      <c r="K994" s="341"/>
      <c r="L994" s="26" t="str">
        <f t="shared" si="1"/>
        <v/>
      </c>
      <c r="M994" s="28" t="str">
        <f>IFERROR(__xludf.DUMMYFUNCTION("IF(Account!$F994&lt;&gt;"""", VALUE(REGEXREPLACE($I994, ""\,"", ""."")), """")"),"")</f>
        <v/>
      </c>
      <c r="N994" s="31" t="str">
        <f>IF(Account!$F994&lt;&gt;"", DATEVALUE(MID($A994,4,3) &amp; LEFT($A994,3) &amp; RIGHT($A994,4)) + TIMEVALUE($B994), "")</f>
        <v/>
      </c>
      <c r="O994" s="33" t="str">
        <f>IF(Account!$F994&lt;&gt;"", DATEVALUE(MID($A994,4,3) &amp; LEFT($A994,3) &amp; RIGHT($A994,4)), "")</f>
        <v/>
      </c>
      <c r="P994" s="34" t="str">
        <f>IFERROR(VLOOKUP($Q994,Selection!$F:$G,2,false))</f>
        <v/>
      </c>
      <c r="Q994" s="36" t="str">
        <f>IF(AND($X994="change",$H994="EUR"),IF(AND($Z994="Crédit",$N994=$N995),$Q995,IF(AND($Z994="Débit",$N994=$N993),$Q993)),IF(OR(AND(OR($E994&lt;&gt;"",$L994=""),$M994&lt;&gt;0),$A994=""),IFERROR(VLOOKUP($E994,Selection!$E:$F,2,false)),IFERROR(VLOOKUP(SUBSTITUTE($I994,"-","",1),$K995:$Q1119,7,false),VLOOKUP($K994,$K995:$Q1119,7,false))))</f>
        <v/>
      </c>
      <c r="R994" s="34" t="str">
        <f t="shared" si="2"/>
        <v/>
      </c>
      <c r="S994" s="37" t="str">
        <f t="shared" si="3"/>
        <v/>
      </c>
      <c r="T994" s="38" t="str">
        <f t="shared" si="4"/>
        <v/>
      </c>
      <c r="U994" s="28" t="str">
        <f t="shared" si="5"/>
        <v/>
      </c>
      <c r="V994" s="39" t="str">
        <f>IFERROR(__xludf.DUMMYFUNCTION(" IF(Account!$F994&lt;&gt;"""", SPLIT(Account!$F994, "" ""), """")"),"")</f>
        <v/>
      </c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</row>
    <row r="995">
      <c r="A995" s="341"/>
      <c r="B995" s="341"/>
      <c r="C995" s="341"/>
      <c r="D995" s="341"/>
      <c r="E995" s="341"/>
      <c r="F995" s="373"/>
      <c r="G995" s="341"/>
      <c r="H995" s="341"/>
      <c r="I995" s="341"/>
      <c r="J995" s="341"/>
      <c r="K995" s="341"/>
      <c r="L995" s="26" t="str">
        <f t="shared" si="1"/>
        <v/>
      </c>
      <c r="M995" s="28" t="str">
        <f>IFERROR(__xludf.DUMMYFUNCTION("IF(Account!$F995&lt;&gt;"""", VALUE(REGEXREPLACE($I995, ""\,"", ""."")), """")"),"")</f>
        <v/>
      </c>
      <c r="N995" s="31" t="str">
        <f>IF(Account!$F995&lt;&gt;"", DATEVALUE(MID($A995,4,3) &amp; LEFT($A995,3) &amp; RIGHT($A995,4)) + TIMEVALUE($B995), "")</f>
        <v/>
      </c>
      <c r="O995" s="33" t="str">
        <f>IF(Account!$F995&lt;&gt;"", DATEVALUE(MID($A995,4,3) &amp; LEFT($A995,3) &amp; RIGHT($A995,4)), "")</f>
        <v/>
      </c>
      <c r="P995" s="34" t="str">
        <f>IFERROR(VLOOKUP($Q995,Selection!$F:$G,2,false))</f>
        <v/>
      </c>
      <c r="Q995" s="36" t="str">
        <f>IF(AND($X995="change",$H995="EUR"),IF(AND($Z995="Crédit",$N995=$N996),$Q996,IF(AND($Z995="Débit",$N995=$N994),$Q994)),IF(OR(AND(OR($E995&lt;&gt;"",$L995=""),$M995&lt;&gt;0),$A995=""),IFERROR(VLOOKUP($E995,Selection!$E:$F,2,false)),IFERROR(VLOOKUP(SUBSTITUTE($I995,"-","",1),$K996:$Q1119,7,false),VLOOKUP($K995,$K996:$Q1119,7,false))))</f>
        <v/>
      </c>
      <c r="R995" s="34" t="str">
        <f t="shared" si="2"/>
        <v/>
      </c>
      <c r="S995" s="37" t="str">
        <f t="shared" si="3"/>
        <v/>
      </c>
      <c r="T995" s="38" t="str">
        <f t="shared" si="4"/>
        <v/>
      </c>
      <c r="U995" s="28" t="str">
        <f t="shared" si="5"/>
        <v/>
      </c>
      <c r="V995" s="39" t="str">
        <f>IFERROR(__xludf.DUMMYFUNCTION(" IF(Account!$F995&lt;&gt;"""", SPLIT(Account!$F995, "" ""), """")"),"")</f>
        <v/>
      </c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</row>
    <row r="996">
      <c r="A996" s="341"/>
      <c r="B996" s="341"/>
      <c r="C996" s="341"/>
      <c r="D996" s="341"/>
      <c r="E996" s="341"/>
      <c r="F996" s="373"/>
      <c r="G996" s="341"/>
      <c r="H996" s="341"/>
      <c r="I996" s="341"/>
      <c r="J996" s="341"/>
      <c r="K996" s="341"/>
      <c r="L996" s="26" t="str">
        <f t="shared" si="1"/>
        <v/>
      </c>
      <c r="M996" s="28" t="str">
        <f>IFERROR(__xludf.DUMMYFUNCTION("IF(Account!$F996&lt;&gt;"""", VALUE(REGEXREPLACE($I996, ""\,"", ""."")), """")"),"")</f>
        <v/>
      </c>
      <c r="N996" s="31" t="str">
        <f>IF(Account!$F996&lt;&gt;"", DATEVALUE(MID($A996,4,3) &amp; LEFT($A996,3) &amp; RIGHT($A996,4)) + TIMEVALUE($B996), "")</f>
        <v/>
      </c>
      <c r="O996" s="33" t="str">
        <f>IF(Account!$F996&lt;&gt;"", DATEVALUE(MID($A996,4,3) &amp; LEFT($A996,3) &amp; RIGHT($A996,4)), "")</f>
        <v/>
      </c>
      <c r="P996" s="34" t="str">
        <f>IFERROR(VLOOKUP($Q996,Selection!$F:$G,2,false))</f>
        <v/>
      </c>
      <c r="Q996" s="36" t="str">
        <f>IF(AND($X996="change",$H996="EUR"),IF(AND($Z996="Crédit",$N996=$N997),$Q997,IF(AND($Z996="Débit",$N996=$N995),$Q995)),IF(OR(AND(OR($E996&lt;&gt;"",$L996=""),$M996&lt;&gt;0),$A996=""),IFERROR(VLOOKUP($E996,Selection!$E:$F,2,false)),IFERROR(VLOOKUP(SUBSTITUTE($I996,"-","",1),$K997:$Q1119,7,false),VLOOKUP($K996,$K997:$Q1119,7,false))))</f>
        <v/>
      </c>
      <c r="R996" s="34" t="str">
        <f t="shared" si="2"/>
        <v/>
      </c>
      <c r="S996" s="37" t="str">
        <f t="shared" si="3"/>
        <v/>
      </c>
      <c r="T996" s="38" t="str">
        <f t="shared" si="4"/>
        <v/>
      </c>
      <c r="U996" s="28" t="str">
        <f t="shared" si="5"/>
        <v/>
      </c>
      <c r="V996" s="39" t="str">
        <f>IFERROR(__xludf.DUMMYFUNCTION(" IF(Account!$F996&lt;&gt;"""", SPLIT(Account!$F996, "" ""), """")"),"")</f>
        <v/>
      </c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</row>
    <row r="997">
      <c r="A997" s="341"/>
      <c r="B997" s="341"/>
      <c r="C997" s="341"/>
      <c r="D997" s="341"/>
      <c r="E997" s="341"/>
      <c r="F997" s="373"/>
      <c r="G997" s="341"/>
      <c r="H997" s="341"/>
      <c r="I997" s="341"/>
      <c r="J997" s="341"/>
      <c r="K997" s="341"/>
      <c r="L997" s="26" t="str">
        <f t="shared" si="1"/>
        <v/>
      </c>
      <c r="M997" s="28" t="str">
        <f>IFERROR(__xludf.DUMMYFUNCTION("IF(Account!$F997&lt;&gt;"""", VALUE(REGEXREPLACE($I997, ""\,"", ""."")), """")"),"")</f>
        <v/>
      </c>
      <c r="N997" s="31" t="str">
        <f>IF(Account!$F997&lt;&gt;"", DATEVALUE(MID($A997,4,3) &amp; LEFT($A997,3) &amp; RIGHT($A997,4)) + TIMEVALUE($B997), "")</f>
        <v/>
      </c>
      <c r="O997" s="33" t="str">
        <f>IF(Account!$F997&lt;&gt;"", DATEVALUE(MID($A997,4,3) &amp; LEFT($A997,3) &amp; RIGHT($A997,4)), "")</f>
        <v/>
      </c>
      <c r="P997" s="34" t="str">
        <f>IFERROR(VLOOKUP($Q997,Selection!$F:$G,2,false))</f>
        <v/>
      </c>
      <c r="Q997" s="36" t="str">
        <f>IF(AND($X997="change",$H997="EUR"),IF(AND($Z997="Crédit",$N997=$N998),$Q998,IF(AND($Z997="Débit",$N997=$N996),$Q996)),IF(OR(AND(OR($E997&lt;&gt;"",$L997=""),$M997&lt;&gt;0),$A997=""),IFERROR(VLOOKUP($E997,Selection!$E:$F,2,false)),IFERROR(VLOOKUP(SUBSTITUTE($I997,"-","",1),$K998:$Q1119,7,false),VLOOKUP($K997,$K998:$Q1119,7,false))))</f>
        <v/>
      </c>
      <c r="R997" s="34" t="str">
        <f t="shared" si="2"/>
        <v/>
      </c>
      <c r="S997" s="37" t="str">
        <f t="shared" si="3"/>
        <v/>
      </c>
      <c r="T997" s="38" t="str">
        <f t="shared" si="4"/>
        <v/>
      </c>
      <c r="U997" s="28" t="str">
        <f t="shared" si="5"/>
        <v/>
      </c>
      <c r="V997" s="39" t="str">
        <f>IFERROR(__xludf.DUMMYFUNCTION(" IF(Account!$F997&lt;&gt;"""", SPLIT(Account!$F997, "" ""), """")"),"")</f>
        <v/>
      </c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</row>
    <row r="998">
      <c r="A998" s="341"/>
      <c r="B998" s="341"/>
      <c r="C998" s="341"/>
      <c r="D998" s="341"/>
      <c r="E998" s="341"/>
      <c r="F998" s="373"/>
      <c r="G998" s="341"/>
      <c r="H998" s="341"/>
      <c r="I998" s="341"/>
      <c r="J998" s="341"/>
      <c r="K998" s="341"/>
      <c r="L998" s="26" t="str">
        <f t="shared" si="1"/>
        <v/>
      </c>
      <c r="M998" s="28" t="str">
        <f>IFERROR(__xludf.DUMMYFUNCTION("IF(Account!$F998&lt;&gt;"""", VALUE(REGEXREPLACE($I998, ""\,"", ""."")), """")"),"")</f>
        <v/>
      </c>
      <c r="N998" s="31" t="str">
        <f>IF(Account!$F998&lt;&gt;"", DATEVALUE(MID($A998,4,3) &amp; LEFT($A998,3) &amp; RIGHT($A998,4)) + TIMEVALUE($B998), "")</f>
        <v/>
      </c>
      <c r="O998" s="33" t="str">
        <f>IF(Account!$F998&lt;&gt;"", DATEVALUE(MID($A998,4,3) &amp; LEFT($A998,3) &amp; RIGHT($A998,4)), "")</f>
        <v/>
      </c>
      <c r="P998" s="34" t="str">
        <f>IFERROR(VLOOKUP($Q998,Selection!$F:$G,2,false))</f>
        <v/>
      </c>
      <c r="Q998" s="36" t="str">
        <f>IF(AND($X998="change",$H998="EUR"),IF(AND($Z998="Crédit",$N998=$N999),$Q999,IF(AND($Z998="Débit",$N998=$N997),$Q997)),IF(OR(AND(OR($E998&lt;&gt;"",$L998=""),$M998&lt;&gt;0),$A998=""),IFERROR(VLOOKUP($E998,Selection!$E:$F,2,false)),IFERROR(VLOOKUP(SUBSTITUTE($I998,"-","",1),$K999:$Q1119,7,false),VLOOKUP($K998,$K999:$Q1119,7,false))))</f>
        <v/>
      </c>
      <c r="R998" s="34" t="str">
        <f t="shared" si="2"/>
        <v/>
      </c>
      <c r="S998" s="37" t="str">
        <f t="shared" si="3"/>
        <v/>
      </c>
      <c r="T998" s="38" t="str">
        <f t="shared" si="4"/>
        <v/>
      </c>
      <c r="U998" s="28" t="str">
        <f t="shared" si="5"/>
        <v/>
      </c>
      <c r="V998" s="39" t="str">
        <f>IFERROR(__xludf.DUMMYFUNCTION(" IF(Account!$F998&lt;&gt;"""", SPLIT(Account!$F998, "" ""), """")"),"")</f>
        <v/>
      </c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</row>
    <row r="999">
      <c r="A999" s="341"/>
      <c r="B999" s="341"/>
      <c r="C999" s="341"/>
      <c r="D999" s="341"/>
      <c r="E999" s="341"/>
      <c r="F999" s="373"/>
      <c r="G999" s="341"/>
      <c r="H999" s="341"/>
      <c r="I999" s="341"/>
      <c r="J999" s="341"/>
      <c r="K999" s="341"/>
      <c r="L999" s="26" t="str">
        <f t="shared" si="1"/>
        <v/>
      </c>
      <c r="M999" s="28" t="str">
        <f>IFERROR(__xludf.DUMMYFUNCTION("IF(Account!$F999&lt;&gt;"""", VALUE(REGEXREPLACE($I999, ""\,"", ""."")), """")"),"")</f>
        <v/>
      </c>
      <c r="N999" s="31" t="str">
        <f>IF(Account!$F999&lt;&gt;"", DATEVALUE(MID($A999,4,3) &amp; LEFT($A999,3) &amp; RIGHT($A999,4)) + TIMEVALUE($B999), "")</f>
        <v/>
      </c>
      <c r="O999" s="33" t="str">
        <f>IF(Account!$F999&lt;&gt;"", DATEVALUE(MID($A999,4,3) &amp; LEFT($A999,3) &amp; RIGHT($A999,4)), "")</f>
        <v/>
      </c>
      <c r="P999" s="34" t="str">
        <f>IFERROR(VLOOKUP($Q999,Selection!$F:$G,2,false))</f>
        <v/>
      </c>
      <c r="Q999" s="36" t="str">
        <f>IF(AND($X999="change",$H999="EUR"),IF(AND($Z999="Crédit",$N999=$N1000),$Q1000,IF(AND($Z999="Débit",$N999=$N998),$Q998)),IF(OR(AND(OR($E999&lt;&gt;"",$L999=""),$M999&lt;&gt;0),$A999=""),IFERROR(VLOOKUP($E999,Selection!$E:$F,2,false)),IFERROR(VLOOKUP(SUBSTITUTE($I999,"-","",1),$K1000:$Q1119,7,false),VLOOKUP($K999,$K1000:$Q1119,7,false))))</f>
        <v/>
      </c>
      <c r="R999" s="34" t="str">
        <f t="shared" si="2"/>
        <v/>
      </c>
      <c r="S999" s="37" t="str">
        <f t="shared" si="3"/>
        <v/>
      </c>
      <c r="T999" s="38" t="str">
        <f t="shared" si="4"/>
        <v/>
      </c>
      <c r="U999" s="28" t="str">
        <f t="shared" si="5"/>
        <v/>
      </c>
      <c r="V999" s="39" t="str">
        <f>IFERROR(__xludf.DUMMYFUNCTION(" IF(Account!$F999&lt;&gt;"""", SPLIT(Account!$F999, "" ""), """")"),"")</f>
        <v/>
      </c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</row>
    <row r="1000">
      <c r="A1000" s="341"/>
      <c r="B1000" s="341"/>
      <c r="C1000" s="341"/>
      <c r="D1000" s="341"/>
      <c r="E1000" s="341"/>
      <c r="F1000" s="373"/>
      <c r="G1000" s="341"/>
      <c r="H1000" s="341"/>
      <c r="I1000" s="341"/>
      <c r="J1000" s="341"/>
      <c r="K1000" s="341"/>
      <c r="L1000" s="26" t="str">
        <f t="shared" si="1"/>
        <v/>
      </c>
      <c r="M1000" s="28" t="str">
        <f>IFERROR(__xludf.DUMMYFUNCTION("IF(Account!$F1000&lt;&gt;"""", VALUE(REGEXREPLACE($I1000, ""\,"", ""."")), """")"),"")</f>
        <v/>
      </c>
      <c r="N1000" s="31" t="str">
        <f>IF(Account!$F1000&lt;&gt;"", DATEVALUE(MID($A1000,4,3) &amp; LEFT($A1000,3) &amp; RIGHT($A1000,4)) + TIMEVALUE($B1000), "")</f>
        <v/>
      </c>
      <c r="O1000" s="33" t="str">
        <f>IF(Account!$F1000&lt;&gt;"", DATEVALUE(MID($A1000,4,3) &amp; LEFT($A1000,3) &amp; RIGHT($A1000,4)), "")</f>
        <v/>
      </c>
      <c r="P1000" s="34" t="str">
        <f>IFERROR(VLOOKUP($Q1000,Selection!$F:$G,2,false))</f>
        <v/>
      </c>
      <c r="Q1000" s="36" t="str">
        <f>IF(AND($X1000="change",$H1000="EUR"),IF(AND($Z1000="Crédit",$N1000=$N1001),$Q1001,IF(AND($Z1000="Débit",$N1000=$N999),$Q999)),IF(OR(AND(OR($E1000&lt;&gt;"",$L1000=""),$M1000&lt;&gt;0),$A1000=""),IFERROR(VLOOKUP($E1000,Selection!$E:$F,2,false)),IFERROR(VLOOKUP(SUBSTITUTE($I1000,"-","",1),$K1001:$Q1119,7,false),VLOOKUP($K1000,$K1001:$Q1119,7,false))))</f>
        <v/>
      </c>
      <c r="R1000" s="34" t="str">
        <f t="shared" si="2"/>
        <v/>
      </c>
      <c r="S1000" s="37" t="str">
        <f t="shared" si="3"/>
        <v/>
      </c>
      <c r="T1000" s="38" t="str">
        <f t="shared" si="4"/>
        <v/>
      </c>
      <c r="U1000" s="28" t="str">
        <f t="shared" si="5"/>
        <v/>
      </c>
      <c r="V1000" s="39" t="str">
        <f>IFERROR(__xludf.DUMMYFUNCTION(" IF(Account!$F1000&lt;&gt;"""", SPLIT(Account!$F1000, "" ""), """")"),"")</f>
        <v/>
      </c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</row>
    <row r="1001">
      <c r="A1001" s="341"/>
      <c r="B1001" s="341"/>
      <c r="C1001" s="341"/>
      <c r="D1001" s="341"/>
      <c r="E1001" s="341"/>
      <c r="F1001" s="373"/>
      <c r="G1001" s="341"/>
      <c r="H1001" s="341"/>
      <c r="I1001" s="341"/>
      <c r="J1001" s="341"/>
      <c r="K1001" s="341"/>
      <c r="L1001" s="26" t="str">
        <f t="shared" si="1"/>
        <v/>
      </c>
      <c r="M1001" s="28" t="str">
        <f>IFERROR(__xludf.DUMMYFUNCTION("IF(Account!$F1001&lt;&gt;"""", VALUE(REGEXREPLACE($I1001, ""\,"", ""."")), """")"),"")</f>
        <v/>
      </c>
      <c r="N1001" s="31" t="str">
        <f>IF(Account!$F1001&lt;&gt;"", DATEVALUE(MID($A1001,4,3) &amp; LEFT($A1001,3) &amp; RIGHT($A1001,4)) + TIMEVALUE($B1001), "")</f>
        <v/>
      </c>
      <c r="O1001" s="33" t="str">
        <f>IF(Account!$F1001&lt;&gt;"", DATEVALUE(MID($A1001,4,3) &amp; LEFT($A1001,3) &amp; RIGHT($A1001,4)), "")</f>
        <v/>
      </c>
      <c r="P1001" s="34" t="str">
        <f>IFERROR(VLOOKUP($Q1001,Selection!$F:$G,2,false))</f>
        <v/>
      </c>
      <c r="Q1001" s="36" t="str">
        <f>IF(AND($X1001="change",$H1001="EUR"),IF(AND($Z1001="Crédit",$N1001=$N1002),$Q1002,IF(AND($Z1001="Débit",$N1001=$N1000),$Q1000)),IF(OR(AND(OR($E1001&lt;&gt;"",$L1001=""),$M1001&lt;&gt;0),$A1001=""),IFERROR(VLOOKUP($E1001,Selection!$E:$F,2,false)),IFERROR(VLOOKUP(SUBSTITUTE($I1001,"-","",1),$K1002:$Q1119,7,false),VLOOKUP($K1001,$K1002:$Q1119,7,false))))</f>
        <v/>
      </c>
      <c r="R1001" s="34" t="str">
        <f t="shared" si="2"/>
        <v/>
      </c>
      <c r="S1001" s="37" t="str">
        <f t="shared" si="3"/>
        <v/>
      </c>
      <c r="T1001" s="38" t="str">
        <f t="shared" si="4"/>
        <v/>
      </c>
      <c r="U1001" s="28" t="str">
        <f t="shared" si="5"/>
        <v/>
      </c>
      <c r="V1001" s="39" t="str">
        <f>IFERROR(__xludf.DUMMYFUNCTION(" IF(Account!$F1001&lt;&gt;"""", SPLIT(Account!$F1001, "" ""), """")"),"")</f>
        <v/>
      </c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</row>
    <row r="1002">
      <c r="A1002" s="341"/>
      <c r="B1002" s="341"/>
      <c r="C1002" s="341"/>
      <c r="D1002" s="341"/>
      <c r="E1002" s="341"/>
      <c r="F1002" s="373"/>
      <c r="G1002" s="341"/>
      <c r="H1002" s="341"/>
      <c r="I1002" s="341"/>
      <c r="J1002" s="341"/>
      <c r="K1002" s="341"/>
      <c r="L1002" s="26" t="str">
        <f t="shared" si="1"/>
        <v/>
      </c>
      <c r="M1002" s="28" t="str">
        <f>IFERROR(__xludf.DUMMYFUNCTION("IF(Account!$F1002&lt;&gt;"""", VALUE(REGEXREPLACE($I1002, ""\,"", ""."")), """")"),"")</f>
        <v/>
      </c>
      <c r="N1002" s="31" t="str">
        <f>IF(Account!$F1002&lt;&gt;"", DATEVALUE(MID($A1002,4,3) &amp; LEFT($A1002,3) &amp; RIGHT($A1002,4)) + TIMEVALUE($B1002), "")</f>
        <v/>
      </c>
      <c r="O1002" s="33" t="str">
        <f>IF(Account!$F1002&lt;&gt;"", DATEVALUE(MID($A1002,4,3) &amp; LEFT($A1002,3) &amp; RIGHT($A1002,4)), "")</f>
        <v/>
      </c>
      <c r="P1002" s="34" t="str">
        <f>IFERROR(VLOOKUP($Q1002,Selection!$F:$G,2,false))</f>
        <v/>
      </c>
      <c r="Q1002" s="36" t="str">
        <f>IF(AND($X1002="change",$H1002="EUR"),IF(AND($Z1002="Crédit",$N1002=$N1003),$Q1003,IF(AND($Z1002="Débit",$N1002=$N1001),$Q1001)),IF(OR(AND(OR($E1002&lt;&gt;"",$L1002=""),$M1002&lt;&gt;0),$A1002=""),IFERROR(VLOOKUP($E1002,Selection!$E:$F,2,false)),IFERROR(VLOOKUP(SUBSTITUTE($I1002,"-","",1),$K1003:$Q1119,7,false),VLOOKUP($K1002,$K1003:$Q1119,7,false))))</f>
        <v/>
      </c>
      <c r="R1002" s="34" t="str">
        <f t="shared" si="2"/>
        <v/>
      </c>
      <c r="S1002" s="37" t="str">
        <f t="shared" si="3"/>
        <v/>
      </c>
      <c r="T1002" s="38" t="str">
        <f t="shared" si="4"/>
        <v/>
      </c>
      <c r="U1002" s="28" t="str">
        <f t="shared" si="5"/>
        <v/>
      </c>
      <c r="V1002" s="39" t="str">
        <f>IFERROR(__xludf.DUMMYFUNCTION(" IF(Account!$F1002&lt;&gt;"""", SPLIT(Account!$F1002, "" ""), """")"),"")</f>
        <v/>
      </c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</row>
    <row r="1003">
      <c r="A1003" s="341"/>
      <c r="B1003" s="341"/>
      <c r="C1003" s="341"/>
      <c r="D1003" s="341"/>
      <c r="E1003" s="341"/>
      <c r="F1003" s="373"/>
      <c r="G1003" s="341"/>
      <c r="H1003" s="341"/>
      <c r="I1003" s="341"/>
      <c r="J1003" s="341"/>
      <c r="K1003" s="341"/>
      <c r="L1003" s="26" t="str">
        <f t="shared" si="1"/>
        <v/>
      </c>
      <c r="M1003" s="28" t="str">
        <f>IFERROR(__xludf.DUMMYFUNCTION("IF(Account!$F1003&lt;&gt;"""", VALUE(REGEXREPLACE($I1003, ""\,"", ""."")), """")"),"")</f>
        <v/>
      </c>
      <c r="N1003" s="31" t="str">
        <f>IF(Account!$F1003&lt;&gt;"", DATEVALUE(MID($A1003,4,3) &amp; LEFT($A1003,3) &amp; RIGHT($A1003,4)) + TIMEVALUE($B1003), "")</f>
        <v/>
      </c>
      <c r="O1003" s="33" t="str">
        <f>IF(Account!$F1003&lt;&gt;"", DATEVALUE(MID($A1003,4,3) &amp; LEFT($A1003,3) &amp; RIGHT($A1003,4)), "")</f>
        <v/>
      </c>
      <c r="P1003" s="34" t="str">
        <f>IFERROR(VLOOKUP($Q1003,Selection!$F:$G,2,false))</f>
        <v/>
      </c>
      <c r="Q1003" s="36" t="str">
        <f>IF(AND($X1003="change",$H1003="EUR"),IF(AND($Z1003="Crédit",$N1003=$N1004),$Q1004,IF(AND($Z1003="Débit",$N1003=$N1002),$Q1002)),IF(OR(AND(OR($E1003&lt;&gt;"",$L1003=""),$M1003&lt;&gt;0),$A1003=""),IFERROR(VLOOKUP($E1003,Selection!$E:$F,2,false)),IFERROR(VLOOKUP(SUBSTITUTE($I1003,"-","",1),$K1004:$Q1119,7,false),VLOOKUP($K1003,$K1004:$Q1119,7,false))))</f>
        <v/>
      </c>
      <c r="R1003" s="34" t="str">
        <f t="shared" si="2"/>
        <v/>
      </c>
      <c r="S1003" s="37" t="str">
        <f t="shared" si="3"/>
        <v/>
      </c>
      <c r="T1003" s="38" t="str">
        <f t="shared" si="4"/>
        <v/>
      </c>
      <c r="U1003" s="28" t="str">
        <f t="shared" si="5"/>
        <v/>
      </c>
      <c r="V1003" s="39" t="str">
        <f>IFERROR(__xludf.DUMMYFUNCTION(" IF(Account!$F1003&lt;&gt;"""", SPLIT(Account!$F1003, "" ""), """")"),"")</f>
        <v/>
      </c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</row>
    <row r="1004">
      <c r="A1004" s="341"/>
      <c r="B1004" s="341"/>
      <c r="C1004" s="341"/>
      <c r="D1004" s="341"/>
      <c r="E1004" s="341"/>
      <c r="F1004" s="373"/>
      <c r="G1004" s="341"/>
      <c r="H1004" s="341"/>
      <c r="I1004" s="341"/>
      <c r="J1004" s="341"/>
      <c r="K1004" s="341"/>
      <c r="L1004" s="26" t="str">
        <f t="shared" si="1"/>
        <v/>
      </c>
      <c r="M1004" s="28" t="str">
        <f>IFERROR(__xludf.DUMMYFUNCTION("IF(Account!$F1004&lt;&gt;"""", VALUE(REGEXREPLACE($I1004, ""\,"", ""."")), """")"),"")</f>
        <v/>
      </c>
      <c r="N1004" s="31" t="str">
        <f>IF(Account!$F1004&lt;&gt;"", DATEVALUE(MID($A1004,4,3) &amp; LEFT($A1004,3) &amp; RIGHT($A1004,4)) + TIMEVALUE($B1004), "")</f>
        <v/>
      </c>
      <c r="O1004" s="33" t="str">
        <f>IF(Account!$F1004&lt;&gt;"", DATEVALUE(MID($A1004,4,3) &amp; LEFT($A1004,3) &amp; RIGHT($A1004,4)), "")</f>
        <v/>
      </c>
      <c r="P1004" s="34" t="str">
        <f>IFERROR(VLOOKUP($Q1004,Selection!$F:$G,2,false))</f>
        <v/>
      </c>
      <c r="Q1004" s="36" t="str">
        <f>IF(AND($X1004="change",$H1004="EUR"),IF(AND($Z1004="Crédit",$N1004=$N1005),$Q1005,IF(AND($Z1004="Débit",$N1004=$N1003),$Q1003)),IF(OR(AND(OR($E1004&lt;&gt;"",$L1004=""),$M1004&lt;&gt;0),$A1004=""),IFERROR(VLOOKUP($E1004,Selection!$E:$F,2,false)),IFERROR(VLOOKUP(SUBSTITUTE($I1004,"-","",1),$K1005:$Q1119,7,false),VLOOKUP($K1004,$K1005:$Q1119,7,false))))</f>
        <v/>
      </c>
      <c r="R1004" s="34" t="str">
        <f t="shared" si="2"/>
        <v/>
      </c>
      <c r="S1004" s="37" t="str">
        <f t="shared" si="3"/>
        <v/>
      </c>
      <c r="T1004" s="38" t="str">
        <f t="shared" si="4"/>
        <v/>
      </c>
      <c r="U1004" s="28" t="str">
        <f t="shared" si="5"/>
        <v/>
      </c>
      <c r="V1004" s="39" t="str">
        <f>IFERROR(__xludf.DUMMYFUNCTION(" IF(Account!$F1004&lt;&gt;"""", SPLIT(Account!$F1004, "" ""), """")"),"")</f>
        <v/>
      </c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</row>
    <row r="1005">
      <c r="A1005" s="341"/>
      <c r="B1005" s="341"/>
      <c r="C1005" s="341"/>
      <c r="D1005" s="341"/>
      <c r="E1005" s="341"/>
      <c r="F1005" s="373"/>
      <c r="G1005" s="341"/>
      <c r="H1005" s="341"/>
      <c r="I1005" s="341"/>
      <c r="J1005" s="341"/>
      <c r="K1005" s="341"/>
      <c r="L1005" s="26" t="str">
        <f t="shared" si="1"/>
        <v/>
      </c>
      <c r="M1005" s="28" t="str">
        <f>IFERROR(__xludf.DUMMYFUNCTION("IF(Account!$F1005&lt;&gt;"""", VALUE(REGEXREPLACE($I1005, ""\,"", ""."")), """")"),"")</f>
        <v/>
      </c>
      <c r="N1005" s="31" t="str">
        <f>IF(Account!$F1005&lt;&gt;"", DATEVALUE(MID($A1005,4,3) &amp; LEFT($A1005,3) &amp; RIGHT($A1005,4)) + TIMEVALUE($B1005), "")</f>
        <v/>
      </c>
      <c r="O1005" s="33" t="str">
        <f>IF(Account!$F1005&lt;&gt;"", DATEVALUE(MID($A1005,4,3) &amp; LEFT($A1005,3) &amp; RIGHT($A1005,4)), "")</f>
        <v/>
      </c>
      <c r="P1005" s="34" t="str">
        <f>IFERROR(VLOOKUP($Q1005,Selection!$F:$G,2,false))</f>
        <v/>
      </c>
      <c r="Q1005" s="36" t="str">
        <f>IF(AND($X1005="change",$H1005="EUR"),IF(AND($Z1005="Crédit",$N1005=$N1006),$Q1006,IF(AND($Z1005="Débit",$N1005=$N1004),$Q1004)),IF(OR(AND(OR($E1005&lt;&gt;"",$L1005=""),$M1005&lt;&gt;0),$A1005=""),IFERROR(VLOOKUP($E1005,Selection!$E:$F,2,false)),IFERROR(VLOOKUP(SUBSTITUTE($I1005,"-","",1),$K1006:$Q1119,7,false),VLOOKUP($K1005,$K1006:$Q1119,7,false))))</f>
        <v/>
      </c>
      <c r="R1005" s="34" t="str">
        <f t="shared" si="2"/>
        <v/>
      </c>
      <c r="S1005" s="37" t="str">
        <f t="shared" si="3"/>
        <v/>
      </c>
      <c r="T1005" s="38" t="str">
        <f t="shared" si="4"/>
        <v/>
      </c>
      <c r="U1005" s="28" t="str">
        <f t="shared" si="5"/>
        <v/>
      </c>
      <c r="V1005" s="39" t="str">
        <f>IFERROR(__xludf.DUMMYFUNCTION(" IF(Account!$F1005&lt;&gt;"""", SPLIT(Account!$F1005, "" ""), """")"),"")</f>
        <v/>
      </c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</row>
    <row r="1006">
      <c r="A1006" s="341"/>
      <c r="B1006" s="341"/>
      <c r="C1006" s="341"/>
      <c r="D1006" s="341"/>
      <c r="E1006" s="341"/>
      <c r="F1006" s="373"/>
      <c r="G1006" s="341"/>
      <c r="H1006" s="341"/>
      <c r="I1006" s="341"/>
      <c r="J1006" s="341"/>
      <c r="K1006" s="341"/>
      <c r="L1006" s="26" t="str">
        <f t="shared" si="1"/>
        <v/>
      </c>
      <c r="M1006" s="28" t="str">
        <f>IFERROR(__xludf.DUMMYFUNCTION("IF(Account!$F1006&lt;&gt;"""", VALUE(REGEXREPLACE($I1006, ""\,"", ""."")), """")"),"")</f>
        <v/>
      </c>
      <c r="N1006" s="31" t="str">
        <f>IF(Account!$F1006&lt;&gt;"", DATEVALUE(MID($A1006,4,3) &amp; LEFT($A1006,3) &amp; RIGHT($A1006,4)) + TIMEVALUE($B1006), "")</f>
        <v/>
      </c>
      <c r="O1006" s="33" t="str">
        <f>IF(Account!$F1006&lt;&gt;"", DATEVALUE(MID($A1006,4,3) &amp; LEFT($A1006,3) &amp; RIGHT($A1006,4)), "")</f>
        <v/>
      </c>
      <c r="P1006" s="34" t="str">
        <f>IFERROR(VLOOKUP($Q1006,Selection!$F:$G,2,false))</f>
        <v/>
      </c>
      <c r="Q1006" s="36" t="str">
        <f>IF(AND($X1006="change",$H1006="EUR"),IF(AND($Z1006="Crédit",$N1006=$N1007),$Q1007,IF(AND($Z1006="Débit",$N1006=$N1005),$Q1005)),IF(OR(AND(OR($E1006&lt;&gt;"",$L1006=""),$M1006&lt;&gt;0),$A1006=""),IFERROR(VLOOKUP($E1006,Selection!$E:$F,2,false)),IFERROR(VLOOKUP(SUBSTITUTE($I1006,"-","",1),$K1007:$Q1119,7,false),VLOOKUP($K1006,$K1007:$Q1119,7,false))))</f>
        <v/>
      </c>
      <c r="R1006" s="34" t="str">
        <f t="shared" si="2"/>
        <v/>
      </c>
      <c r="S1006" s="37" t="str">
        <f t="shared" si="3"/>
        <v/>
      </c>
      <c r="T1006" s="38" t="str">
        <f t="shared" si="4"/>
        <v/>
      </c>
      <c r="U1006" s="28" t="str">
        <f t="shared" si="5"/>
        <v/>
      </c>
      <c r="V1006" s="39" t="str">
        <f>IFERROR(__xludf.DUMMYFUNCTION(" IF(Account!$F1006&lt;&gt;"""", SPLIT(Account!$F1006, "" ""), """")"),"")</f>
        <v/>
      </c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</row>
    <row r="1007">
      <c r="A1007" s="341"/>
      <c r="B1007" s="341"/>
      <c r="C1007" s="341"/>
      <c r="D1007" s="341"/>
      <c r="E1007" s="341"/>
      <c r="F1007" s="373"/>
      <c r="G1007" s="341"/>
      <c r="H1007" s="341"/>
      <c r="I1007" s="341"/>
      <c r="J1007" s="341"/>
      <c r="K1007" s="341"/>
      <c r="L1007" s="26" t="str">
        <f t="shared" si="1"/>
        <v/>
      </c>
      <c r="M1007" s="28" t="str">
        <f>IFERROR(__xludf.DUMMYFUNCTION("IF(Account!$F1007&lt;&gt;"""", VALUE(REGEXREPLACE($I1007, ""\,"", ""."")), """")"),"")</f>
        <v/>
      </c>
      <c r="N1007" s="31" t="str">
        <f>IF(Account!$F1007&lt;&gt;"", DATEVALUE(MID($A1007,4,3) &amp; LEFT($A1007,3) &amp; RIGHT($A1007,4)) + TIMEVALUE($B1007), "")</f>
        <v/>
      </c>
      <c r="O1007" s="33" t="str">
        <f>IF(Account!$F1007&lt;&gt;"", DATEVALUE(MID($A1007,4,3) &amp; LEFT($A1007,3) &amp; RIGHT($A1007,4)), "")</f>
        <v/>
      </c>
      <c r="P1007" s="34" t="str">
        <f>IFERROR(VLOOKUP($Q1007,Selection!$F:$G,2,false))</f>
        <v/>
      </c>
      <c r="Q1007" s="36" t="str">
        <f>IF(AND($X1007="change",$H1007="EUR"),IF(AND($Z1007="Crédit",$N1007=$N1008),$Q1008,IF(AND($Z1007="Débit",$N1007=$N1006),$Q1006)),IF(OR(AND(OR($E1007&lt;&gt;"",$L1007=""),$M1007&lt;&gt;0),$A1007=""),IFERROR(VLOOKUP($E1007,Selection!$E:$F,2,false)),IFERROR(VLOOKUP(SUBSTITUTE($I1007,"-","",1),$K1008:$Q1119,7,false),VLOOKUP($K1007,$K1008:$Q1119,7,false))))</f>
        <v/>
      </c>
      <c r="R1007" s="34" t="str">
        <f t="shared" si="2"/>
        <v/>
      </c>
      <c r="S1007" s="37" t="str">
        <f t="shared" si="3"/>
        <v/>
      </c>
      <c r="T1007" s="38" t="str">
        <f t="shared" si="4"/>
        <v/>
      </c>
      <c r="U1007" s="28" t="str">
        <f t="shared" si="5"/>
        <v/>
      </c>
      <c r="V1007" s="39" t="str">
        <f>IFERROR(__xludf.DUMMYFUNCTION(" IF(Account!$F1007&lt;&gt;"""", SPLIT(Account!$F1007, "" ""), """")"),"")</f>
        <v/>
      </c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</row>
    <row r="1008">
      <c r="A1008" s="341"/>
      <c r="B1008" s="341"/>
      <c r="C1008" s="341"/>
      <c r="D1008" s="341"/>
      <c r="E1008" s="341"/>
      <c r="F1008" s="373"/>
      <c r="G1008" s="341"/>
      <c r="H1008" s="341"/>
      <c r="I1008" s="341"/>
      <c r="J1008" s="341"/>
      <c r="K1008" s="341"/>
      <c r="L1008" s="26" t="str">
        <f t="shared" si="1"/>
        <v/>
      </c>
      <c r="M1008" s="28" t="str">
        <f>IFERROR(__xludf.DUMMYFUNCTION("IF(Account!$F1008&lt;&gt;"""", VALUE(REGEXREPLACE($I1008, ""\,"", ""."")), """")"),"")</f>
        <v/>
      </c>
      <c r="N1008" s="31" t="str">
        <f>IF(Account!$F1008&lt;&gt;"", DATEVALUE(MID($A1008,4,3) &amp; LEFT($A1008,3) &amp; RIGHT($A1008,4)) + TIMEVALUE($B1008), "")</f>
        <v/>
      </c>
      <c r="O1008" s="33" t="str">
        <f>IF(Account!$F1008&lt;&gt;"", DATEVALUE(MID($A1008,4,3) &amp; LEFT($A1008,3) &amp; RIGHT($A1008,4)), "")</f>
        <v/>
      </c>
      <c r="P1008" s="34" t="str">
        <f>IFERROR(VLOOKUP($Q1008,Selection!$F:$G,2,false))</f>
        <v/>
      </c>
      <c r="Q1008" s="36" t="str">
        <f>IF(AND($X1008="change",$H1008="EUR"),IF(AND($Z1008="Crédit",$N1008=$N1009),$Q1009,IF(AND($Z1008="Débit",$N1008=$N1007),$Q1007)),IF(OR(AND(OR($E1008&lt;&gt;"",$L1008=""),$M1008&lt;&gt;0),$A1008=""),IFERROR(VLOOKUP($E1008,Selection!$E:$F,2,false)),IFERROR(VLOOKUP(SUBSTITUTE($I1008,"-","",1),$K1009:$Q1119,7,false),VLOOKUP($K1008,$K1009:$Q1119,7,false))))</f>
        <v/>
      </c>
      <c r="R1008" s="34" t="str">
        <f t="shared" si="2"/>
        <v/>
      </c>
      <c r="S1008" s="37" t="str">
        <f t="shared" si="3"/>
        <v/>
      </c>
      <c r="T1008" s="38" t="str">
        <f t="shared" si="4"/>
        <v/>
      </c>
      <c r="U1008" s="28" t="str">
        <f t="shared" si="5"/>
        <v/>
      </c>
      <c r="V1008" s="39" t="str">
        <f>IFERROR(__xludf.DUMMYFUNCTION(" IF(Account!$F1008&lt;&gt;"""", SPLIT(Account!$F1008, "" ""), """")"),"")</f>
        <v/>
      </c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</row>
    <row r="1009">
      <c r="A1009" s="341"/>
      <c r="B1009" s="341"/>
      <c r="C1009" s="341"/>
      <c r="D1009" s="341"/>
      <c r="E1009" s="341"/>
      <c r="F1009" s="373"/>
      <c r="G1009" s="341"/>
      <c r="H1009" s="341"/>
      <c r="I1009" s="341"/>
      <c r="J1009" s="341"/>
      <c r="K1009" s="341"/>
      <c r="L1009" s="26" t="str">
        <f t="shared" si="1"/>
        <v/>
      </c>
      <c r="M1009" s="28" t="str">
        <f>IFERROR(__xludf.DUMMYFUNCTION("IF(Account!$F1009&lt;&gt;"""", VALUE(REGEXREPLACE($I1009, ""\,"", ""."")), """")"),"")</f>
        <v/>
      </c>
      <c r="N1009" s="31" t="str">
        <f>IF(Account!$F1009&lt;&gt;"", DATEVALUE(MID($A1009,4,3) &amp; LEFT($A1009,3) &amp; RIGHT($A1009,4)) + TIMEVALUE($B1009), "")</f>
        <v/>
      </c>
      <c r="O1009" s="33" t="str">
        <f>IF(Account!$F1009&lt;&gt;"", DATEVALUE(MID($A1009,4,3) &amp; LEFT($A1009,3) &amp; RIGHT($A1009,4)), "")</f>
        <v/>
      </c>
      <c r="P1009" s="34" t="str">
        <f>IFERROR(VLOOKUP($Q1009,Selection!$F:$G,2,false))</f>
        <v/>
      </c>
      <c r="Q1009" s="36" t="str">
        <f>IF(AND($X1009="change",$H1009="EUR"),IF(AND($Z1009="Crédit",$N1009=$N1010),$Q1010,IF(AND($Z1009="Débit",$N1009=$N1008),$Q1008)),IF(OR(AND(OR($E1009&lt;&gt;"",$L1009=""),$M1009&lt;&gt;0),$A1009=""),IFERROR(VLOOKUP($E1009,Selection!$E:$F,2,false)),IFERROR(VLOOKUP(SUBSTITUTE($I1009,"-","",1),$K1010:$Q1119,7,false),VLOOKUP($K1009,$K1010:$Q1119,7,false))))</f>
        <v/>
      </c>
      <c r="R1009" s="34" t="str">
        <f t="shared" si="2"/>
        <v/>
      </c>
      <c r="S1009" s="37" t="str">
        <f t="shared" si="3"/>
        <v/>
      </c>
      <c r="T1009" s="38" t="str">
        <f t="shared" si="4"/>
        <v/>
      </c>
      <c r="U1009" s="28" t="str">
        <f t="shared" si="5"/>
        <v/>
      </c>
      <c r="V1009" s="39" t="str">
        <f>IFERROR(__xludf.DUMMYFUNCTION(" IF(Account!$F1009&lt;&gt;"""", SPLIT(Account!$F1009, "" ""), """")"),"")</f>
        <v/>
      </c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</row>
    <row r="1010">
      <c r="A1010" s="341"/>
      <c r="B1010" s="341"/>
      <c r="C1010" s="341"/>
      <c r="D1010" s="341"/>
      <c r="E1010" s="341"/>
      <c r="F1010" s="373"/>
      <c r="G1010" s="341"/>
      <c r="H1010" s="341"/>
      <c r="I1010" s="341"/>
      <c r="J1010" s="341"/>
      <c r="K1010" s="341"/>
      <c r="L1010" s="26" t="str">
        <f t="shared" si="1"/>
        <v/>
      </c>
      <c r="M1010" s="28" t="str">
        <f>IFERROR(__xludf.DUMMYFUNCTION("IF(Account!$F1010&lt;&gt;"""", VALUE(REGEXREPLACE($I1010, ""\,"", ""."")), """")"),"")</f>
        <v/>
      </c>
      <c r="N1010" s="31" t="str">
        <f>IF(Account!$F1010&lt;&gt;"", DATEVALUE(MID($A1010,4,3) &amp; LEFT($A1010,3) &amp; RIGHT($A1010,4)) + TIMEVALUE($B1010), "")</f>
        <v/>
      </c>
      <c r="O1010" s="33" t="str">
        <f>IF(Account!$F1010&lt;&gt;"", DATEVALUE(MID($A1010,4,3) &amp; LEFT($A1010,3) &amp; RIGHT($A1010,4)), "")</f>
        <v/>
      </c>
      <c r="P1010" s="34" t="str">
        <f>IFERROR(VLOOKUP($Q1010,Selection!$F:$G,2,false))</f>
        <v/>
      </c>
      <c r="Q1010" s="36" t="str">
        <f>IF(AND($X1010="change",$H1010="EUR"),IF(AND($Z1010="Crédit",$N1010=$N1011),$Q1011,IF(AND($Z1010="Débit",$N1010=$N1009),$Q1009)),IF(OR(AND(OR($E1010&lt;&gt;"",$L1010=""),$M1010&lt;&gt;0),$A1010=""),IFERROR(VLOOKUP($E1010,Selection!$E:$F,2,false)),IFERROR(VLOOKUP(SUBSTITUTE($I1010,"-","",1),$K1011:$Q1119,7,false),VLOOKUP($K1010,$K1011:$Q1119,7,false))))</f>
        <v/>
      </c>
      <c r="R1010" s="34" t="str">
        <f t="shared" si="2"/>
        <v/>
      </c>
      <c r="S1010" s="37" t="str">
        <f t="shared" si="3"/>
        <v/>
      </c>
      <c r="T1010" s="38" t="str">
        <f t="shared" si="4"/>
        <v/>
      </c>
      <c r="U1010" s="28" t="str">
        <f t="shared" si="5"/>
        <v/>
      </c>
      <c r="V1010" s="39" t="str">
        <f>IFERROR(__xludf.DUMMYFUNCTION(" IF(Account!$F1010&lt;&gt;"""", SPLIT(Account!$F1010, "" ""), """")"),"")</f>
        <v/>
      </c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</row>
    <row r="1011">
      <c r="A1011" s="341"/>
      <c r="B1011" s="341"/>
      <c r="C1011" s="341"/>
      <c r="D1011" s="341"/>
      <c r="E1011" s="341"/>
      <c r="F1011" s="373"/>
      <c r="G1011" s="341"/>
      <c r="H1011" s="341"/>
      <c r="I1011" s="341"/>
      <c r="J1011" s="341"/>
      <c r="K1011" s="341"/>
      <c r="L1011" s="26" t="str">
        <f t="shared" si="1"/>
        <v/>
      </c>
      <c r="M1011" s="28" t="str">
        <f>IFERROR(__xludf.DUMMYFUNCTION("IF(Account!$F1011&lt;&gt;"""", VALUE(REGEXREPLACE($I1011, ""\,"", ""."")), """")"),"")</f>
        <v/>
      </c>
      <c r="N1011" s="31" t="str">
        <f>IF(Account!$F1011&lt;&gt;"", DATEVALUE(MID($A1011,4,3) &amp; LEFT($A1011,3) &amp; RIGHT($A1011,4)) + TIMEVALUE($B1011), "")</f>
        <v/>
      </c>
      <c r="O1011" s="33" t="str">
        <f>IF(Account!$F1011&lt;&gt;"", DATEVALUE(MID($A1011,4,3) &amp; LEFT($A1011,3) &amp; RIGHT($A1011,4)), "")</f>
        <v/>
      </c>
      <c r="P1011" s="34" t="str">
        <f>IFERROR(VLOOKUP($Q1011,Selection!$F:$G,2,false))</f>
        <v/>
      </c>
      <c r="Q1011" s="36" t="str">
        <f>IF(AND($X1011="change",$H1011="EUR"),IF(AND($Z1011="Crédit",$N1011=$N1012),$Q1012,IF(AND($Z1011="Débit",$N1011=$N1010),$Q1010)),IF(OR(AND(OR($E1011&lt;&gt;"",$L1011=""),$M1011&lt;&gt;0),$A1011=""),IFERROR(VLOOKUP($E1011,Selection!$E:$F,2,false)),IFERROR(VLOOKUP(SUBSTITUTE($I1011,"-","",1),$K1012:$Q1119,7,false),VLOOKUP($K1011,$K1012:$Q1119,7,false))))</f>
        <v/>
      </c>
      <c r="R1011" s="34" t="str">
        <f t="shared" si="2"/>
        <v/>
      </c>
      <c r="S1011" s="37" t="str">
        <f t="shared" si="3"/>
        <v/>
      </c>
      <c r="T1011" s="38" t="str">
        <f t="shared" si="4"/>
        <v/>
      </c>
      <c r="U1011" s="28" t="str">
        <f t="shared" si="5"/>
        <v/>
      </c>
      <c r="V1011" s="39" t="str">
        <f>IFERROR(__xludf.DUMMYFUNCTION(" IF(Account!$F1011&lt;&gt;"""", SPLIT(Account!$F1011, "" ""), """")"),"")</f>
        <v/>
      </c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</row>
    <row r="1012">
      <c r="A1012" s="341"/>
      <c r="B1012" s="341"/>
      <c r="C1012" s="341"/>
      <c r="D1012" s="341"/>
      <c r="E1012" s="341"/>
      <c r="F1012" s="373"/>
      <c r="G1012" s="341"/>
      <c r="H1012" s="341"/>
      <c r="I1012" s="341"/>
      <c r="J1012" s="341"/>
      <c r="K1012" s="341"/>
      <c r="L1012" s="26" t="str">
        <f t="shared" si="1"/>
        <v/>
      </c>
      <c r="M1012" s="28" t="str">
        <f>IFERROR(__xludf.DUMMYFUNCTION("IF(Account!$F1012&lt;&gt;"""", VALUE(REGEXREPLACE($I1012, ""\,"", ""."")), """")"),"")</f>
        <v/>
      </c>
      <c r="N1012" s="31" t="str">
        <f>IF(Account!$F1012&lt;&gt;"", DATEVALUE(MID($A1012,4,3) &amp; LEFT($A1012,3) &amp; RIGHT($A1012,4)) + TIMEVALUE($B1012), "")</f>
        <v/>
      </c>
      <c r="O1012" s="33" t="str">
        <f>IF(Account!$F1012&lt;&gt;"", DATEVALUE(MID($A1012,4,3) &amp; LEFT($A1012,3) &amp; RIGHT($A1012,4)), "")</f>
        <v/>
      </c>
      <c r="P1012" s="34" t="str">
        <f>IFERROR(VLOOKUP($Q1012,Selection!$F:$G,2,false))</f>
        <v/>
      </c>
      <c r="Q1012" s="36" t="str">
        <f>IF(AND($X1012="change",$H1012="EUR"),IF(AND($Z1012="Crédit",$N1012=$N1013),$Q1013,IF(AND($Z1012="Débit",$N1012=$N1011),$Q1011)),IF(OR(AND(OR($E1012&lt;&gt;"",$L1012=""),$M1012&lt;&gt;0),$A1012=""),IFERROR(VLOOKUP($E1012,Selection!$E:$F,2,false)),IFERROR(VLOOKUP(SUBSTITUTE($I1012,"-","",1),$K1013:$Q1119,7,false),VLOOKUP($K1012,$K1013:$Q1119,7,false))))</f>
        <v/>
      </c>
      <c r="R1012" s="34" t="str">
        <f t="shared" si="2"/>
        <v/>
      </c>
      <c r="S1012" s="37" t="str">
        <f t="shared" si="3"/>
        <v/>
      </c>
      <c r="T1012" s="38" t="str">
        <f t="shared" si="4"/>
        <v/>
      </c>
      <c r="U1012" s="28" t="str">
        <f t="shared" si="5"/>
        <v/>
      </c>
      <c r="V1012" s="39" t="str">
        <f>IFERROR(__xludf.DUMMYFUNCTION(" IF(Account!$F1012&lt;&gt;"""", SPLIT(Account!$F1012, "" ""), """")"),"")</f>
        <v/>
      </c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</row>
    <row r="1013">
      <c r="A1013" s="341"/>
      <c r="B1013" s="341"/>
      <c r="C1013" s="341"/>
      <c r="D1013" s="341"/>
      <c r="E1013" s="341"/>
      <c r="F1013" s="373"/>
      <c r="G1013" s="341"/>
      <c r="H1013" s="341"/>
      <c r="I1013" s="341"/>
      <c r="J1013" s="341"/>
      <c r="K1013" s="341"/>
      <c r="L1013" s="26" t="str">
        <f t="shared" si="1"/>
        <v/>
      </c>
      <c r="M1013" s="28" t="str">
        <f>IFERROR(__xludf.DUMMYFUNCTION("IF(Account!$F1013&lt;&gt;"""", VALUE(REGEXREPLACE($I1013, ""\,"", ""."")), """")"),"")</f>
        <v/>
      </c>
      <c r="N1013" s="31" t="str">
        <f>IF(Account!$F1013&lt;&gt;"", DATEVALUE(MID($A1013,4,3) &amp; LEFT($A1013,3) &amp; RIGHT($A1013,4)) + TIMEVALUE($B1013), "")</f>
        <v/>
      </c>
      <c r="O1013" s="33" t="str">
        <f>IF(Account!$F1013&lt;&gt;"", DATEVALUE(MID($A1013,4,3) &amp; LEFT($A1013,3) &amp; RIGHT($A1013,4)), "")</f>
        <v/>
      </c>
      <c r="P1013" s="34" t="str">
        <f>IFERROR(VLOOKUP($Q1013,Selection!$F:$G,2,false))</f>
        <v/>
      </c>
      <c r="Q1013" s="36" t="str">
        <f>IF(AND($X1013="change",$H1013="EUR"),IF(AND($Z1013="Crédit",$N1013=$N1014),$Q1014,IF(AND($Z1013="Débit",$N1013=$N1012),$Q1012)),IF(OR(AND(OR($E1013&lt;&gt;"",$L1013=""),$M1013&lt;&gt;0),$A1013=""),IFERROR(VLOOKUP($E1013,Selection!$E:$F,2,false)),IFERROR(VLOOKUP(SUBSTITUTE($I1013,"-","",1),$K1014:$Q1119,7,false),VLOOKUP($K1013,$K1014:$Q1119,7,false))))</f>
        <v/>
      </c>
      <c r="R1013" s="34" t="str">
        <f t="shared" si="2"/>
        <v/>
      </c>
      <c r="S1013" s="37" t="str">
        <f t="shared" si="3"/>
        <v/>
      </c>
      <c r="T1013" s="38" t="str">
        <f t="shared" si="4"/>
        <v/>
      </c>
      <c r="U1013" s="28" t="str">
        <f t="shared" si="5"/>
        <v/>
      </c>
      <c r="V1013" s="39" t="str">
        <f>IFERROR(__xludf.DUMMYFUNCTION(" IF(Account!$F1013&lt;&gt;"""", SPLIT(Account!$F1013, "" ""), """")"),"")</f>
        <v/>
      </c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</row>
    <row r="1014">
      <c r="A1014" s="341"/>
      <c r="B1014" s="341"/>
      <c r="C1014" s="341"/>
      <c r="D1014" s="341"/>
      <c r="E1014" s="341"/>
      <c r="F1014" s="373"/>
      <c r="G1014" s="341"/>
      <c r="H1014" s="341"/>
      <c r="I1014" s="341"/>
      <c r="J1014" s="341"/>
      <c r="K1014" s="341"/>
      <c r="L1014" s="26" t="str">
        <f t="shared" si="1"/>
        <v/>
      </c>
      <c r="M1014" s="28" t="str">
        <f>IFERROR(__xludf.DUMMYFUNCTION("IF(Account!$F1014&lt;&gt;"""", VALUE(REGEXREPLACE($I1014, ""\,"", ""."")), """")"),"")</f>
        <v/>
      </c>
      <c r="N1014" s="31" t="str">
        <f>IF(Account!$F1014&lt;&gt;"", DATEVALUE(MID($A1014,4,3) &amp; LEFT($A1014,3) &amp; RIGHT($A1014,4)) + TIMEVALUE($B1014), "")</f>
        <v/>
      </c>
      <c r="O1014" s="33" t="str">
        <f>IF(Account!$F1014&lt;&gt;"", DATEVALUE(MID($A1014,4,3) &amp; LEFT($A1014,3) &amp; RIGHT($A1014,4)), "")</f>
        <v/>
      </c>
      <c r="P1014" s="34" t="str">
        <f>IFERROR(VLOOKUP($Q1014,Selection!$F:$G,2,false))</f>
        <v/>
      </c>
      <c r="Q1014" s="36" t="str">
        <f>IF(AND($X1014="change",$H1014="EUR"),IF(AND($Z1014="Crédit",$N1014=$N1015),$Q1015,IF(AND($Z1014="Débit",$N1014=$N1013),$Q1013)),IF(OR(AND(OR($E1014&lt;&gt;"",$L1014=""),$M1014&lt;&gt;0),$A1014=""),IFERROR(VLOOKUP($E1014,Selection!$E:$F,2,false)),IFERROR(VLOOKUP(SUBSTITUTE($I1014,"-","",1),$K1015:$Q1119,7,false),VLOOKUP($K1014,$K1015:$Q1119,7,false))))</f>
        <v/>
      </c>
      <c r="R1014" s="34" t="str">
        <f t="shared" si="2"/>
        <v/>
      </c>
      <c r="S1014" s="37" t="str">
        <f t="shared" si="3"/>
        <v/>
      </c>
      <c r="T1014" s="38" t="str">
        <f t="shared" si="4"/>
        <v/>
      </c>
      <c r="U1014" s="28" t="str">
        <f t="shared" si="5"/>
        <v/>
      </c>
      <c r="V1014" s="39" t="str">
        <f>IFERROR(__xludf.DUMMYFUNCTION(" IF(Account!$F1014&lt;&gt;"""", SPLIT(Account!$F1014, "" ""), """")"),"")</f>
        <v/>
      </c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</row>
    <row r="1015">
      <c r="A1015" s="341"/>
      <c r="B1015" s="341"/>
      <c r="C1015" s="341"/>
      <c r="D1015" s="341"/>
      <c r="E1015" s="341"/>
      <c r="F1015" s="373"/>
      <c r="G1015" s="341"/>
      <c r="H1015" s="341"/>
      <c r="I1015" s="341"/>
      <c r="J1015" s="341"/>
      <c r="K1015" s="341"/>
      <c r="L1015" s="26" t="str">
        <f t="shared" si="1"/>
        <v/>
      </c>
      <c r="M1015" s="28" t="str">
        <f>IFERROR(__xludf.DUMMYFUNCTION("IF(Account!$F1015&lt;&gt;"""", VALUE(REGEXREPLACE($I1015, ""\,"", ""."")), """")"),"")</f>
        <v/>
      </c>
      <c r="N1015" s="31" t="str">
        <f>IF(Account!$F1015&lt;&gt;"", DATEVALUE(MID($A1015,4,3) &amp; LEFT($A1015,3) &amp; RIGHT($A1015,4)) + TIMEVALUE($B1015), "")</f>
        <v/>
      </c>
      <c r="O1015" s="33" t="str">
        <f>IF(Account!$F1015&lt;&gt;"", DATEVALUE(MID($A1015,4,3) &amp; LEFT($A1015,3) &amp; RIGHT($A1015,4)), "")</f>
        <v/>
      </c>
      <c r="P1015" s="34" t="str">
        <f>IFERROR(VLOOKUP($Q1015,Selection!$F:$G,2,false))</f>
        <v/>
      </c>
      <c r="Q1015" s="36" t="str">
        <f>IF(AND($X1015="change",$H1015="EUR"),IF(AND($Z1015="Crédit",$N1015=$N1016),$Q1016,IF(AND($Z1015="Débit",$N1015=$N1014),$Q1014)),IF(OR(AND(OR($E1015&lt;&gt;"",$L1015=""),$M1015&lt;&gt;0),$A1015=""),IFERROR(VLOOKUP($E1015,Selection!$E:$F,2,false)),IFERROR(VLOOKUP(SUBSTITUTE($I1015,"-","",1),$K1016:$Q1119,7,false),VLOOKUP($K1015,$K1016:$Q1119,7,false))))</f>
        <v/>
      </c>
      <c r="R1015" s="34" t="str">
        <f t="shared" si="2"/>
        <v/>
      </c>
      <c r="S1015" s="37" t="str">
        <f t="shared" si="3"/>
        <v/>
      </c>
      <c r="T1015" s="38" t="str">
        <f t="shared" si="4"/>
        <v/>
      </c>
      <c r="U1015" s="28" t="str">
        <f t="shared" si="5"/>
        <v/>
      </c>
      <c r="V1015" s="39" t="str">
        <f>IFERROR(__xludf.DUMMYFUNCTION(" IF(Account!$F1015&lt;&gt;"""", SPLIT(Account!$F1015, "" ""), """")"),"")</f>
        <v/>
      </c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</row>
    <row r="1016">
      <c r="A1016" s="341"/>
      <c r="B1016" s="341"/>
      <c r="C1016" s="341"/>
      <c r="D1016" s="341"/>
      <c r="E1016" s="341"/>
      <c r="F1016" s="373"/>
      <c r="G1016" s="341"/>
      <c r="H1016" s="341"/>
      <c r="I1016" s="341"/>
      <c r="J1016" s="341"/>
      <c r="K1016" s="341"/>
      <c r="L1016" s="26" t="str">
        <f t="shared" si="1"/>
        <v/>
      </c>
      <c r="M1016" s="28" t="str">
        <f>IFERROR(__xludf.DUMMYFUNCTION("IF(Account!$F1016&lt;&gt;"""", VALUE(REGEXREPLACE($I1016, ""\,"", ""."")), """")"),"")</f>
        <v/>
      </c>
      <c r="N1016" s="31" t="str">
        <f>IF(Account!$F1016&lt;&gt;"", DATEVALUE(MID($A1016,4,3) &amp; LEFT($A1016,3) &amp; RIGHT($A1016,4)) + TIMEVALUE($B1016), "")</f>
        <v/>
      </c>
      <c r="O1016" s="33" t="str">
        <f>IF(Account!$F1016&lt;&gt;"", DATEVALUE(MID($A1016,4,3) &amp; LEFT($A1016,3) &amp; RIGHT($A1016,4)), "")</f>
        <v/>
      </c>
      <c r="P1016" s="34" t="str">
        <f>IFERROR(VLOOKUP($Q1016,Selection!$F:$G,2,false))</f>
        <v/>
      </c>
      <c r="Q1016" s="36" t="str">
        <f>IF(AND($X1016="change",$H1016="EUR"),IF(AND($Z1016="Crédit",$N1016=$N1017),$Q1017,IF(AND($Z1016="Débit",$N1016=$N1015),$Q1015)),IF(OR(AND(OR($E1016&lt;&gt;"",$L1016=""),$M1016&lt;&gt;0),$A1016=""),IFERROR(VLOOKUP($E1016,Selection!$E:$F,2,false)),IFERROR(VLOOKUP(SUBSTITUTE($I1016,"-","",1),$K1017:$Q1119,7,false),VLOOKUP($K1016,$K1017:$Q1119,7,false))))</f>
        <v/>
      </c>
      <c r="R1016" s="34" t="str">
        <f t="shared" si="2"/>
        <v/>
      </c>
      <c r="S1016" s="37" t="str">
        <f t="shared" si="3"/>
        <v/>
      </c>
      <c r="T1016" s="38" t="str">
        <f t="shared" si="4"/>
        <v/>
      </c>
      <c r="U1016" s="28" t="str">
        <f t="shared" si="5"/>
        <v/>
      </c>
      <c r="V1016" s="39" t="str">
        <f>IFERROR(__xludf.DUMMYFUNCTION(" IF(Account!$F1016&lt;&gt;"""", SPLIT(Account!$F1016, "" ""), """")"),"")</f>
        <v/>
      </c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</row>
    <row r="1017">
      <c r="A1017" s="341"/>
      <c r="B1017" s="341"/>
      <c r="C1017" s="341"/>
      <c r="D1017" s="341"/>
      <c r="E1017" s="341"/>
      <c r="F1017" s="373"/>
      <c r="G1017" s="341"/>
      <c r="H1017" s="341"/>
      <c r="I1017" s="341"/>
      <c r="J1017" s="341"/>
      <c r="K1017" s="341"/>
      <c r="L1017" s="26" t="str">
        <f t="shared" si="1"/>
        <v/>
      </c>
      <c r="M1017" s="28" t="str">
        <f>IFERROR(__xludf.DUMMYFUNCTION("IF(Account!$F1017&lt;&gt;"""", VALUE(REGEXREPLACE($I1017, ""\,"", ""."")), """")"),"")</f>
        <v/>
      </c>
      <c r="N1017" s="31" t="str">
        <f>IF(Account!$F1017&lt;&gt;"", DATEVALUE(MID($A1017,4,3) &amp; LEFT($A1017,3) &amp; RIGHT($A1017,4)) + TIMEVALUE($B1017), "")</f>
        <v/>
      </c>
      <c r="O1017" s="33" t="str">
        <f>IF(Account!$F1017&lt;&gt;"", DATEVALUE(MID($A1017,4,3) &amp; LEFT($A1017,3) &amp; RIGHT($A1017,4)), "")</f>
        <v/>
      </c>
      <c r="P1017" s="34" t="str">
        <f>IFERROR(VLOOKUP($Q1017,Selection!$F:$G,2,false))</f>
        <v/>
      </c>
      <c r="Q1017" s="36" t="str">
        <f>IF(AND($X1017="change",$H1017="EUR"),IF(AND($Z1017="Crédit",$N1017=$N1018),$Q1018,IF(AND($Z1017="Débit",$N1017=$N1016),$Q1016)),IF(OR(AND(OR($E1017&lt;&gt;"",$L1017=""),$M1017&lt;&gt;0),$A1017=""),IFERROR(VLOOKUP($E1017,Selection!$E:$F,2,false)),IFERROR(VLOOKUP(SUBSTITUTE($I1017,"-","",1),$K1018:$Q1119,7,false),VLOOKUP($K1017,$K1018:$Q1119,7,false))))</f>
        <v/>
      </c>
      <c r="R1017" s="34" t="str">
        <f t="shared" si="2"/>
        <v/>
      </c>
      <c r="S1017" s="37" t="str">
        <f t="shared" si="3"/>
        <v/>
      </c>
      <c r="T1017" s="38" t="str">
        <f t="shared" si="4"/>
        <v/>
      </c>
      <c r="U1017" s="28" t="str">
        <f t="shared" si="5"/>
        <v/>
      </c>
      <c r="V1017" s="39" t="str">
        <f>IFERROR(__xludf.DUMMYFUNCTION(" IF(Account!$F1017&lt;&gt;"""", SPLIT(Account!$F1017, "" ""), """")"),"")</f>
        <v/>
      </c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</row>
    <row r="1018">
      <c r="A1018" s="341"/>
      <c r="B1018" s="341"/>
      <c r="C1018" s="341"/>
      <c r="D1018" s="341"/>
      <c r="E1018" s="341"/>
      <c r="F1018" s="373"/>
      <c r="G1018" s="341"/>
      <c r="H1018" s="341"/>
      <c r="I1018" s="341"/>
      <c r="J1018" s="341"/>
      <c r="K1018" s="341"/>
      <c r="L1018" s="26" t="str">
        <f t="shared" si="1"/>
        <v/>
      </c>
      <c r="M1018" s="28" t="str">
        <f>IFERROR(__xludf.DUMMYFUNCTION("IF(Account!$F1018&lt;&gt;"""", VALUE(REGEXREPLACE($I1018, ""\,"", ""."")), """")"),"")</f>
        <v/>
      </c>
      <c r="N1018" s="31" t="str">
        <f>IF(Account!$F1018&lt;&gt;"", DATEVALUE(MID($A1018,4,3) &amp; LEFT($A1018,3) &amp; RIGHT($A1018,4)) + TIMEVALUE($B1018), "")</f>
        <v/>
      </c>
      <c r="O1018" s="33" t="str">
        <f>IF(Account!$F1018&lt;&gt;"", DATEVALUE(MID($A1018,4,3) &amp; LEFT($A1018,3) &amp; RIGHT($A1018,4)), "")</f>
        <v/>
      </c>
      <c r="P1018" s="34" t="str">
        <f>IFERROR(VLOOKUP($Q1018,Selection!$F:$G,2,false))</f>
        <v/>
      </c>
      <c r="Q1018" s="36" t="str">
        <f>IF(AND($X1018="change",$H1018="EUR"),IF(AND($Z1018="Crédit",$N1018=$N1019),$Q1019,IF(AND($Z1018="Débit",$N1018=$N1017),$Q1017)),IF(OR(AND(OR($E1018&lt;&gt;"",$L1018=""),$M1018&lt;&gt;0),$A1018=""),IFERROR(VLOOKUP($E1018,Selection!$E:$F,2,false)),IFERROR(VLOOKUP(SUBSTITUTE($I1018,"-","",1),$K1019:$Q1119,7,false),VLOOKUP($K1018,$K1019:$Q1119,7,false))))</f>
        <v/>
      </c>
      <c r="R1018" s="34" t="str">
        <f t="shared" si="2"/>
        <v/>
      </c>
      <c r="S1018" s="37" t="str">
        <f t="shared" si="3"/>
        <v/>
      </c>
      <c r="T1018" s="38" t="str">
        <f t="shared" si="4"/>
        <v/>
      </c>
      <c r="U1018" s="28" t="str">
        <f t="shared" si="5"/>
        <v/>
      </c>
      <c r="V1018" s="39" t="str">
        <f>IFERROR(__xludf.DUMMYFUNCTION(" IF(Account!$F1018&lt;&gt;"""", SPLIT(Account!$F1018, "" ""), """")"),"")</f>
        <v/>
      </c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</row>
    <row r="1019">
      <c r="A1019" s="341"/>
      <c r="B1019" s="341"/>
      <c r="C1019" s="341"/>
      <c r="D1019" s="341"/>
      <c r="E1019" s="341"/>
      <c r="F1019" s="373"/>
      <c r="G1019" s="341"/>
      <c r="H1019" s="341"/>
      <c r="I1019" s="341"/>
      <c r="J1019" s="341"/>
      <c r="K1019" s="341"/>
      <c r="L1019" s="26" t="str">
        <f t="shared" si="1"/>
        <v/>
      </c>
      <c r="M1019" s="28" t="str">
        <f>IFERROR(__xludf.DUMMYFUNCTION("IF(Account!$F1019&lt;&gt;"""", VALUE(REGEXREPLACE($I1019, ""\,"", ""."")), """")"),"")</f>
        <v/>
      </c>
      <c r="N1019" s="31" t="str">
        <f>IF(Account!$F1019&lt;&gt;"", DATEVALUE(MID($A1019,4,3) &amp; LEFT($A1019,3) &amp; RIGHT($A1019,4)) + TIMEVALUE($B1019), "")</f>
        <v/>
      </c>
      <c r="O1019" s="33" t="str">
        <f>IF(Account!$F1019&lt;&gt;"", DATEVALUE(MID($A1019,4,3) &amp; LEFT($A1019,3) &amp; RIGHT($A1019,4)), "")</f>
        <v/>
      </c>
      <c r="P1019" s="34" t="str">
        <f>IFERROR(VLOOKUP($Q1019,Selection!$F:$G,2,false))</f>
        <v/>
      </c>
      <c r="Q1019" s="36" t="str">
        <f>IF(AND($X1019="change",$H1019="EUR"),IF(AND($Z1019="Crédit",$N1019=$N1020),$Q1020,IF(AND($Z1019="Débit",$N1019=$N1018),$Q1018)),IF(OR(AND(OR($E1019&lt;&gt;"",$L1019=""),$M1019&lt;&gt;0),$A1019=""),IFERROR(VLOOKUP($E1019,Selection!$E:$F,2,false)),IFERROR(VLOOKUP(SUBSTITUTE($I1019,"-","",1),$K1020:$Q1119,7,false),VLOOKUP($K1019,$K1020:$Q1119,7,false))))</f>
        <v/>
      </c>
      <c r="R1019" s="34" t="str">
        <f t="shared" si="2"/>
        <v/>
      </c>
      <c r="S1019" s="37" t="str">
        <f t="shared" si="3"/>
        <v/>
      </c>
      <c r="T1019" s="38" t="str">
        <f t="shared" si="4"/>
        <v/>
      </c>
      <c r="U1019" s="28" t="str">
        <f t="shared" si="5"/>
        <v/>
      </c>
      <c r="V1019" s="39" t="str">
        <f>IFERROR(__xludf.DUMMYFUNCTION(" IF(Account!$F1019&lt;&gt;"""", SPLIT(Account!$F1019, "" ""), """")"),"")</f>
        <v/>
      </c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</row>
    <row r="1020">
      <c r="A1020" s="341"/>
      <c r="B1020" s="341"/>
      <c r="C1020" s="341"/>
      <c r="D1020" s="341"/>
      <c r="E1020" s="341"/>
      <c r="F1020" s="373"/>
      <c r="G1020" s="341"/>
      <c r="H1020" s="341"/>
      <c r="I1020" s="341"/>
      <c r="J1020" s="341"/>
      <c r="K1020" s="341"/>
      <c r="L1020" s="26" t="str">
        <f t="shared" si="1"/>
        <v/>
      </c>
      <c r="M1020" s="28" t="str">
        <f>IFERROR(__xludf.DUMMYFUNCTION("IF(Account!$F1020&lt;&gt;"""", VALUE(REGEXREPLACE($I1020, ""\,"", ""."")), """")"),"")</f>
        <v/>
      </c>
      <c r="N1020" s="31" t="str">
        <f>IF(Account!$F1020&lt;&gt;"", DATEVALUE(MID($A1020,4,3) &amp; LEFT($A1020,3) &amp; RIGHT($A1020,4)) + TIMEVALUE($B1020), "")</f>
        <v/>
      </c>
      <c r="O1020" s="33" t="str">
        <f>IF(Account!$F1020&lt;&gt;"", DATEVALUE(MID($A1020,4,3) &amp; LEFT($A1020,3) &amp; RIGHT($A1020,4)), "")</f>
        <v/>
      </c>
      <c r="P1020" s="34" t="str">
        <f>IFERROR(VLOOKUP($Q1020,Selection!$F:$G,2,false))</f>
        <v/>
      </c>
      <c r="Q1020" s="36" t="str">
        <f>IF(AND($X1020="change",$H1020="EUR"),IF(AND($Z1020="Crédit",$N1020=$N1021),$Q1021,IF(AND($Z1020="Débit",$N1020=$N1019),$Q1019)),IF(OR(AND(OR($E1020&lt;&gt;"",$L1020=""),$M1020&lt;&gt;0),$A1020=""),IFERROR(VLOOKUP($E1020,Selection!$E:$F,2,false)),IFERROR(VLOOKUP(SUBSTITUTE($I1020,"-","",1),$K1021:$Q1119,7,false),VLOOKUP($K1020,$K1021:$Q1119,7,false))))</f>
        <v/>
      </c>
      <c r="R1020" s="34" t="str">
        <f t="shared" si="2"/>
        <v/>
      </c>
      <c r="S1020" s="37" t="str">
        <f t="shared" si="3"/>
        <v/>
      </c>
      <c r="T1020" s="38" t="str">
        <f t="shared" si="4"/>
        <v/>
      </c>
      <c r="U1020" s="28" t="str">
        <f t="shared" si="5"/>
        <v/>
      </c>
      <c r="V1020" s="39" t="str">
        <f>IFERROR(__xludf.DUMMYFUNCTION(" IF(Account!$F1020&lt;&gt;"""", SPLIT(Account!$F1020, "" ""), """")"),"")</f>
        <v/>
      </c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</row>
    <row r="1021">
      <c r="A1021" s="341"/>
      <c r="B1021" s="341"/>
      <c r="C1021" s="341"/>
      <c r="D1021" s="341"/>
      <c r="E1021" s="341"/>
      <c r="F1021" s="373"/>
      <c r="G1021" s="341"/>
      <c r="H1021" s="341"/>
      <c r="I1021" s="341"/>
      <c r="J1021" s="341"/>
      <c r="K1021" s="341"/>
      <c r="L1021" s="26" t="str">
        <f t="shared" si="1"/>
        <v/>
      </c>
      <c r="M1021" s="28" t="str">
        <f>IFERROR(__xludf.DUMMYFUNCTION("IF(Account!$F1021&lt;&gt;"""", VALUE(REGEXREPLACE($I1021, ""\,"", ""."")), """")"),"")</f>
        <v/>
      </c>
      <c r="N1021" s="31" t="str">
        <f>IF(Account!$F1021&lt;&gt;"", DATEVALUE(MID($A1021,4,3) &amp; LEFT($A1021,3) &amp; RIGHT($A1021,4)) + TIMEVALUE($B1021), "")</f>
        <v/>
      </c>
      <c r="O1021" s="33" t="str">
        <f>IF(Account!$F1021&lt;&gt;"", DATEVALUE(MID($A1021,4,3) &amp; LEFT($A1021,3) &amp; RIGHT($A1021,4)), "")</f>
        <v/>
      </c>
      <c r="P1021" s="34" t="str">
        <f>IFERROR(VLOOKUP($Q1021,Selection!$F:$G,2,false))</f>
        <v/>
      </c>
      <c r="Q1021" s="36" t="str">
        <f>IF(AND($X1021="change",$H1021="EUR"),IF(AND($Z1021="Crédit",$N1021=$N1022),$Q1022,IF(AND($Z1021="Débit",$N1021=$N1020),$Q1020)),IF(OR(AND(OR($E1021&lt;&gt;"",$L1021=""),$M1021&lt;&gt;0),$A1021=""),IFERROR(VLOOKUP($E1021,Selection!$E:$F,2,false)),IFERROR(VLOOKUP(SUBSTITUTE($I1021,"-","",1),$K1022:$Q1119,7,false),VLOOKUP($K1021,$K1022:$Q1119,7,false))))</f>
        <v/>
      </c>
      <c r="R1021" s="34" t="str">
        <f t="shared" si="2"/>
        <v/>
      </c>
      <c r="S1021" s="37" t="str">
        <f t="shared" si="3"/>
        <v/>
      </c>
      <c r="T1021" s="38" t="str">
        <f t="shared" si="4"/>
        <v/>
      </c>
      <c r="U1021" s="28" t="str">
        <f t="shared" si="5"/>
        <v/>
      </c>
      <c r="V1021" s="39" t="str">
        <f>IFERROR(__xludf.DUMMYFUNCTION(" IF(Account!$F1021&lt;&gt;"""", SPLIT(Account!$F1021, "" ""), """")"),"")</f>
        <v/>
      </c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</row>
    <row r="1022">
      <c r="A1022" s="341"/>
      <c r="B1022" s="341"/>
      <c r="C1022" s="341"/>
      <c r="D1022" s="341"/>
      <c r="E1022" s="341"/>
      <c r="F1022" s="373"/>
      <c r="G1022" s="341"/>
      <c r="H1022" s="341"/>
      <c r="I1022" s="341"/>
      <c r="J1022" s="341"/>
      <c r="K1022" s="341"/>
      <c r="L1022" s="26" t="str">
        <f t="shared" si="1"/>
        <v/>
      </c>
      <c r="M1022" s="28" t="str">
        <f>IFERROR(__xludf.DUMMYFUNCTION("IF(Account!$F1022&lt;&gt;"""", VALUE(REGEXREPLACE($I1022, ""\,"", ""."")), """")"),"")</f>
        <v/>
      </c>
      <c r="N1022" s="31" t="str">
        <f>IF(Account!$F1022&lt;&gt;"", DATEVALUE(MID($A1022,4,3) &amp; LEFT($A1022,3) &amp; RIGHT($A1022,4)) + TIMEVALUE($B1022), "")</f>
        <v/>
      </c>
      <c r="O1022" s="33" t="str">
        <f>IF(Account!$F1022&lt;&gt;"", DATEVALUE(MID($A1022,4,3) &amp; LEFT($A1022,3) &amp; RIGHT($A1022,4)), "")</f>
        <v/>
      </c>
      <c r="P1022" s="34" t="str">
        <f>IFERROR(VLOOKUP($Q1022,Selection!$F:$G,2,false))</f>
        <v/>
      </c>
      <c r="Q1022" s="36" t="str">
        <f>IF(AND($X1022="change",$H1022="EUR"),IF(AND($Z1022="Crédit",$N1022=$N1023),$Q1023,IF(AND($Z1022="Débit",$N1022=$N1021),$Q1021)),IF(OR(AND(OR($E1022&lt;&gt;"",$L1022=""),$M1022&lt;&gt;0),$A1022=""),IFERROR(VLOOKUP($E1022,Selection!$E:$F,2,false)),IFERROR(VLOOKUP(SUBSTITUTE($I1022,"-","",1),$K1023:$Q1119,7,false),VLOOKUP($K1022,$K1023:$Q1119,7,false))))</f>
        <v/>
      </c>
      <c r="R1022" s="34" t="str">
        <f t="shared" si="2"/>
        <v/>
      </c>
      <c r="S1022" s="37" t="str">
        <f t="shared" si="3"/>
        <v/>
      </c>
      <c r="T1022" s="38" t="str">
        <f t="shared" si="4"/>
        <v/>
      </c>
      <c r="U1022" s="28" t="str">
        <f t="shared" si="5"/>
        <v/>
      </c>
      <c r="V1022" s="39" t="str">
        <f>IFERROR(__xludf.DUMMYFUNCTION(" IF(Account!$F1022&lt;&gt;"""", SPLIT(Account!$F1022, "" ""), """")"),"")</f>
        <v/>
      </c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</row>
    <row r="1023">
      <c r="A1023" s="341"/>
      <c r="B1023" s="341"/>
      <c r="C1023" s="341"/>
      <c r="D1023" s="341"/>
      <c r="E1023" s="341"/>
      <c r="F1023" s="373"/>
      <c r="G1023" s="341"/>
      <c r="H1023" s="341"/>
      <c r="I1023" s="341"/>
      <c r="J1023" s="341"/>
      <c r="K1023" s="341"/>
      <c r="L1023" s="26" t="str">
        <f t="shared" si="1"/>
        <v/>
      </c>
      <c r="M1023" s="28" t="str">
        <f>IFERROR(__xludf.DUMMYFUNCTION("IF(Account!$F1023&lt;&gt;"""", VALUE(REGEXREPLACE($I1023, ""\,"", ""."")), """")"),"")</f>
        <v/>
      </c>
      <c r="N1023" s="31" t="str">
        <f>IF(Account!$F1023&lt;&gt;"", DATEVALUE(MID($A1023,4,3) &amp; LEFT($A1023,3) &amp; RIGHT($A1023,4)) + TIMEVALUE($B1023), "")</f>
        <v/>
      </c>
      <c r="O1023" s="33" t="str">
        <f>IF(Account!$F1023&lt;&gt;"", DATEVALUE(MID($A1023,4,3) &amp; LEFT($A1023,3) &amp; RIGHT($A1023,4)), "")</f>
        <v/>
      </c>
      <c r="P1023" s="34" t="str">
        <f>IFERROR(VLOOKUP($Q1023,Selection!$F:$G,2,false))</f>
        <v/>
      </c>
      <c r="Q1023" s="36" t="str">
        <f>IF(AND($X1023="change",$H1023="EUR"),IF(AND($Z1023="Crédit",$N1023=$N1024),$Q1024,IF(AND($Z1023="Débit",$N1023=$N1022),$Q1022)),IF(OR(AND(OR($E1023&lt;&gt;"",$L1023=""),$M1023&lt;&gt;0),$A1023=""),IFERROR(VLOOKUP($E1023,Selection!$E:$F,2,false)),IFERROR(VLOOKUP(SUBSTITUTE($I1023,"-","",1),$K1024:$Q1119,7,false),VLOOKUP($K1023,$K1024:$Q1119,7,false))))</f>
        <v/>
      </c>
      <c r="R1023" s="34" t="str">
        <f t="shared" si="2"/>
        <v/>
      </c>
      <c r="S1023" s="37" t="str">
        <f t="shared" si="3"/>
        <v/>
      </c>
      <c r="T1023" s="38" t="str">
        <f t="shared" si="4"/>
        <v/>
      </c>
      <c r="U1023" s="28" t="str">
        <f t="shared" si="5"/>
        <v/>
      </c>
      <c r="V1023" s="39" t="str">
        <f>IFERROR(__xludf.DUMMYFUNCTION(" IF(Account!$F1023&lt;&gt;"""", SPLIT(Account!$F1023, "" ""), """")"),"")</f>
        <v/>
      </c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</row>
    <row r="1024">
      <c r="A1024" s="341"/>
      <c r="B1024" s="341"/>
      <c r="C1024" s="341"/>
      <c r="D1024" s="341"/>
      <c r="E1024" s="341"/>
      <c r="F1024" s="373"/>
      <c r="G1024" s="341"/>
      <c r="H1024" s="341"/>
      <c r="I1024" s="341"/>
      <c r="J1024" s="341"/>
      <c r="K1024" s="341"/>
      <c r="L1024" s="26" t="str">
        <f t="shared" si="1"/>
        <v/>
      </c>
      <c r="M1024" s="28" t="str">
        <f>IFERROR(__xludf.DUMMYFUNCTION("IF(Account!$F1024&lt;&gt;"""", VALUE(REGEXREPLACE($I1024, ""\,"", ""."")), """")"),"")</f>
        <v/>
      </c>
      <c r="N1024" s="31" t="str">
        <f>IF(Account!$F1024&lt;&gt;"", DATEVALUE(MID($A1024,4,3) &amp; LEFT($A1024,3) &amp; RIGHT($A1024,4)) + TIMEVALUE($B1024), "")</f>
        <v/>
      </c>
      <c r="O1024" s="33" t="str">
        <f>IF(Account!$F1024&lt;&gt;"", DATEVALUE(MID($A1024,4,3) &amp; LEFT($A1024,3) &amp; RIGHT($A1024,4)), "")</f>
        <v/>
      </c>
      <c r="P1024" s="34" t="str">
        <f>IFERROR(VLOOKUP($Q1024,Selection!$F:$G,2,false))</f>
        <v/>
      </c>
      <c r="Q1024" s="36" t="str">
        <f>IF(AND($X1024="change",$H1024="EUR"),IF(AND($Z1024="Crédit",$N1024=$N1025),$Q1025,IF(AND($Z1024="Débit",$N1024=$N1023),$Q1023)),IF(OR(AND(OR($E1024&lt;&gt;"",$L1024=""),$M1024&lt;&gt;0),$A1024=""),IFERROR(VLOOKUP($E1024,Selection!$E:$F,2,false)),IFERROR(VLOOKUP(SUBSTITUTE($I1024,"-","",1),$K1025:$Q1119,7,false),VLOOKUP($K1024,$K1025:$Q1119,7,false))))</f>
        <v/>
      </c>
      <c r="R1024" s="34" t="str">
        <f t="shared" si="2"/>
        <v/>
      </c>
      <c r="S1024" s="37" t="str">
        <f t="shared" si="3"/>
        <v/>
      </c>
      <c r="T1024" s="38" t="str">
        <f t="shared" si="4"/>
        <v/>
      </c>
      <c r="U1024" s="28" t="str">
        <f t="shared" si="5"/>
        <v/>
      </c>
      <c r="V1024" s="39" t="str">
        <f>IFERROR(__xludf.DUMMYFUNCTION(" IF(Account!$F1024&lt;&gt;"""", SPLIT(Account!$F1024, "" ""), """")"),"")</f>
        <v/>
      </c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</row>
    <row r="1025">
      <c r="A1025" s="341"/>
      <c r="B1025" s="341"/>
      <c r="C1025" s="341"/>
      <c r="D1025" s="341"/>
      <c r="E1025" s="341"/>
      <c r="F1025" s="373"/>
      <c r="G1025" s="341"/>
      <c r="H1025" s="341"/>
      <c r="I1025" s="341"/>
      <c r="J1025" s="341"/>
      <c r="K1025" s="341"/>
      <c r="L1025" s="26" t="str">
        <f t="shared" si="1"/>
        <v/>
      </c>
      <c r="M1025" s="28" t="str">
        <f>IFERROR(__xludf.DUMMYFUNCTION("IF(Account!$F1025&lt;&gt;"""", VALUE(REGEXREPLACE($I1025, ""\,"", ""."")), """")"),"")</f>
        <v/>
      </c>
      <c r="N1025" s="31" t="str">
        <f>IF(Account!$F1025&lt;&gt;"", DATEVALUE(MID($A1025,4,3) &amp; LEFT($A1025,3) &amp; RIGHT($A1025,4)) + TIMEVALUE($B1025), "")</f>
        <v/>
      </c>
      <c r="O1025" s="33" t="str">
        <f>IF(Account!$F1025&lt;&gt;"", DATEVALUE(MID($A1025,4,3) &amp; LEFT($A1025,3) &amp; RIGHT($A1025,4)), "")</f>
        <v/>
      </c>
      <c r="P1025" s="34" t="str">
        <f>IFERROR(VLOOKUP($Q1025,Selection!$F:$G,2,false))</f>
        <v/>
      </c>
      <c r="Q1025" s="36" t="str">
        <f>IF(AND($X1025="change",$H1025="EUR"),IF(AND($Z1025="Crédit",$N1025=$N1026),$Q1026,IF(AND($Z1025="Débit",$N1025=$N1024),$Q1024)),IF(OR(AND(OR($E1025&lt;&gt;"",$L1025=""),$M1025&lt;&gt;0),$A1025=""),IFERROR(VLOOKUP($E1025,Selection!$E:$F,2,false)),IFERROR(VLOOKUP(SUBSTITUTE($I1025,"-","",1),$K1026:$Q1119,7,false),VLOOKUP($K1025,$K1026:$Q1119,7,false))))</f>
        <v/>
      </c>
      <c r="R1025" s="34" t="str">
        <f t="shared" si="2"/>
        <v/>
      </c>
      <c r="S1025" s="37" t="str">
        <f t="shared" si="3"/>
        <v/>
      </c>
      <c r="T1025" s="38" t="str">
        <f t="shared" si="4"/>
        <v/>
      </c>
      <c r="U1025" s="28" t="str">
        <f t="shared" si="5"/>
        <v/>
      </c>
      <c r="V1025" s="39" t="str">
        <f>IFERROR(__xludf.DUMMYFUNCTION(" IF(Account!$F1025&lt;&gt;"""", SPLIT(Account!$F1025, "" ""), """")"),"")</f>
        <v/>
      </c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</row>
    <row r="1026">
      <c r="A1026" s="341"/>
      <c r="B1026" s="341"/>
      <c r="C1026" s="341"/>
      <c r="D1026" s="341"/>
      <c r="E1026" s="341"/>
      <c r="F1026" s="373"/>
      <c r="G1026" s="341"/>
      <c r="H1026" s="341"/>
      <c r="I1026" s="341"/>
      <c r="J1026" s="341"/>
      <c r="K1026" s="341"/>
      <c r="L1026" s="26" t="str">
        <f t="shared" si="1"/>
        <v/>
      </c>
      <c r="M1026" s="28" t="str">
        <f>IFERROR(__xludf.DUMMYFUNCTION("IF(Account!$F1026&lt;&gt;"""", VALUE(REGEXREPLACE($I1026, ""\,"", ""."")), """")"),"")</f>
        <v/>
      </c>
      <c r="N1026" s="31" t="str">
        <f>IF(Account!$F1026&lt;&gt;"", DATEVALUE(MID($A1026,4,3) &amp; LEFT($A1026,3) &amp; RIGHT($A1026,4)) + TIMEVALUE($B1026), "")</f>
        <v/>
      </c>
      <c r="O1026" s="33" t="str">
        <f>IF(Account!$F1026&lt;&gt;"", DATEVALUE(MID($A1026,4,3) &amp; LEFT($A1026,3) &amp; RIGHT($A1026,4)), "")</f>
        <v/>
      </c>
      <c r="P1026" s="34" t="str">
        <f>IFERROR(VLOOKUP($Q1026,Selection!$F:$G,2,false))</f>
        <v/>
      </c>
      <c r="Q1026" s="36" t="str">
        <f>IF(AND($X1026="change",$H1026="EUR"),IF(AND($Z1026="Crédit",$N1026=$N1027),$Q1027,IF(AND($Z1026="Débit",$N1026=$N1025),$Q1025)),IF(OR(AND(OR($E1026&lt;&gt;"",$L1026=""),$M1026&lt;&gt;0),$A1026=""),IFERROR(VLOOKUP($E1026,Selection!$E:$F,2,false)),IFERROR(VLOOKUP(SUBSTITUTE($I1026,"-","",1),$K1027:$Q1119,7,false),VLOOKUP($K1026,$K1027:$Q1119,7,false))))</f>
        <v/>
      </c>
      <c r="R1026" s="34" t="str">
        <f t="shared" si="2"/>
        <v/>
      </c>
      <c r="S1026" s="37" t="str">
        <f t="shared" si="3"/>
        <v/>
      </c>
      <c r="T1026" s="38" t="str">
        <f t="shared" si="4"/>
        <v/>
      </c>
      <c r="U1026" s="28" t="str">
        <f t="shared" si="5"/>
        <v/>
      </c>
      <c r="V1026" s="39" t="str">
        <f>IFERROR(__xludf.DUMMYFUNCTION(" IF(Account!$F1026&lt;&gt;"""", SPLIT(Account!$F1026, "" ""), """")"),"")</f>
        <v/>
      </c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</row>
    <row r="1027">
      <c r="A1027" s="341"/>
      <c r="B1027" s="341"/>
      <c r="C1027" s="341"/>
      <c r="D1027" s="341"/>
      <c r="E1027" s="341"/>
      <c r="F1027" s="373"/>
      <c r="G1027" s="341"/>
      <c r="H1027" s="341"/>
      <c r="I1027" s="341"/>
      <c r="J1027" s="341"/>
      <c r="K1027" s="341"/>
      <c r="L1027" s="26" t="str">
        <f t="shared" si="1"/>
        <v/>
      </c>
      <c r="M1027" s="28" t="str">
        <f>IFERROR(__xludf.DUMMYFUNCTION("IF(Account!$F1027&lt;&gt;"""", VALUE(REGEXREPLACE($I1027, ""\,"", ""."")), """")"),"")</f>
        <v/>
      </c>
      <c r="N1027" s="31" t="str">
        <f>IF(Account!$F1027&lt;&gt;"", DATEVALUE(MID($A1027,4,3) &amp; LEFT($A1027,3) &amp; RIGHT($A1027,4)) + TIMEVALUE($B1027), "")</f>
        <v/>
      </c>
      <c r="O1027" s="33" t="str">
        <f>IF(Account!$F1027&lt;&gt;"", DATEVALUE(MID($A1027,4,3) &amp; LEFT($A1027,3) &amp; RIGHT($A1027,4)), "")</f>
        <v/>
      </c>
      <c r="P1027" s="34" t="str">
        <f>IFERROR(VLOOKUP($Q1027,Selection!$F:$G,2,false))</f>
        <v/>
      </c>
      <c r="Q1027" s="36" t="str">
        <f>IF(AND($X1027="change",$H1027="EUR"),IF(AND($Z1027="Crédit",$N1027=$N1028),$Q1028,IF(AND($Z1027="Débit",$N1027=$N1026),$Q1026)),IF(OR(AND(OR($E1027&lt;&gt;"",$L1027=""),$M1027&lt;&gt;0),$A1027=""),IFERROR(VLOOKUP($E1027,Selection!$E:$F,2,false)),IFERROR(VLOOKUP(SUBSTITUTE($I1027,"-","",1),$K1028:$Q1119,7,false),VLOOKUP($K1027,$K1028:$Q1119,7,false))))</f>
        <v/>
      </c>
      <c r="R1027" s="34" t="str">
        <f t="shared" si="2"/>
        <v/>
      </c>
      <c r="S1027" s="37" t="str">
        <f t="shared" si="3"/>
        <v/>
      </c>
      <c r="T1027" s="38" t="str">
        <f t="shared" si="4"/>
        <v/>
      </c>
      <c r="U1027" s="28" t="str">
        <f t="shared" si="5"/>
        <v/>
      </c>
      <c r="V1027" s="39" t="str">
        <f>IFERROR(__xludf.DUMMYFUNCTION(" IF(Account!$F1027&lt;&gt;"""", SPLIT(Account!$F1027, "" ""), """")"),"")</f>
        <v/>
      </c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</row>
    <row r="1028">
      <c r="A1028" s="341"/>
      <c r="B1028" s="341"/>
      <c r="C1028" s="341"/>
      <c r="D1028" s="341"/>
      <c r="E1028" s="341"/>
      <c r="F1028" s="373"/>
      <c r="G1028" s="341"/>
      <c r="H1028" s="341"/>
      <c r="I1028" s="341"/>
      <c r="J1028" s="341"/>
      <c r="K1028" s="341"/>
      <c r="L1028" s="26" t="str">
        <f t="shared" si="1"/>
        <v/>
      </c>
      <c r="M1028" s="28" t="str">
        <f>IFERROR(__xludf.DUMMYFUNCTION("IF(Account!$F1028&lt;&gt;"""", VALUE(REGEXREPLACE($I1028, ""\,"", ""."")), """")"),"")</f>
        <v/>
      </c>
      <c r="N1028" s="31" t="str">
        <f>IF(Account!$F1028&lt;&gt;"", DATEVALUE(MID($A1028,4,3) &amp; LEFT($A1028,3) &amp; RIGHT($A1028,4)) + TIMEVALUE($B1028), "")</f>
        <v/>
      </c>
      <c r="O1028" s="33" t="str">
        <f>IF(Account!$F1028&lt;&gt;"", DATEVALUE(MID($A1028,4,3) &amp; LEFT($A1028,3) &amp; RIGHT($A1028,4)), "")</f>
        <v/>
      </c>
      <c r="P1028" s="34" t="str">
        <f>IFERROR(VLOOKUP($Q1028,Selection!$F:$G,2,false))</f>
        <v/>
      </c>
      <c r="Q1028" s="36" t="str">
        <f>IF(AND($X1028="change",$H1028="EUR"),IF(AND($Z1028="Crédit",$N1028=$N1029),$Q1029,IF(AND($Z1028="Débit",$N1028=$N1027),$Q1027)),IF(OR(AND(OR($E1028&lt;&gt;"",$L1028=""),$M1028&lt;&gt;0),$A1028=""),IFERROR(VLOOKUP($E1028,Selection!$E:$F,2,false)),IFERROR(VLOOKUP(SUBSTITUTE($I1028,"-","",1),$K1029:$Q1119,7,false),VLOOKUP($K1028,$K1029:$Q1119,7,false))))</f>
        <v/>
      </c>
      <c r="R1028" s="34" t="str">
        <f t="shared" si="2"/>
        <v/>
      </c>
      <c r="S1028" s="37" t="str">
        <f t="shared" si="3"/>
        <v/>
      </c>
      <c r="T1028" s="38" t="str">
        <f t="shared" si="4"/>
        <v/>
      </c>
      <c r="U1028" s="28" t="str">
        <f t="shared" si="5"/>
        <v/>
      </c>
      <c r="V1028" s="39" t="str">
        <f>IFERROR(__xludf.DUMMYFUNCTION(" IF(Account!$F1028&lt;&gt;"""", SPLIT(Account!$F1028, "" ""), """")"),"")</f>
        <v/>
      </c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</row>
    <row r="1029">
      <c r="A1029" s="341"/>
      <c r="B1029" s="341"/>
      <c r="C1029" s="341"/>
      <c r="D1029" s="341"/>
      <c r="E1029" s="341"/>
      <c r="F1029" s="373"/>
      <c r="G1029" s="341"/>
      <c r="H1029" s="341"/>
      <c r="I1029" s="341"/>
      <c r="J1029" s="341"/>
      <c r="K1029" s="341"/>
      <c r="L1029" s="26" t="str">
        <f t="shared" si="1"/>
        <v/>
      </c>
      <c r="M1029" s="28" t="str">
        <f>IFERROR(__xludf.DUMMYFUNCTION("IF(Account!$F1029&lt;&gt;"""", VALUE(REGEXREPLACE($I1029, ""\,"", ""."")), """")"),"")</f>
        <v/>
      </c>
      <c r="N1029" s="31" t="str">
        <f>IF(Account!$F1029&lt;&gt;"", DATEVALUE(MID($A1029,4,3) &amp; LEFT($A1029,3) &amp; RIGHT($A1029,4)) + TIMEVALUE($B1029), "")</f>
        <v/>
      </c>
      <c r="O1029" s="33" t="str">
        <f>IF(Account!$F1029&lt;&gt;"", DATEVALUE(MID($A1029,4,3) &amp; LEFT($A1029,3) &amp; RIGHT($A1029,4)), "")</f>
        <v/>
      </c>
      <c r="P1029" s="34" t="str">
        <f>IFERROR(VLOOKUP($Q1029,Selection!$F:$G,2,false))</f>
        <v/>
      </c>
      <c r="Q1029" s="36" t="str">
        <f>IF(AND($X1029="change",$H1029="EUR"),IF(AND($Z1029="Crédit",$N1029=$N1030),$Q1030,IF(AND($Z1029="Débit",$N1029=$N1028),$Q1028)),IF(OR(AND(OR($E1029&lt;&gt;"",$L1029=""),$M1029&lt;&gt;0),$A1029=""),IFERROR(VLOOKUP($E1029,Selection!$E:$F,2,false)),IFERROR(VLOOKUP(SUBSTITUTE($I1029,"-","",1),$K1030:$Q1119,7,false),VLOOKUP($K1029,$K1030:$Q1119,7,false))))</f>
        <v/>
      </c>
      <c r="R1029" s="34" t="str">
        <f t="shared" si="2"/>
        <v/>
      </c>
      <c r="S1029" s="37" t="str">
        <f t="shared" si="3"/>
        <v/>
      </c>
      <c r="T1029" s="38" t="str">
        <f t="shared" si="4"/>
        <v/>
      </c>
      <c r="U1029" s="28" t="str">
        <f t="shared" si="5"/>
        <v/>
      </c>
      <c r="V1029" s="39" t="str">
        <f>IFERROR(__xludf.DUMMYFUNCTION(" IF(Account!$F1029&lt;&gt;"""", SPLIT(Account!$F1029, "" ""), """")"),"")</f>
        <v/>
      </c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</row>
    <row r="1030">
      <c r="A1030" s="341"/>
      <c r="B1030" s="341"/>
      <c r="C1030" s="341"/>
      <c r="D1030" s="341"/>
      <c r="E1030" s="341"/>
      <c r="F1030" s="373"/>
      <c r="G1030" s="341"/>
      <c r="H1030" s="341"/>
      <c r="I1030" s="341"/>
      <c r="J1030" s="341"/>
      <c r="K1030" s="341"/>
      <c r="L1030" s="26" t="str">
        <f t="shared" si="1"/>
        <v/>
      </c>
      <c r="M1030" s="28" t="str">
        <f>IFERROR(__xludf.DUMMYFUNCTION("IF(Account!$F1030&lt;&gt;"""", VALUE(REGEXREPLACE($I1030, ""\,"", ""."")), """")"),"")</f>
        <v/>
      </c>
      <c r="N1030" s="31" t="str">
        <f>IF(Account!$F1030&lt;&gt;"", DATEVALUE(MID($A1030,4,3) &amp; LEFT($A1030,3) &amp; RIGHT($A1030,4)) + TIMEVALUE($B1030), "")</f>
        <v/>
      </c>
      <c r="O1030" s="33" t="str">
        <f>IF(Account!$F1030&lt;&gt;"", DATEVALUE(MID($A1030,4,3) &amp; LEFT($A1030,3) &amp; RIGHT($A1030,4)), "")</f>
        <v/>
      </c>
      <c r="P1030" s="34" t="str">
        <f>IFERROR(VLOOKUP($Q1030,Selection!$F:$G,2,false))</f>
        <v/>
      </c>
      <c r="Q1030" s="36" t="str">
        <f>IF(AND($X1030="change",$H1030="EUR"),IF(AND($Z1030="Crédit",$N1030=$N1031),$Q1031,IF(AND($Z1030="Débit",$N1030=$N1029),$Q1029)),IF(OR(AND(OR($E1030&lt;&gt;"",$L1030=""),$M1030&lt;&gt;0),$A1030=""),IFERROR(VLOOKUP($E1030,Selection!$E:$F,2,false)),IFERROR(VLOOKUP(SUBSTITUTE($I1030,"-","",1),$K1031:$Q1119,7,false),VLOOKUP($K1030,$K1031:$Q1119,7,false))))</f>
        <v/>
      </c>
      <c r="R1030" s="34" t="str">
        <f t="shared" si="2"/>
        <v/>
      </c>
      <c r="S1030" s="37" t="str">
        <f t="shared" si="3"/>
        <v/>
      </c>
      <c r="T1030" s="38" t="str">
        <f t="shared" si="4"/>
        <v/>
      </c>
      <c r="U1030" s="28" t="str">
        <f t="shared" si="5"/>
        <v/>
      </c>
      <c r="V1030" s="39" t="str">
        <f>IFERROR(__xludf.DUMMYFUNCTION(" IF(Account!$F1030&lt;&gt;"""", SPLIT(Account!$F1030, "" ""), """")"),"")</f>
        <v/>
      </c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</row>
    <row r="1031">
      <c r="A1031" s="341"/>
      <c r="B1031" s="341"/>
      <c r="C1031" s="341"/>
      <c r="D1031" s="341"/>
      <c r="E1031" s="341"/>
      <c r="F1031" s="373"/>
      <c r="G1031" s="341"/>
      <c r="H1031" s="341"/>
      <c r="I1031" s="341"/>
      <c r="J1031" s="341"/>
      <c r="K1031" s="341"/>
      <c r="L1031" s="26" t="str">
        <f t="shared" si="1"/>
        <v/>
      </c>
      <c r="M1031" s="28" t="str">
        <f>IFERROR(__xludf.DUMMYFUNCTION("IF(Account!$F1031&lt;&gt;"""", VALUE(REGEXREPLACE($I1031, ""\,"", ""."")), """")"),"")</f>
        <v/>
      </c>
      <c r="N1031" s="31" t="str">
        <f>IF(Account!$F1031&lt;&gt;"", DATEVALUE(MID($A1031,4,3) &amp; LEFT($A1031,3) &amp; RIGHT($A1031,4)) + TIMEVALUE($B1031), "")</f>
        <v/>
      </c>
      <c r="O1031" s="33" t="str">
        <f>IF(Account!$F1031&lt;&gt;"", DATEVALUE(MID($A1031,4,3) &amp; LEFT($A1031,3) &amp; RIGHT($A1031,4)), "")</f>
        <v/>
      </c>
      <c r="P1031" s="34" t="str">
        <f>IFERROR(VLOOKUP($Q1031,Selection!$F:$G,2,false))</f>
        <v/>
      </c>
      <c r="Q1031" s="36" t="str">
        <f>IF(AND($X1031="change",$H1031="EUR"),IF(AND($Z1031="Crédit",$N1031=$N1032),$Q1032,IF(AND($Z1031="Débit",$N1031=$N1030),$Q1030)),IF(OR(AND(OR($E1031&lt;&gt;"",$L1031=""),$M1031&lt;&gt;0),$A1031=""),IFERROR(VLOOKUP($E1031,Selection!$E:$F,2,false)),IFERROR(VLOOKUP(SUBSTITUTE($I1031,"-","",1),$K1032:$Q1119,7,false),VLOOKUP($K1031,$K1032:$Q1119,7,false))))</f>
        <v/>
      </c>
      <c r="R1031" s="34" t="str">
        <f t="shared" si="2"/>
        <v/>
      </c>
      <c r="S1031" s="37" t="str">
        <f t="shared" si="3"/>
        <v/>
      </c>
      <c r="T1031" s="38" t="str">
        <f t="shared" si="4"/>
        <v/>
      </c>
      <c r="U1031" s="28" t="str">
        <f t="shared" si="5"/>
        <v/>
      </c>
      <c r="V1031" s="39" t="str">
        <f>IFERROR(__xludf.DUMMYFUNCTION(" IF(Account!$F1031&lt;&gt;"""", SPLIT(Account!$F1031, "" ""), """")"),"")</f>
        <v/>
      </c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</row>
    <row r="1032">
      <c r="A1032" s="341"/>
      <c r="B1032" s="341"/>
      <c r="C1032" s="341"/>
      <c r="D1032" s="341"/>
      <c r="E1032" s="341"/>
      <c r="F1032" s="373"/>
      <c r="G1032" s="341"/>
      <c r="H1032" s="341"/>
      <c r="I1032" s="341"/>
      <c r="J1032" s="341"/>
      <c r="K1032" s="341"/>
      <c r="L1032" s="26" t="str">
        <f t="shared" si="1"/>
        <v/>
      </c>
      <c r="M1032" s="28" t="str">
        <f>IFERROR(__xludf.DUMMYFUNCTION("IF(Account!$F1032&lt;&gt;"""", VALUE(REGEXREPLACE($I1032, ""\,"", ""."")), """")"),"")</f>
        <v/>
      </c>
      <c r="N1032" s="31" t="str">
        <f>IF(Account!$F1032&lt;&gt;"", DATEVALUE(MID($A1032,4,3) &amp; LEFT($A1032,3) &amp; RIGHT($A1032,4)) + TIMEVALUE($B1032), "")</f>
        <v/>
      </c>
      <c r="O1032" s="33" t="str">
        <f>IF(Account!$F1032&lt;&gt;"", DATEVALUE(MID($A1032,4,3) &amp; LEFT($A1032,3) &amp; RIGHT($A1032,4)), "")</f>
        <v/>
      </c>
      <c r="P1032" s="34" t="str">
        <f>IFERROR(VLOOKUP($Q1032,Selection!$F:$G,2,false))</f>
        <v/>
      </c>
      <c r="Q1032" s="36" t="str">
        <f>IF(AND($X1032="change",$H1032="EUR"),IF(AND($Z1032="Crédit",$N1032=$N1033),$Q1033,IF(AND($Z1032="Débit",$N1032=$N1031),$Q1031)),IF(OR(AND(OR($E1032&lt;&gt;"",$L1032=""),$M1032&lt;&gt;0),$A1032=""),IFERROR(VLOOKUP($E1032,Selection!$E:$F,2,false)),IFERROR(VLOOKUP(SUBSTITUTE($I1032,"-","",1),$K1033:$Q1119,7,false),VLOOKUP($K1032,$K1033:$Q1119,7,false))))</f>
        <v/>
      </c>
      <c r="R1032" s="34" t="str">
        <f t="shared" si="2"/>
        <v/>
      </c>
      <c r="S1032" s="37" t="str">
        <f t="shared" si="3"/>
        <v/>
      </c>
      <c r="T1032" s="38" t="str">
        <f t="shared" si="4"/>
        <v/>
      </c>
      <c r="U1032" s="28" t="str">
        <f t="shared" si="5"/>
        <v/>
      </c>
      <c r="V1032" s="39" t="str">
        <f>IFERROR(__xludf.DUMMYFUNCTION(" IF(Account!$F1032&lt;&gt;"""", SPLIT(Account!$F1032, "" ""), """")"),"")</f>
        <v/>
      </c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</row>
    <row r="1033">
      <c r="A1033" s="341"/>
      <c r="B1033" s="341"/>
      <c r="C1033" s="341"/>
      <c r="D1033" s="341"/>
      <c r="E1033" s="341"/>
      <c r="F1033" s="373"/>
      <c r="G1033" s="341"/>
      <c r="H1033" s="341"/>
      <c r="I1033" s="341"/>
      <c r="J1033" s="341"/>
      <c r="K1033" s="341"/>
      <c r="L1033" s="26" t="str">
        <f t="shared" si="1"/>
        <v/>
      </c>
      <c r="M1033" s="28" t="str">
        <f>IFERROR(__xludf.DUMMYFUNCTION("IF(Account!$F1033&lt;&gt;"""", VALUE(REGEXREPLACE($I1033, ""\,"", ""."")), """")"),"")</f>
        <v/>
      </c>
      <c r="N1033" s="31" t="str">
        <f>IF(Account!$F1033&lt;&gt;"", DATEVALUE(MID($A1033,4,3) &amp; LEFT($A1033,3) &amp; RIGHT($A1033,4)) + TIMEVALUE($B1033), "")</f>
        <v/>
      </c>
      <c r="O1033" s="33" t="str">
        <f>IF(Account!$F1033&lt;&gt;"", DATEVALUE(MID($A1033,4,3) &amp; LEFT($A1033,3) &amp; RIGHT($A1033,4)), "")</f>
        <v/>
      </c>
      <c r="P1033" s="34" t="str">
        <f>IFERROR(VLOOKUP($Q1033,Selection!$F:$G,2,false))</f>
        <v/>
      </c>
      <c r="Q1033" s="36" t="str">
        <f>IF(AND($X1033="change",$H1033="EUR"),IF(AND($Z1033="Crédit",$N1033=$N1034),$Q1034,IF(AND($Z1033="Débit",$N1033=$N1032),$Q1032)),IF(OR(AND(OR($E1033&lt;&gt;"",$L1033=""),$M1033&lt;&gt;0),$A1033=""),IFERROR(VLOOKUP($E1033,Selection!$E:$F,2,false)),IFERROR(VLOOKUP(SUBSTITUTE($I1033,"-","",1),$K1034:$Q1119,7,false),VLOOKUP($K1033,$K1034:$Q1119,7,false))))</f>
        <v/>
      </c>
      <c r="R1033" s="34" t="str">
        <f t="shared" si="2"/>
        <v/>
      </c>
      <c r="S1033" s="37" t="str">
        <f t="shared" si="3"/>
        <v/>
      </c>
      <c r="T1033" s="38" t="str">
        <f t="shared" si="4"/>
        <v/>
      </c>
      <c r="U1033" s="28" t="str">
        <f t="shared" si="5"/>
        <v/>
      </c>
      <c r="V1033" s="39" t="str">
        <f>IFERROR(__xludf.DUMMYFUNCTION(" IF(Account!$F1033&lt;&gt;"""", SPLIT(Account!$F1033, "" ""), """")"),"")</f>
        <v/>
      </c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</row>
    <row r="1034">
      <c r="A1034" s="341"/>
      <c r="B1034" s="341"/>
      <c r="C1034" s="341"/>
      <c r="D1034" s="341"/>
      <c r="E1034" s="341"/>
      <c r="F1034" s="373"/>
      <c r="G1034" s="341"/>
      <c r="H1034" s="341"/>
      <c r="I1034" s="341"/>
      <c r="J1034" s="341"/>
      <c r="K1034" s="341"/>
      <c r="L1034" s="26" t="str">
        <f t="shared" si="1"/>
        <v/>
      </c>
      <c r="M1034" s="28" t="str">
        <f>IFERROR(__xludf.DUMMYFUNCTION("IF(Account!$F1034&lt;&gt;"""", VALUE(REGEXREPLACE($I1034, ""\,"", ""."")), """")"),"")</f>
        <v/>
      </c>
      <c r="N1034" s="31" t="str">
        <f>IF(Account!$F1034&lt;&gt;"", DATEVALUE(MID($A1034,4,3) &amp; LEFT($A1034,3) &amp; RIGHT($A1034,4)) + TIMEVALUE($B1034), "")</f>
        <v/>
      </c>
      <c r="O1034" s="33" t="str">
        <f>IF(Account!$F1034&lt;&gt;"", DATEVALUE(MID($A1034,4,3) &amp; LEFT($A1034,3) &amp; RIGHT($A1034,4)), "")</f>
        <v/>
      </c>
      <c r="P1034" s="34" t="str">
        <f>IFERROR(VLOOKUP($Q1034,Selection!$F:$G,2,false))</f>
        <v/>
      </c>
      <c r="Q1034" s="36" t="str">
        <f>IF(AND($X1034="change",$H1034="EUR"),IF(AND($Z1034="Crédit",$N1034=$N1035),$Q1035,IF(AND($Z1034="Débit",$N1034=$N1033),$Q1033)),IF(OR(AND(OR($E1034&lt;&gt;"",$L1034=""),$M1034&lt;&gt;0),$A1034=""),IFERROR(VLOOKUP($E1034,Selection!$E:$F,2,false)),IFERROR(VLOOKUP(SUBSTITUTE($I1034,"-","",1),$K1035:$Q1119,7,false),VLOOKUP($K1034,$K1035:$Q1119,7,false))))</f>
        <v/>
      </c>
      <c r="R1034" s="34" t="str">
        <f t="shared" si="2"/>
        <v/>
      </c>
      <c r="S1034" s="37" t="str">
        <f t="shared" si="3"/>
        <v/>
      </c>
      <c r="T1034" s="38" t="str">
        <f t="shared" si="4"/>
        <v/>
      </c>
      <c r="U1034" s="28" t="str">
        <f t="shared" si="5"/>
        <v/>
      </c>
      <c r="V1034" s="39" t="str">
        <f>IFERROR(__xludf.DUMMYFUNCTION(" IF(Account!$F1034&lt;&gt;"""", SPLIT(Account!$F1034, "" ""), """")"),"")</f>
        <v/>
      </c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</row>
    <row r="1035">
      <c r="A1035" s="341"/>
      <c r="B1035" s="341"/>
      <c r="C1035" s="341"/>
      <c r="D1035" s="341"/>
      <c r="E1035" s="341"/>
      <c r="F1035" s="373"/>
      <c r="G1035" s="341"/>
      <c r="H1035" s="341"/>
      <c r="I1035" s="341"/>
      <c r="J1035" s="341"/>
      <c r="K1035" s="341"/>
      <c r="L1035" s="26" t="str">
        <f t="shared" si="1"/>
        <v/>
      </c>
      <c r="M1035" s="28" t="str">
        <f>IFERROR(__xludf.DUMMYFUNCTION("IF(Account!$F1035&lt;&gt;"""", VALUE(REGEXREPLACE($I1035, ""\,"", ""."")), """")"),"")</f>
        <v/>
      </c>
      <c r="N1035" s="31" t="str">
        <f>IF(Account!$F1035&lt;&gt;"", DATEVALUE(MID($A1035,4,3) &amp; LEFT($A1035,3) &amp; RIGHT($A1035,4)) + TIMEVALUE($B1035), "")</f>
        <v/>
      </c>
      <c r="O1035" s="33" t="str">
        <f>IF(Account!$F1035&lt;&gt;"", DATEVALUE(MID($A1035,4,3) &amp; LEFT($A1035,3) &amp; RIGHT($A1035,4)), "")</f>
        <v/>
      </c>
      <c r="P1035" s="34" t="str">
        <f>IFERROR(VLOOKUP($Q1035,Selection!$F:$G,2,false))</f>
        <v/>
      </c>
      <c r="Q1035" s="36" t="str">
        <f>IF(AND($X1035="change",$H1035="EUR"),IF(AND($Z1035="Crédit",$N1035=$N1036),$Q1036,IF(AND($Z1035="Débit",$N1035=$N1034),$Q1034)),IF(OR(AND(OR($E1035&lt;&gt;"",$L1035=""),$M1035&lt;&gt;0),$A1035=""),IFERROR(VLOOKUP($E1035,Selection!$E:$F,2,false)),IFERROR(VLOOKUP(SUBSTITUTE($I1035,"-","",1),$K1036:$Q1119,7,false),VLOOKUP($K1035,$K1036:$Q1119,7,false))))</f>
        <v/>
      </c>
      <c r="R1035" s="34" t="str">
        <f t="shared" si="2"/>
        <v/>
      </c>
      <c r="S1035" s="37" t="str">
        <f t="shared" si="3"/>
        <v/>
      </c>
      <c r="T1035" s="38" t="str">
        <f t="shared" si="4"/>
        <v/>
      </c>
      <c r="U1035" s="28" t="str">
        <f t="shared" si="5"/>
        <v/>
      </c>
      <c r="V1035" s="39" t="str">
        <f>IFERROR(__xludf.DUMMYFUNCTION(" IF(Account!$F1035&lt;&gt;"""", SPLIT(Account!$F1035, "" ""), """")"),"")</f>
        <v/>
      </c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</row>
    <row r="1036">
      <c r="A1036" s="341"/>
      <c r="B1036" s="341"/>
      <c r="C1036" s="341"/>
      <c r="D1036" s="341"/>
      <c r="E1036" s="341"/>
      <c r="F1036" s="373"/>
      <c r="G1036" s="341"/>
      <c r="H1036" s="341"/>
      <c r="I1036" s="341"/>
      <c r="J1036" s="341"/>
      <c r="K1036" s="341"/>
      <c r="L1036" s="26" t="str">
        <f t="shared" si="1"/>
        <v/>
      </c>
      <c r="M1036" s="28" t="str">
        <f>IFERROR(__xludf.DUMMYFUNCTION("IF(Account!$F1036&lt;&gt;"""", VALUE(REGEXREPLACE($I1036, ""\,"", ""."")), """")"),"")</f>
        <v/>
      </c>
      <c r="N1036" s="31" t="str">
        <f>IF(Account!$F1036&lt;&gt;"", DATEVALUE(MID($A1036,4,3) &amp; LEFT($A1036,3) &amp; RIGHT($A1036,4)) + TIMEVALUE($B1036), "")</f>
        <v/>
      </c>
      <c r="O1036" s="33" t="str">
        <f>IF(Account!$F1036&lt;&gt;"", DATEVALUE(MID($A1036,4,3) &amp; LEFT($A1036,3) &amp; RIGHT($A1036,4)), "")</f>
        <v/>
      </c>
      <c r="P1036" s="34" t="str">
        <f>IFERROR(VLOOKUP($Q1036,Selection!$F:$G,2,false))</f>
        <v/>
      </c>
      <c r="Q1036" s="36" t="str">
        <f>IF(AND($X1036="change",$H1036="EUR"),IF(AND($Z1036="Crédit",$N1036=$N1037),$Q1037,IF(AND($Z1036="Débit",$N1036=$N1035),$Q1035)),IF(OR(AND(OR($E1036&lt;&gt;"",$L1036=""),$M1036&lt;&gt;0),$A1036=""),IFERROR(VLOOKUP($E1036,Selection!$E:$F,2,false)),IFERROR(VLOOKUP(SUBSTITUTE($I1036,"-","",1),$K1037:$Q1119,7,false),VLOOKUP($K1036,$K1037:$Q1119,7,false))))</f>
        <v/>
      </c>
      <c r="R1036" s="34" t="str">
        <f t="shared" si="2"/>
        <v/>
      </c>
      <c r="S1036" s="37" t="str">
        <f t="shared" si="3"/>
        <v/>
      </c>
      <c r="T1036" s="38" t="str">
        <f t="shared" si="4"/>
        <v/>
      </c>
      <c r="U1036" s="28" t="str">
        <f t="shared" si="5"/>
        <v/>
      </c>
      <c r="V1036" s="39" t="str">
        <f>IFERROR(__xludf.DUMMYFUNCTION(" IF(Account!$F1036&lt;&gt;"""", SPLIT(Account!$F1036, "" ""), """")"),"")</f>
        <v/>
      </c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</row>
    <row r="1037">
      <c r="A1037" s="341"/>
      <c r="B1037" s="341"/>
      <c r="C1037" s="341"/>
      <c r="D1037" s="341"/>
      <c r="E1037" s="341"/>
      <c r="F1037" s="373"/>
      <c r="G1037" s="341"/>
      <c r="H1037" s="341"/>
      <c r="I1037" s="341"/>
      <c r="J1037" s="341"/>
      <c r="K1037" s="341"/>
      <c r="L1037" s="26" t="str">
        <f t="shared" si="1"/>
        <v/>
      </c>
      <c r="M1037" s="28" t="str">
        <f>IFERROR(__xludf.DUMMYFUNCTION("IF(Account!$F1037&lt;&gt;"""", VALUE(REGEXREPLACE($I1037, ""\,"", ""."")), """")"),"")</f>
        <v/>
      </c>
      <c r="N1037" s="31" t="str">
        <f>IF(Account!$F1037&lt;&gt;"", DATEVALUE(MID($A1037,4,3) &amp; LEFT($A1037,3) &amp; RIGHT($A1037,4)) + TIMEVALUE($B1037), "")</f>
        <v/>
      </c>
      <c r="O1037" s="33" t="str">
        <f>IF(Account!$F1037&lt;&gt;"", DATEVALUE(MID($A1037,4,3) &amp; LEFT($A1037,3) &amp; RIGHT($A1037,4)), "")</f>
        <v/>
      </c>
      <c r="P1037" s="34" t="str">
        <f>IFERROR(VLOOKUP($Q1037,Selection!$F:$G,2,false))</f>
        <v/>
      </c>
      <c r="Q1037" s="36" t="str">
        <f>IF(AND($X1037="change",$H1037="EUR"),IF(AND($Z1037="Crédit",$N1037=$N1038),$Q1038,IF(AND($Z1037="Débit",$N1037=$N1036),$Q1036)),IF(OR(AND(OR($E1037&lt;&gt;"",$L1037=""),$M1037&lt;&gt;0),$A1037=""),IFERROR(VLOOKUP($E1037,Selection!$E:$F,2,false)),IFERROR(VLOOKUP(SUBSTITUTE($I1037,"-","",1),$K1038:$Q1119,7,false),VLOOKUP($K1037,$K1038:$Q1119,7,false))))</f>
        <v/>
      </c>
      <c r="R1037" s="34" t="str">
        <f t="shared" si="2"/>
        <v/>
      </c>
      <c r="S1037" s="37" t="str">
        <f t="shared" si="3"/>
        <v/>
      </c>
      <c r="T1037" s="38" t="str">
        <f t="shared" si="4"/>
        <v/>
      </c>
      <c r="U1037" s="28" t="str">
        <f t="shared" si="5"/>
        <v/>
      </c>
      <c r="V1037" s="39" t="str">
        <f>IFERROR(__xludf.DUMMYFUNCTION(" IF(Account!$F1037&lt;&gt;"""", SPLIT(Account!$F1037, "" ""), """")"),"")</f>
        <v/>
      </c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</row>
    <row r="1038">
      <c r="A1038" s="341"/>
      <c r="B1038" s="341"/>
      <c r="C1038" s="341"/>
      <c r="D1038" s="341"/>
      <c r="E1038" s="341"/>
      <c r="F1038" s="373"/>
      <c r="G1038" s="341"/>
      <c r="H1038" s="341"/>
      <c r="I1038" s="341"/>
      <c r="J1038" s="341"/>
      <c r="K1038" s="341"/>
      <c r="L1038" s="26" t="str">
        <f t="shared" si="1"/>
        <v/>
      </c>
      <c r="M1038" s="28" t="str">
        <f>IFERROR(__xludf.DUMMYFUNCTION("IF(Account!$F1038&lt;&gt;"""", VALUE(REGEXREPLACE($I1038, ""\,"", ""."")), """")"),"")</f>
        <v/>
      </c>
      <c r="N1038" s="31" t="str">
        <f>IF(Account!$F1038&lt;&gt;"", DATEVALUE(MID($A1038,4,3) &amp; LEFT($A1038,3) &amp; RIGHT($A1038,4)) + TIMEVALUE($B1038), "")</f>
        <v/>
      </c>
      <c r="O1038" s="33" t="str">
        <f>IF(Account!$F1038&lt;&gt;"", DATEVALUE(MID($A1038,4,3) &amp; LEFT($A1038,3) &amp; RIGHT($A1038,4)), "")</f>
        <v/>
      </c>
      <c r="P1038" s="34" t="str">
        <f>IFERROR(VLOOKUP($Q1038,Selection!$F:$G,2,false))</f>
        <v/>
      </c>
      <c r="Q1038" s="36" t="str">
        <f>IF(AND($X1038="change",$H1038="EUR"),IF(AND($Z1038="Crédit",$N1038=$N1039),$Q1039,IF(AND($Z1038="Débit",$N1038=$N1037),$Q1037)),IF(OR(AND(OR($E1038&lt;&gt;"",$L1038=""),$M1038&lt;&gt;0),$A1038=""),IFERROR(VLOOKUP($E1038,Selection!$E:$F,2,false)),IFERROR(VLOOKUP(SUBSTITUTE($I1038,"-","",1),$K1039:$Q1119,7,false),VLOOKUP($K1038,$K1039:$Q1119,7,false))))</f>
        <v/>
      </c>
      <c r="R1038" s="34" t="str">
        <f t="shared" si="2"/>
        <v/>
      </c>
      <c r="S1038" s="37" t="str">
        <f t="shared" si="3"/>
        <v/>
      </c>
      <c r="T1038" s="38" t="str">
        <f t="shared" si="4"/>
        <v/>
      </c>
      <c r="U1038" s="28" t="str">
        <f t="shared" si="5"/>
        <v/>
      </c>
      <c r="V1038" s="39" t="str">
        <f>IFERROR(__xludf.DUMMYFUNCTION(" IF(Account!$F1038&lt;&gt;"""", SPLIT(Account!$F1038, "" ""), """")"),"")</f>
        <v/>
      </c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</row>
    <row r="1039">
      <c r="A1039" s="341"/>
      <c r="B1039" s="341"/>
      <c r="C1039" s="341"/>
      <c r="D1039" s="341"/>
      <c r="E1039" s="341"/>
      <c r="F1039" s="373"/>
      <c r="G1039" s="341"/>
      <c r="H1039" s="341"/>
      <c r="I1039" s="341"/>
      <c r="J1039" s="341"/>
      <c r="K1039" s="341"/>
      <c r="L1039" s="26" t="str">
        <f t="shared" si="1"/>
        <v/>
      </c>
      <c r="M1039" s="28" t="str">
        <f>IFERROR(__xludf.DUMMYFUNCTION("IF(Account!$F1039&lt;&gt;"""", VALUE(REGEXREPLACE($I1039, ""\,"", ""."")), """")"),"")</f>
        <v/>
      </c>
      <c r="N1039" s="31" t="str">
        <f>IF(Account!$F1039&lt;&gt;"", DATEVALUE(MID($A1039,4,3) &amp; LEFT($A1039,3) &amp; RIGHT($A1039,4)) + TIMEVALUE($B1039), "")</f>
        <v/>
      </c>
      <c r="O1039" s="33" t="str">
        <f>IF(Account!$F1039&lt;&gt;"", DATEVALUE(MID($A1039,4,3) &amp; LEFT($A1039,3) &amp; RIGHT($A1039,4)), "")</f>
        <v/>
      </c>
      <c r="P1039" s="34" t="str">
        <f>IFERROR(VLOOKUP($Q1039,Selection!$F:$G,2,false))</f>
        <v/>
      </c>
      <c r="Q1039" s="36" t="str">
        <f>IF(AND($X1039="change",$H1039="EUR"),IF(AND($Z1039="Crédit",$N1039=$N1040),$Q1040,IF(AND($Z1039="Débit",$N1039=$N1038),$Q1038)),IF(OR(AND(OR($E1039&lt;&gt;"",$L1039=""),$M1039&lt;&gt;0),$A1039=""),IFERROR(VLOOKUP($E1039,Selection!$E:$F,2,false)),IFERROR(VLOOKUP(SUBSTITUTE($I1039,"-","",1),$K1040:$Q1119,7,false),VLOOKUP($K1039,$K1040:$Q1119,7,false))))</f>
        <v/>
      </c>
      <c r="R1039" s="34" t="str">
        <f t="shared" si="2"/>
        <v/>
      </c>
      <c r="S1039" s="37" t="str">
        <f t="shared" si="3"/>
        <v/>
      </c>
      <c r="T1039" s="38" t="str">
        <f t="shared" si="4"/>
        <v/>
      </c>
      <c r="U1039" s="28" t="str">
        <f t="shared" si="5"/>
        <v/>
      </c>
      <c r="V1039" s="39" t="str">
        <f>IFERROR(__xludf.DUMMYFUNCTION(" IF(Account!$F1039&lt;&gt;"""", SPLIT(Account!$F1039, "" ""), """")"),"")</f>
        <v/>
      </c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</row>
    <row r="1040">
      <c r="A1040" s="341"/>
      <c r="B1040" s="341"/>
      <c r="C1040" s="341"/>
      <c r="D1040" s="341"/>
      <c r="E1040" s="341"/>
      <c r="F1040" s="373"/>
      <c r="G1040" s="341"/>
      <c r="H1040" s="341"/>
      <c r="I1040" s="341"/>
      <c r="J1040" s="341"/>
      <c r="K1040" s="341"/>
      <c r="L1040" s="26" t="str">
        <f t="shared" si="1"/>
        <v/>
      </c>
      <c r="M1040" s="28" t="str">
        <f>IFERROR(__xludf.DUMMYFUNCTION("IF(Account!$F1040&lt;&gt;"""", VALUE(REGEXREPLACE($I1040, ""\,"", ""."")), """")"),"")</f>
        <v/>
      </c>
      <c r="N1040" s="31" t="str">
        <f>IF(Account!$F1040&lt;&gt;"", DATEVALUE(MID($A1040,4,3) &amp; LEFT($A1040,3) &amp; RIGHT($A1040,4)) + TIMEVALUE($B1040), "")</f>
        <v/>
      </c>
      <c r="O1040" s="33" t="str">
        <f>IF(Account!$F1040&lt;&gt;"", DATEVALUE(MID($A1040,4,3) &amp; LEFT($A1040,3) &amp; RIGHT($A1040,4)), "")</f>
        <v/>
      </c>
      <c r="P1040" s="34" t="str">
        <f>IFERROR(VLOOKUP($Q1040,Selection!$F:$G,2,false))</f>
        <v/>
      </c>
      <c r="Q1040" s="36" t="str">
        <f>IF(AND($X1040="change",$H1040="EUR"),IF(AND($Z1040="Crédit",$N1040=$N1041),$Q1041,IF(AND($Z1040="Débit",$N1040=$N1039),$Q1039)),IF(OR(AND(OR($E1040&lt;&gt;"",$L1040=""),$M1040&lt;&gt;0),$A1040=""),IFERROR(VLOOKUP($E1040,Selection!$E:$F,2,false)),IFERROR(VLOOKUP(SUBSTITUTE($I1040,"-","",1),$K1041:$Q1119,7,false),VLOOKUP($K1040,$K1041:$Q1119,7,false))))</f>
        <v/>
      </c>
      <c r="R1040" s="34" t="str">
        <f t="shared" si="2"/>
        <v/>
      </c>
      <c r="S1040" s="37" t="str">
        <f t="shared" si="3"/>
        <v/>
      </c>
      <c r="T1040" s="38" t="str">
        <f t="shared" si="4"/>
        <v/>
      </c>
      <c r="U1040" s="28" t="str">
        <f t="shared" si="5"/>
        <v/>
      </c>
      <c r="V1040" s="39" t="str">
        <f>IFERROR(__xludf.DUMMYFUNCTION(" IF(Account!$F1040&lt;&gt;"""", SPLIT(Account!$F1040, "" ""), """")"),"")</f>
        <v/>
      </c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</row>
    <row r="1041">
      <c r="A1041" s="341"/>
      <c r="B1041" s="341"/>
      <c r="C1041" s="341"/>
      <c r="D1041" s="341"/>
      <c r="E1041" s="341"/>
      <c r="F1041" s="373"/>
      <c r="G1041" s="341"/>
      <c r="H1041" s="341"/>
      <c r="I1041" s="341"/>
      <c r="J1041" s="341"/>
      <c r="K1041" s="341"/>
      <c r="L1041" s="26" t="str">
        <f t="shared" si="1"/>
        <v/>
      </c>
      <c r="M1041" s="28" t="str">
        <f>IFERROR(__xludf.DUMMYFUNCTION("IF(Account!$F1041&lt;&gt;"""", VALUE(REGEXREPLACE($I1041, ""\,"", ""."")), """")"),"")</f>
        <v/>
      </c>
      <c r="N1041" s="31" t="str">
        <f>IF(Account!$F1041&lt;&gt;"", DATEVALUE(MID($A1041,4,3) &amp; LEFT($A1041,3) &amp; RIGHT($A1041,4)) + TIMEVALUE($B1041), "")</f>
        <v/>
      </c>
      <c r="O1041" s="33" t="str">
        <f>IF(Account!$F1041&lt;&gt;"", DATEVALUE(MID($A1041,4,3) &amp; LEFT($A1041,3) &amp; RIGHT($A1041,4)), "")</f>
        <v/>
      </c>
      <c r="P1041" s="34" t="str">
        <f>IFERROR(VLOOKUP($Q1041,Selection!$F:$G,2,false))</f>
        <v/>
      </c>
      <c r="Q1041" s="36" t="str">
        <f>IF(AND($X1041="change",$H1041="EUR"),IF(AND($Z1041="Crédit",$N1041=$N1042),$Q1042,IF(AND($Z1041="Débit",$N1041=$N1040),$Q1040)),IF(OR(AND(OR($E1041&lt;&gt;"",$L1041=""),$M1041&lt;&gt;0),$A1041=""),IFERROR(VLOOKUP($E1041,Selection!$E:$F,2,false)),IFERROR(VLOOKUP(SUBSTITUTE($I1041,"-","",1),$K1042:$Q1119,7,false),VLOOKUP($K1041,$K1042:$Q1119,7,false))))</f>
        <v/>
      </c>
      <c r="R1041" s="34" t="str">
        <f t="shared" si="2"/>
        <v/>
      </c>
      <c r="S1041" s="37" t="str">
        <f t="shared" si="3"/>
        <v/>
      </c>
      <c r="T1041" s="38" t="str">
        <f t="shared" si="4"/>
        <v/>
      </c>
      <c r="U1041" s="28" t="str">
        <f t="shared" si="5"/>
        <v/>
      </c>
      <c r="V1041" s="39" t="str">
        <f>IFERROR(__xludf.DUMMYFUNCTION(" IF(Account!$F1041&lt;&gt;"""", SPLIT(Account!$F1041, "" ""), """")"),"")</f>
        <v/>
      </c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</row>
    <row r="1042">
      <c r="A1042" s="341"/>
      <c r="B1042" s="341"/>
      <c r="C1042" s="341"/>
      <c r="D1042" s="341"/>
      <c r="E1042" s="341"/>
      <c r="F1042" s="373"/>
      <c r="G1042" s="341"/>
      <c r="H1042" s="341"/>
      <c r="I1042" s="341"/>
      <c r="J1042" s="341"/>
      <c r="K1042" s="341"/>
      <c r="L1042" s="26" t="str">
        <f t="shared" si="1"/>
        <v/>
      </c>
      <c r="M1042" s="28" t="str">
        <f>IFERROR(__xludf.DUMMYFUNCTION("IF(Account!$F1042&lt;&gt;"""", VALUE(REGEXREPLACE($I1042, ""\,"", ""."")), """")"),"")</f>
        <v/>
      </c>
      <c r="N1042" s="31" t="str">
        <f>IF(Account!$F1042&lt;&gt;"", DATEVALUE(MID($A1042,4,3) &amp; LEFT($A1042,3) &amp; RIGHT($A1042,4)) + TIMEVALUE($B1042), "")</f>
        <v/>
      </c>
      <c r="O1042" s="33" t="str">
        <f>IF(Account!$F1042&lt;&gt;"", DATEVALUE(MID($A1042,4,3) &amp; LEFT($A1042,3) &amp; RIGHT($A1042,4)), "")</f>
        <v/>
      </c>
      <c r="P1042" s="34" t="str">
        <f>IFERROR(VLOOKUP($Q1042,Selection!$F:$G,2,false))</f>
        <v/>
      </c>
      <c r="Q1042" s="36" t="str">
        <f>IF(AND($X1042="change",$H1042="EUR"),IF(AND($Z1042="Crédit",$N1042=$N1043),$Q1043,IF(AND($Z1042="Débit",$N1042=$N1041),$Q1041)),IF(OR(AND(OR($E1042&lt;&gt;"",$L1042=""),$M1042&lt;&gt;0),$A1042=""),IFERROR(VLOOKUP($E1042,Selection!$E:$F,2,false)),IFERROR(VLOOKUP(SUBSTITUTE($I1042,"-","",1),$K1043:$Q1119,7,false),VLOOKUP($K1042,$K1043:$Q1119,7,false))))</f>
        <v/>
      </c>
      <c r="R1042" s="34" t="str">
        <f t="shared" si="2"/>
        <v/>
      </c>
      <c r="S1042" s="37" t="str">
        <f t="shared" si="3"/>
        <v/>
      </c>
      <c r="T1042" s="38" t="str">
        <f t="shared" si="4"/>
        <v/>
      </c>
      <c r="U1042" s="28" t="str">
        <f t="shared" si="5"/>
        <v/>
      </c>
      <c r="V1042" s="39" t="str">
        <f>IFERROR(__xludf.DUMMYFUNCTION(" IF(Account!$F1042&lt;&gt;"""", SPLIT(Account!$F1042, "" ""), """")"),"")</f>
        <v/>
      </c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</row>
    <row r="1043">
      <c r="A1043" s="341"/>
      <c r="B1043" s="341"/>
      <c r="C1043" s="341"/>
      <c r="D1043" s="341"/>
      <c r="E1043" s="341"/>
      <c r="F1043" s="373"/>
      <c r="G1043" s="341"/>
      <c r="H1043" s="341"/>
      <c r="I1043" s="341"/>
      <c r="J1043" s="341"/>
      <c r="K1043" s="341"/>
      <c r="L1043" s="26" t="str">
        <f t="shared" si="1"/>
        <v/>
      </c>
      <c r="M1043" s="28" t="str">
        <f>IFERROR(__xludf.DUMMYFUNCTION("IF(Account!$F1043&lt;&gt;"""", VALUE(REGEXREPLACE($I1043, ""\,"", ""."")), """")"),"")</f>
        <v/>
      </c>
      <c r="N1043" s="31" t="str">
        <f>IF(Account!$F1043&lt;&gt;"", DATEVALUE(MID($A1043,4,3) &amp; LEFT($A1043,3) &amp; RIGHT($A1043,4)) + TIMEVALUE($B1043), "")</f>
        <v/>
      </c>
      <c r="O1043" s="33" t="str">
        <f>IF(Account!$F1043&lt;&gt;"", DATEVALUE(MID($A1043,4,3) &amp; LEFT($A1043,3) &amp; RIGHT($A1043,4)), "")</f>
        <v/>
      </c>
      <c r="P1043" s="34" t="str">
        <f>IFERROR(VLOOKUP($Q1043,Selection!$F:$G,2,false))</f>
        <v/>
      </c>
      <c r="Q1043" s="36" t="str">
        <f>IF(AND($X1043="change",$H1043="EUR"),IF(AND($Z1043="Crédit",$N1043=$N1044),$Q1044,IF(AND($Z1043="Débit",$N1043=$N1042),$Q1042)),IF(OR(AND(OR($E1043&lt;&gt;"",$L1043=""),$M1043&lt;&gt;0),$A1043=""),IFERROR(VLOOKUP($E1043,Selection!$E:$F,2,false)),IFERROR(VLOOKUP(SUBSTITUTE($I1043,"-","",1),$K1044:$Q1119,7,false),VLOOKUP($K1043,$K1044:$Q1119,7,false))))</f>
        <v/>
      </c>
      <c r="R1043" s="34" t="str">
        <f t="shared" si="2"/>
        <v/>
      </c>
      <c r="S1043" s="37" t="str">
        <f t="shared" si="3"/>
        <v/>
      </c>
      <c r="T1043" s="38" t="str">
        <f t="shared" si="4"/>
        <v/>
      </c>
      <c r="U1043" s="28" t="str">
        <f t="shared" si="5"/>
        <v/>
      </c>
      <c r="V1043" s="39" t="str">
        <f>IFERROR(__xludf.DUMMYFUNCTION(" IF(Account!$F1043&lt;&gt;"""", SPLIT(Account!$F1043, "" ""), """")"),"")</f>
        <v/>
      </c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</row>
    <row r="1044">
      <c r="A1044" s="341"/>
      <c r="B1044" s="341"/>
      <c r="C1044" s="341"/>
      <c r="D1044" s="341"/>
      <c r="E1044" s="341"/>
      <c r="F1044" s="373"/>
      <c r="G1044" s="341"/>
      <c r="H1044" s="341"/>
      <c r="I1044" s="341"/>
      <c r="J1044" s="341"/>
      <c r="K1044" s="341"/>
      <c r="L1044" s="26" t="str">
        <f t="shared" si="1"/>
        <v/>
      </c>
      <c r="M1044" s="28" t="str">
        <f>IFERROR(__xludf.DUMMYFUNCTION("IF(Account!$F1044&lt;&gt;"""", VALUE(REGEXREPLACE($I1044, ""\,"", ""."")), """")"),"")</f>
        <v/>
      </c>
      <c r="N1044" s="31" t="str">
        <f>IF(Account!$F1044&lt;&gt;"", DATEVALUE(MID($A1044,4,3) &amp; LEFT($A1044,3) &amp; RIGHT($A1044,4)) + TIMEVALUE($B1044), "")</f>
        <v/>
      </c>
      <c r="O1044" s="33" t="str">
        <f>IF(Account!$F1044&lt;&gt;"", DATEVALUE(MID($A1044,4,3) &amp; LEFT($A1044,3) &amp; RIGHT($A1044,4)), "")</f>
        <v/>
      </c>
      <c r="P1044" s="34" t="str">
        <f>IFERROR(VLOOKUP($Q1044,Selection!$F:$G,2,false))</f>
        <v/>
      </c>
      <c r="Q1044" s="36" t="str">
        <f>IF(AND($X1044="change",$H1044="EUR"),IF(AND($Z1044="Crédit",$N1044=$N1045),$Q1045,IF(AND($Z1044="Débit",$N1044=$N1043),$Q1043)),IF(OR(AND(OR($E1044&lt;&gt;"",$L1044=""),$M1044&lt;&gt;0),$A1044=""),IFERROR(VLOOKUP($E1044,Selection!$E:$F,2,false)),IFERROR(VLOOKUP(SUBSTITUTE($I1044,"-","",1),$K1045:$Q1119,7,false),VLOOKUP($K1044,$K1045:$Q1119,7,false))))</f>
        <v/>
      </c>
      <c r="R1044" s="34" t="str">
        <f t="shared" si="2"/>
        <v/>
      </c>
      <c r="S1044" s="37" t="str">
        <f t="shared" si="3"/>
        <v/>
      </c>
      <c r="T1044" s="38" t="str">
        <f t="shared" si="4"/>
        <v/>
      </c>
      <c r="U1044" s="28" t="str">
        <f t="shared" si="5"/>
        <v/>
      </c>
      <c r="V1044" s="39" t="str">
        <f>IFERROR(__xludf.DUMMYFUNCTION(" IF(Account!$F1044&lt;&gt;"""", SPLIT(Account!$F1044, "" ""), """")"),"")</f>
        <v/>
      </c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</row>
    <row r="1045">
      <c r="A1045" s="341"/>
      <c r="B1045" s="341"/>
      <c r="C1045" s="341"/>
      <c r="D1045" s="341"/>
      <c r="E1045" s="341"/>
      <c r="F1045" s="373"/>
      <c r="G1045" s="341"/>
      <c r="H1045" s="341"/>
      <c r="I1045" s="341"/>
      <c r="J1045" s="341"/>
      <c r="K1045" s="341"/>
      <c r="L1045" s="26" t="str">
        <f t="shared" si="1"/>
        <v/>
      </c>
      <c r="M1045" s="28" t="str">
        <f>IFERROR(__xludf.DUMMYFUNCTION("IF(Account!$F1045&lt;&gt;"""", VALUE(REGEXREPLACE($I1045, ""\,"", ""."")), """")"),"")</f>
        <v/>
      </c>
      <c r="N1045" s="31" t="str">
        <f>IF(Account!$F1045&lt;&gt;"", DATEVALUE(MID($A1045,4,3) &amp; LEFT($A1045,3) &amp; RIGHT($A1045,4)) + TIMEVALUE($B1045), "")</f>
        <v/>
      </c>
      <c r="O1045" s="33" t="str">
        <f>IF(Account!$F1045&lt;&gt;"", DATEVALUE(MID($A1045,4,3) &amp; LEFT($A1045,3) &amp; RIGHT($A1045,4)), "")</f>
        <v/>
      </c>
      <c r="P1045" s="34" t="str">
        <f>IFERROR(VLOOKUP($Q1045,Selection!$F:$G,2,false))</f>
        <v/>
      </c>
      <c r="Q1045" s="36" t="str">
        <f>IF(AND($X1045="change",$H1045="EUR"),IF(AND($Z1045="Crédit",$N1045=$N1046),$Q1046,IF(AND($Z1045="Débit",$N1045=$N1044),$Q1044)),IF(OR(AND(OR($E1045&lt;&gt;"",$L1045=""),$M1045&lt;&gt;0),$A1045=""),IFERROR(VLOOKUP($E1045,Selection!$E:$F,2,false)),IFERROR(VLOOKUP(SUBSTITUTE($I1045,"-","",1),$K1046:$Q1119,7,false),VLOOKUP($K1045,$K1046:$Q1119,7,false))))</f>
        <v/>
      </c>
      <c r="R1045" s="34" t="str">
        <f t="shared" si="2"/>
        <v/>
      </c>
      <c r="S1045" s="37" t="str">
        <f t="shared" si="3"/>
        <v/>
      </c>
      <c r="T1045" s="38" t="str">
        <f t="shared" si="4"/>
        <v/>
      </c>
      <c r="U1045" s="28" t="str">
        <f t="shared" si="5"/>
        <v/>
      </c>
      <c r="V1045" s="39" t="str">
        <f>IFERROR(__xludf.DUMMYFUNCTION(" IF(Account!$F1045&lt;&gt;"""", SPLIT(Account!$F1045, "" ""), """")"),"")</f>
        <v/>
      </c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</row>
    <row r="1046">
      <c r="A1046" s="341"/>
      <c r="B1046" s="341"/>
      <c r="C1046" s="341"/>
      <c r="D1046" s="341"/>
      <c r="E1046" s="341"/>
      <c r="F1046" s="373"/>
      <c r="G1046" s="341"/>
      <c r="H1046" s="341"/>
      <c r="I1046" s="341"/>
      <c r="J1046" s="341"/>
      <c r="K1046" s="341"/>
      <c r="L1046" s="26" t="str">
        <f t="shared" si="1"/>
        <v/>
      </c>
      <c r="M1046" s="28" t="str">
        <f>IFERROR(__xludf.DUMMYFUNCTION("IF(Account!$F1046&lt;&gt;"""", VALUE(REGEXREPLACE($I1046, ""\,"", ""."")), """")"),"")</f>
        <v/>
      </c>
      <c r="N1046" s="31" t="str">
        <f>IF(Account!$F1046&lt;&gt;"", DATEVALUE(MID($A1046,4,3) &amp; LEFT($A1046,3) &amp; RIGHT($A1046,4)) + TIMEVALUE($B1046), "")</f>
        <v/>
      </c>
      <c r="O1046" s="33" t="str">
        <f>IF(Account!$F1046&lt;&gt;"", DATEVALUE(MID($A1046,4,3) &amp; LEFT($A1046,3) &amp; RIGHT($A1046,4)), "")</f>
        <v/>
      </c>
      <c r="P1046" s="34" t="str">
        <f>IFERROR(VLOOKUP($Q1046,Selection!$F:$G,2,false))</f>
        <v/>
      </c>
      <c r="Q1046" s="36" t="str">
        <f>IF(AND($X1046="change",$H1046="EUR"),IF(AND($Z1046="Crédit",$N1046=$N1047),$Q1047,IF(AND($Z1046="Débit",$N1046=$N1045),$Q1045)),IF(OR(AND(OR($E1046&lt;&gt;"",$L1046=""),$M1046&lt;&gt;0),$A1046=""),IFERROR(VLOOKUP($E1046,Selection!$E:$F,2,false)),IFERROR(VLOOKUP(SUBSTITUTE($I1046,"-","",1),$K1047:$Q1119,7,false),VLOOKUP($K1046,$K1047:$Q1119,7,false))))</f>
        <v/>
      </c>
      <c r="R1046" s="34" t="str">
        <f t="shared" si="2"/>
        <v/>
      </c>
      <c r="S1046" s="37" t="str">
        <f t="shared" si="3"/>
        <v/>
      </c>
      <c r="T1046" s="38" t="str">
        <f t="shared" si="4"/>
        <v/>
      </c>
      <c r="U1046" s="28" t="str">
        <f t="shared" si="5"/>
        <v/>
      </c>
      <c r="V1046" s="39" t="str">
        <f>IFERROR(__xludf.DUMMYFUNCTION(" IF(Account!$F1046&lt;&gt;"""", SPLIT(Account!$F1046, "" ""), """")"),"")</f>
        <v/>
      </c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</row>
    <row r="1047">
      <c r="A1047" s="341"/>
      <c r="B1047" s="341"/>
      <c r="C1047" s="341"/>
      <c r="D1047" s="341"/>
      <c r="E1047" s="341"/>
      <c r="F1047" s="373"/>
      <c r="G1047" s="341"/>
      <c r="H1047" s="341"/>
      <c r="I1047" s="341"/>
      <c r="J1047" s="341"/>
      <c r="K1047" s="341"/>
      <c r="L1047" s="26" t="str">
        <f t="shared" si="1"/>
        <v/>
      </c>
      <c r="M1047" s="28" t="str">
        <f>IFERROR(__xludf.DUMMYFUNCTION("IF(Account!$F1047&lt;&gt;"""", VALUE(REGEXREPLACE($I1047, ""\,"", ""."")), """")"),"")</f>
        <v/>
      </c>
      <c r="N1047" s="31" t="str">
        <f>IF(Account!$F1047&lt;&gt;"", DATEVALUE(MID($A1047,4,3) &amp; LEFT($A1047,3) &amp; RIGHT($A1047,4)) + TIMEVALUE($B1047), "")</f>
        <v/>
      </c>
      <c r="O1047" s="33" t="str">
        <f>IF(Account!$F1047&lt;&gt;"", DATEVALUE(MID($A1047,4,3) &amp; LEFT($A1047,3) &amp; RIGHT($A1047,4)), "")</f>
        <v/>
      </c>
      <c r="P1047" s="34" t="str">
        <f>IFERROR(VLOOKUP($Q1047,Selection!$F:$G,2,false))</f>
        <v/>
      </c>
      <c r="Q1047" s="36" t="str">
        <f>IF(AND($X1047="change",$H1047="EUR"),IF(AND($Z1047="Crédit",$N1047=$N1048),$Q1048,IF(AND($Z1047="Débit",$N1047=$N1046),$Q1046)),IF(OR(AND(OR($E1047&lt;&gt;"",$L1047=""),$M1047&lt;&gt;0),$A1047=""),IFERROR(VLOOKUP($E1047,Selection!$E:$F,2,false)),IFERROR(VLOOKUP(SUBSTITUTE($I1047,"-","",1),$K1048:$Q1119,7,false),VLOOKUP($K1047,$K1048:$Q1119,7,false))))</f>
        <v/>
      </c>
      <c r="R1047" s="34" t="str">
        <f t="shared" si="2"/>
        <v/>
      </c>
      <c r="S1047" s="37" t="str">
        <f t="shared" si="3"/>
        <v/>
      </c>
      <c r="T1047" s="38" t="str">
        <f t="shared" si="4"/>
        <v/>
      </c>
      <c r="U1047" s="28" t="str">
        <f t="shared" si="5"/>
        <v/>
      </c>
      <c r="V1047" s="39" t="str">
        <f>IFERROR(__xludf.DUMMYFUNCTION(" IF(Account!$F1047&lt;&gt;"""", SPLIT(Account!$F1047, "" ""), """")"),"")</f>
        <v/>
      </c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</row>
    <row r="1048">
      <c r="A1048" s="341"/>
      <c r="B1048" s="341"/>
      <c r="C1048" s="341"/>
      <c r="D1048" s="341"/>
      <c r="E1048" s="341"/>
      <c r="F1048" s="373"/>
      <c r="G1048" s="341"/>
      <c r="H1048" s="341"/>
      <c r="I1048" s="341"/>
      <c r="J1048" s="341"/>
      <c r="K1048" s="341"/>
      <c r="L1048" s="26" t="str">
        <f t="shared" si="1"/>
        <v/>
      </c>
      <c r="M1048" s="28" t="str">
        <f>IFERROR(__xludf.DUMMYFUNCTION("IF(Account!$F1048&lt;&gt;"""", VALUE(REGEXREPLACE($I1048, ""\,"", ""."")), """")"),"")</f>
        <v/>
      </c>
      <c r="N1048" s="31" t="str">
        <f>IF(Account!$F1048&lt;&gt;"", DATEVALUE(MID($A1048,4,3) &amp; LEFT($A1048,3) &amp; RIGHT($A1048,4)) + TIMEVALUE($B1048), "")</f>
        <v/>
      </c>
      <c r="O1048" s="33" t="str">
        <f>IF(Account!$F1048&lt;&gt;"", DATEVALUE(MID($A1048,4,3) &amp; LEFT($A1048,3) &amp; RIGHT($A1048,4)), "")</f>
        <v/>
      </c>
      <c r="P1048" s="34" t="str">
        <f>IFERROR(VLOOKUP($Q1048,Selection!$F:$G,2,false))</f>
        <v/>
      </c>
      <c r="Q1048" s="36" t="str">
        <f>IF(AND($X1048="change",$H1048="EUR"),IF(AND($Z1048="Crédit",$N1048=$N1049),$Q1049,IF(AND($Z1048="Débit",$N1048=$N1047),$Q1047)),IF(OR(AND(OR($E1048&lt;&gt;"",$L1048=""),$M1048&lt;&gt;0),$A1048=""),IFERROR(VLOOKUP($E1048,Selection!$E:$F,2,false)),IFERROR(VLOOKUP(SUBSTITUTE($I1048,"-","",1),$K1049:$Q1119,7,false),VLOOKUP($K1048,$K1049:$Q1119,7,false))))</f>
        <v/>
      </c>
      <c r="R1048" s="34" t="str">
        <f t="shared" si="2"/>
        <v/>
      </c>
      <c r="S1048" s="37" t="str">
        <f t="shared" si="3"/>
        <v/>
      </c>
      <c r="T1048" s="38" t="str">
        <f t="shared" si="4"/>
        <v/>
      </c>
      <c r="U1048" s="28" t="str">
        <f t="shared" si="5"/>
        <v/>
      </c>
      <c r="V1048" s="39" t="str">
        <f>IFERROR(__xludf.DUMMYFUNCTION(" IF(Account!$F1048&lt;&gt;"""", SPLIT(Account!$F1048, "" ""), """")"),"")</f>
        <v/>
      </c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</row>
    <row r="1049">
      <c r="A1049" s="341"/>
      <c r="B1049" s="341"/>
      <c r="C1049" s="341"/>
      <c r="D1049" s="341"/>
      <c r="E1049" s="341"/>
      <c r="F1049" s="373"/>
      <c r="G1049" s="341"/>
      <c r="H1049" s="341"/>
      <c r="I1049" s="341"/>
      <c r="J1049" s="341"/>
      <c r="K1049" s="341"/>
      <c r="L1049" s="26" t="str">
        <f t="shared" si="1"/>
        <v/>
      </c>
      <c r="M1049" s="28" t="str">
        <f>IFERROR(__xludf.DUMMYFUNCTION("IF(Account!$F1049&lt;&gt;"""", VALUE(REGEXREPLACE($I1049, ""\,"", ""."")), """")"),"")</f>
        <v/>
      </c>
      <c r="N1049" s="31" t="str">
        <f>IF(Account!$F1049&lt;&gt;"", DATEVALUE(MID($A1049,4,3) &amp; LEFT($A1049,3) &amp; RIGHT($A1049,4)) + TIMEVALUE($B1049), "")</f>
        <v/>
      </c>
      <c r="O1049" s="33" t="str">
        <f>IF(Account!$F1049&lt;&gt;"", DATEVALUE(MID($A1049,4,3) &amp; LEFT($A1049,3) &amp; RIGHT($A1049,4)), "")</f>
        <v/>
      </c>
      <c r="P1049" s="34" t="str">
        <f>IFERROR(VLOOKUP($Q1049,Selection!$F:$G,2,false))</f>
        <v/>
      </c>
      <c r="Q1049" s="36" t="str">
        <f>IF(AND($X1049="change",$H1049="EUR"),IF(AND($Z1049="Crédit",$N1049=$N1050),$Q1050,IF(AND($Z1049="Débit",$N1049=$N1048),$Q1048)),IF(OR(AND(OR($E1049&lt;&gt;"",$L1049=""),$M1049&lt;&gt;0),$A1049=""),IFERROR(VLOOKUP($E1049,Selection!$E:$F,2,false)),IFERROR(VLOOKUP(SUBSTITUTE($I1049,"-","",1),$K1050:$Q1119,7,false),VLOOKUP($K1049,$K1050:$Q1119,7,false))))</f>
        <v/>
      </c>
      <c r="R1049" s="34" t="str">
        <f t="shared" si="2"/>
        <v/>
      </c>
      <c r="S1049" s="37" t="str">
        <f t="shared" si="3"/>
        <v/>
      </c>
      <c r="T1049" s="38" t="str">
        <f t="shared" si="4"/>
        <v/>
      </c>
      <c r="U1049" s="28" t="str">
        <f t="shared" si="5"/>
        <v/>
      </c>
      <c r="V1049" s="39" t="str">
        <f>IFERROR(__xludf.DUMMYFUNCTION(" IF(Account!$F1049&lt;&gt;"""", SPLIT(Account!$F1049, "" ""), """")"),"")</f>
        <v/>
      </c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</row>
    <row r="1050">
      <c r="A1050" s="341"/>
      <c r="B1050" s="341"/>
      <c r="C1050" s="341"/>
      <c r="D1050" s="341"/>
      <c r="E1050" s="341"/>
      <c r="F1050" s="373"/>
      <c r="G1050" s="341"/>
      <c r="H1050" s="341"/>
      <c r="I1050" s="341"/>
      <c r="J1050" s="341"/>
      <c r="K1050" s="341"/>
      <c r="L1050" s="26" t="str">
        <f t="shared" si="1"/>
        <v/>
      </c>
      <c r="M1050" s="28" t="str">
        <f>IFERROR(__xludf.DUMMYFUNCTION("IF(Account!$F1050&lt;&gt;"""", VALUE(REGEXREPLACE($I1050, ""\,"", ""."")), """")"),"")</f>
        <v/>
      </c>
      <c r="N1050" s="31" t="str">
        <f>IF(Account!$F1050&lt;&gt;"", DATEVALUE(MID($A1050,4,3) &amp; LEFT($A1050,3) &amp; RIGHT($A1050,4)) + TIMEVALUE($B1050), "")</f>
        <v/>
      </c>
      <c r="O1050" s="33" t="str">
        <f>IF(Account!$F1050&lt;&gt;"", DATEVALUE(MID($A1050,4,3) &amp; LEFT($A1050,3) &amp; RIGHT($A1050,4)), "")</f>
        <v/>
      </c>
      <c r="P1050" s="34" t="str">
        <f>IFERROR(VLOOKUP($Q1050,Selection!$F:$G,2,false))</f>
        <v/>
      </c>
      <c r="Q1050" s="36" t="str">
        <f>IF(AND($X1050="change",$H1050="EUR"),IF(AND($Z1050="Crédit",$N1050=$N1051),$Q1051,IF(AND($Z1050="Débit",$N1050=$N1049),$Q1049)),IF(OR(AND(OR($E1050&lt;&gt;"",$L1050=""),$M1050&lt;&gt;0),$A1050=""),IFERROR(VLOOKUP($E1050,Selection!$E:$F,2,false)),IFERROR(VLOOKUP(SUBSTITUTE($I1050,"-","",1),$K1051:$Q1119,7,false),VLOOKUP($K1050,$K1051:$Q1119,7,false))))</f>
        <v/>
      </c>
      <c r="R1050" s="34" t="str">
        <f t="shared" si="2"/>
        <v/>
      </c>
      <c r="S1050" s="37" t="str">
        <f t="shared" si="3"/>
        <v/>
      </c>
      <c r="T1050" s="38" t="str">
        <f t="shared" si="4"/>
        <v/>
      </c>
      <c r="U1050" s="28" t="str">
        <f t="shared" si="5"/>
        <v/>
      </c>
      <c r="V1050" s="39" t="str">
        <f>IFERROR(__xludf.DUMMYFUNCTION(" IF(Account!$F1050&lt;&gt;"""", SPLIT(Account!$F1050, "" ""), """")"),"")</f>
        <v/>
      </c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</row>
    <row r="1051">
      <c r="A1051" s="341"/>
      <c r="B1051" s="341"/>
      <c r="C1051" s="341"/>
      <c r="D1051" s="341"/>
      <c r="E1051" s="341"/>
      <c r="F1051" s="373"/>
      <c r="G1051" s="341"/>
      <c r="H1051" s="341"/>
      <c r="I1051" s="341"/>
      <c r="J1051" s="341"/>
      <c r="K1051" s="341"/>
      <c r="L1051" s="26" t="str">
        <f t="shared" si="1"/>
        <v/>
      </c>
      <c r="M1051" s="28" t="str">
        <f>IFERROR(__xludf.DUMMYFUNCTION("IF(Account!$F1051&lt;&gt;"""", VALUE(REGEXREPLACE($I1051, ""\,"", ""."")), """")"),"")</f>
        <v/>
      </c>
      <c r="N1051" s="31" t="str">
        <f>IF(Account!$F1051&lt;&gt;"", DATEVALUE(MID($A1051,4,3) &amp; LEFT($A1051,3) &amp; RIGHT($A1051,4)) + TIMEVALUE($B1051), "")</f>
        <v/>
      </c>
      <c r="O1051" s="33" t="str">
        <f>IF(Account!$F1051&lt;&gt;"", DATEVALUE(MID($A1051,4,3) &amp; LEFT($A1051,3) &amp; RIGHT($A1051,4)), "")</f>
        <v/>
      </c>
      <c r="P1051" s="34" t="str">
        <f>IFERROR(VLOOKUP($Q1051,Selection!$F:$G,2,false))</f>
        <v/>
      </c>
      <c r="Q1051" s="36" t="str">
        <f>IF(AND($X1051="change",$H1051="EUR"),IF(AND($Z1051="Crédit",$N1051=$N1052),$Q1052,IF(AND($Z1051="Débit",$N1051=$N1050),$Q1050)),IF(OR(AND(OR($E1051&lt;&gt;"",$L1051=""),$M1051&lt;&gt;0),$A1051=""),IFERROR(VLOOKUP($E1051,Selection!$E:$F,2,false)),IFERROR(VLOOKUP(SUBSTITUTE($I1051,"-","",1),$K1052:$Q1119,7,false),VLOOKUP($K1051,$K1052:$Q1119,7,false))))</f>
        <v/>
      </c>
      <c r="R1051" s="34" t="str">
        <f t="shared" si="2"/>
        <v/>
      </c>
      <c r="S1051" s="37" t="str">
        <f t="shared" si="3"/>
        <v/>
      </c>
      <c r="T1051" s="38" t="str">
        <f t="shared" si="4"/>
        <v/>
      </c>
      <c r="U1051" s="28" t="str">
        <f t="shared" si="5"/>
        <v/>
      </c>
      <c r="V1051" s="39" t="str">
        <f>IFERROR(__xludf.DUMMYFUNCTION(" IF(Account!$F1051&lt;&gt;"""", SPLIT(Account!$F1051, "" ""), """")"),"")</f>
        <v/>
      </c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</row>
    <row r="1052">
      <c r="A1052" s="341"/>
      <c r="B1052" s="341"/>
      <c r="C1052" s="341"/>
      <c r="D1052" s="341"/>
      <c r="E1052" s="341"/>
      <c r="F1052" s="373"/>
      <c r="G1052" s="341"/>
      <c r="H1052" s="341"/>
      <c r="I1052" s="341"/>
      <c r="J1052" s="341"/>
      <c r="K1052" s="341"/>
      <c r="L1052" s="26" t="str">
        <f t="shared" si="1"/>
        <v/>
      </c>
      <c r="M1052" s="28" t="str">
        <f>IFERROR(__xludf.DUMMYFUNCTION("IF(Account!$F1052&lt;&gt;"""", VALUE(REGEXREPLACE($I1052, ""\,"", ""."")), """")"),"")</f>
        <v/>
      </c>
      <c r="N1052" s="31" t="str">
        <f>IF(Account!$F1052&lt;&gt;"", DATEVALUE(MID($A1052,4,3) &amp; LEFT($A1052,3) &amp; RIGHT($A1052,4)) + TIMEVALUE($B1052), "")</f>
        <v/>
      </c>
      <c r="O1052" s="33" t="str">
        <f>IF(Account!$F1052&lt;&gt;"", DATEVALUE(MID($A1052,4,3) &amp; LEFT($A1052,3) &amp; RIGHT($A1052,4)), "")</f>
        <v/>
      </c>
      <c r="P1052" s="34" t="str">
        <f>IFERROR(VLOOKUP($Q1052,Selection!$F:$G,2,false))</f>
        <v/>
      </c>
      <c r="Q1052" s="36" t="str">
        <f>IF(AND($X1052="change",$H1052="EUR"),IF(AND($Z1052="Crédit",$N1052=$N1053),$Q1053,IF(AND($Z1052="Débit",$N1052=$N1051),$Q1051)),IF(OR(AND(OR($E1052&lt;&gt;"",$L1052=""),$M1052&lt;&gt;0),$A1052=""),IFERROR(VLOOKUP($E1052,Selection!$E:$F,2,false)),IFERROR(VLOOKUP(SUBSTITUTE($I1052,"-","",1),$K1053:$Q1119,7,false),VLOOKUP($K1052,$K1053:$Q1119,7,false))))</f>
        <v/>
      </c>
      <c r="R1052" s="34" t="str">
        <f t="shared" si="2"/>
        <v/>
      </c>
      <c r="S1052" s="37" t="str">
        <f t="shared" si="3"/>
        <v/>
      </c>
      <c r="T1052" s="38" t="str">
        <f t="shared" si="4"/>
        <v/>
      </c>
      <c r="U1052" s="28" t="str">
        <f t="shared" si="5"/>
        <v/>
      </c>
      <c r="V1052" s="39" t="str">
        <f>IFERROR(__xludf.DUMMYFUNCTION(" IF(Account!$F1052&lt;&gt;"""", SPLIT(Account!$F1052, "" ""), """")"),"")</f>
        <v/>
      </c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</row>
    <row r="1053">
      <c r="A1053" s="341"/>
      <c r="B1053" s="341"/>
      <c r="C1053" s="341"/>
      <c r="D1053" s="341"/>
      <c r="E1053" s="341"/>
      <c r="F1053" s="373"/>
      <c r="G1053" s="341"/>
      <c r="H1053" s="341"/>
      <c r="I1053" s="341"/>
      <c r="J1053" s="341"/>
      <c r="K1053" s="341"/>
      <c r="L1053" s="26" t="str">
        <f t="shared" si="1"/>
        <v/>
      </c>
      <c r="M1053" s="28" t="str">
        <f>IFERROR(__xludf.DUMMYFUNCTION("IF(Account!$F1053&lt;&gt;"""", VALUE(REGEXREPLACE($I1053, ""\,"", ""."")), """")"),"")</f>
        <v/>
      </c>
      <c r="N1053" s="31" t="str">
        <f>IF(Account!$F1053&lt;&gt;"", DATEVALUE(MID($A1053,4,3) &amp; LEFT($A1053,3) &amp; RIGHT($A1053,4)) + TIMEVALUE($B1053), "")</f>
        <v/>
      </c>
      <c r="O1053" s="33" t="str">
        <f>IF(Account!$F1053&lt;&gt;"", DATEVALUE(MID($A1053,4,3) &amp; LEFT($A1053,3) &amp; RIGHT($A1053,4)), "")</f>
        <v/>
      </c>
      <c r="P1053" s="34" t="str">
        <f>IFERROR(VLOOKUP($Q1053,Selection!$F:$G,2,false))</f>
        <v/>
      </c>
      <c r="Q1053" s="36" t="str">
        <f>IF(AND($X1053="change",$H1053="EUR"),IF(AND($Z1053="Crédit",$N1053=$N1054),$Q1054,IF(AND($Z1053="Débit",$N1053=$N1052),$Q1052)),IF(OR(AND(OR($E1053&lt;&gt;"",$L1053=""),$M1053&lt;&gt;0),$A1053=""),IFERROR(VLOOKUP($E1053,Selection!$E:$F,2,false)),IFERROR(VLOOKUP(SUBSTITUTE($I1053,"-","",1),$K1054:$Q1119,7,false),VLOOKUP($K1053,$K1054:$Q1119,7,false))))</f>
        <v/>
      </c>
      <c r="R1053" s="34" t="str">
        <f t="shared" si="2"/>
        <v/>
      </c>
      <c r="S1053" s="37" t="str">
        <f t="shared" si="3"/>
        <v/>
      </c>
      <c r="T1053" s="38" t="str">
        <f t="shared" si="4"/>
        <v/>
      </c>
      <c r="U1053" s="28" t="str">
        <f t="shared" si="5"/>
        <v/>
      </c>
      <c r="V1053" s="39" t="str">
        <f>IFERROR(__xludf.DUMMYFUNCTION(" IF(Account!$F1053&lt;&gt;"""", SPLIT(Account!$F1053, "" ""), """")"),"")</f>
        <v/>
      </c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</row>
    <row r="1054">
      <c r="A1054" s="341"/>
      <c r="B1054" s="341"/>
      <c r="C1054" s="341"/>
      <c r="D1054" s="341"/>
      <c r="E1054" s="341"/>
      <c r="F1054" s="373"/>
      <c r="G1054" s="341"/>
      <c r="H1054" s="341"/>
      <c r="I1054" s="341"/>
      <c r="J1054" s="341"/>
      <c r="K1054" s="341"/>
      <c r="L1054" s="26" t="str">
        <f t="shared" si="1"/>
        <v/>
      </c>
      <c r="M1054" s="28" t="str">
        <f>IFERROR(__xludf.DUMMYFUNCTION("IF(Account!$F1054&lt;&gt;"""", VALUE(REGEXREPLACE($I1054, ""\,"", ""."")), """")"),"")</f>
        <v/>
      </c>
      <c r="N1054" s="31" t="str">
        <f>IF(Account!$F1054&lt;&gt;"", DATEVALUE(MID($A1054,4,3) &amp; LEFT($A1054,3) &amp; RIGHT($A1054,4)) + TIMEVALUE($B1054), "")</f>
        <v/>
      </c>
      <c r="O1054" s="33" t="str">
        <f>IF(Account!$F1054&lt;&gt;"", DATEVALUE(MID($A1054,4,3) &amp; LEFT($A1054,3) &amp; RIGHT($A1054,4)), "")</f>
        <v/>
      </c>
      <c r="P1054" s="34" t="str">
        <f>IFERROR(VLOOKUP($Q1054,Selection!$F:$G,2,false))</f>
        <v/>
      </c>
      <c r="Q1054" s="36" t="str">
        <f>IF(AND($X1054="change",$H1054="EUR"),IF(AND($Z1054="Crédit",$N1054=$N1055),$Q1055,IF(AND($Z1054="Débit",$N1054=$N1053),$Q1053)),IF(OR(AND(OR($E1054&lt;&gt;"",$L1054=""),$M1054&lt;&gt;0),$A1054=""),IFERROR(VLOOKUP($E1054,Selection!$E:$F,2,false)),IFERROR(VLOOKUP(SUBSTITUTE($I1054,"-","",1),$K1055:$Q1119,7,false),VLOOKUP($K1054,$K1055:$Q1119,7,false))))</f>
        <v/>
      </c>
      <c r="R1054" s="34" t="str">
        <f t="shared" si="2"/>
        <v/>
      </c>
      <c r="S1054" s="37" t="str">
        <f t="shared" si="3"/>
        <v/>
      </c>
      <c r="T1054" s="38" t="str">
        <f t="shared" si="4"/>
        <v/>
      </c>
      <c r="U1054" s="28" t="str">
        <f t="shared" si="5"/>
        <v/>
      </c>
      <c r="V1054" s="39" t="str">
        <f>IFERROR(__xludf.DUMMYFUNCTION(" IF(Account!$F1054&lt;&gt;"""", SPLIT(Account!$F1054, "" ""), """")"),"")</f>
        <v/>
      </c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</row>
    <row r="1055">
      <c r="A1055" s="341"/>
      <c r="B1055" s="341"/>
      <c r="C1055" s="341"/>
      <c r="D1055" s="341"/>
      <c r="E1055" s="341"/>
      <c r="F1055" s="373"/>
      <c r="G1055" s="341"/>
      <c r="H1055" s="341"/>
      <c r="I1055" s="341"/>
      <c r="J1055" s="341"/>
      <c r="K1055" s="341"/>
      <c r="L1055" s="26" t="str">
        <f t="shared" si="1"/>
        <v/>
      </c>
      <c r="M1055" s="28" t="str">
        <f>IFERROR(__xludf.DUMMYFUNCTION("IF(Account!$F1055&lt;&gt;"""", VALUE(REGEXREPLACE($I1055, ""\,"", ""."")), """")"),"")</f>
        <v/>
      </c>
      <c r="N1055" s="31" t="str">
        <f>IF(Account!$F1055&lt;&gt;"", DATEVALUE(MID($A1055,4,3) &amp; LEFT($A1055,3) &amp; RIGHT($A1055,4)) + TIMEVALUE($B1055), "")</f>
        <v/>
      </c>
      <c r="O1055" s="33" t="str">
        <f>IF(Account!$F1055&lt;&gt;"", DATEVALUE(MID($A1055,4,3) &amp; LEFT($A1055,3) &amp; RIGHT($A1055,4)), "")</f>
        <v/>
      </c>
      <c r="P1055" s="34" t="str">
        <f>IFERROR(VLOOKUP($Q1055,Selection!$F:$G,2,false))</f>
        <v/>
      </c>
      <c r="Q1055" s="36" t="str">
        <f>IF(AND($X1055="change",$H1055="EUR"),IF(AND($Z1055="Crédit",$N1055=$N1056),$Q1056,IF(AND($Z1055="Débit",$N1055=$N1054),$Q1054)),IF(OR(AND(OR($E1055&lt;&gt;"",$L1055=""),$M1055&lt;&gt;0),$A1055=""),IFERROR(VLOOKUP($E1055,Selection!$E:$F,2,false)),IFERROR(VLOOKUP(SUBSTITUTE($I1055,"-","",1),$K1056:$Q1119,7,false),VLOOKUP($K1055,$K1056:$Q1119,7,false))))</f>
        <v/>
      </c>
      <c r="R1055" s="34" t="str">
        <f t="shared" si="2"/>
        <v/>
      </c>
      <c r="S1055" s="37" t="str">
        <f t="shared" si="3"/>
        <v/>
      </c>
      <c r="T1055" s="38" t="str">
        <f t="shared" si="4"/>
        <v/>
      </c>
      <c r="U1055" s="28" t="str">
        <f t="shared" si="5"/>
        <v/>
      </c>
      <c r="V1055" s="39" t="str">
        <f>IFERROR(__xludf.DUMMYFUNCTION(" IF(Account!$F1055&lt;&gt;"""", SPLIT(Account!$F1055, "" ""), """")"),"")</f>
        <v/>
      </c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</row>
    <row r="1056">
      <c r="A1056" s="341"/>
      <c r="B1056" s="341"/>
      <c r="C1056" s="341"/>
      <c r="D1056" s="341"/>
      <c r="E1056" s="341"/>
      <c r="F1056" s="373"/>
      <c r="G1056" s="341"/>
      <c r="H1056" s="341"/>
      <c r="I1056" s="341"/>
      <c r="J1056" s="341"/>
      <c r="K1056" s="341"/>
      <c r="L1056" s="26" t="str">
        <f t="shared" si="1"/>
        <v/>
      </c>
      <c r="M1056" s="28" t="str">
        <f>IFERROR(__xludf.DUMMYFUNCTION("IF(Account!$F1056&lt;&gt;"""", VALUE(REGEXREPLACE($I1056, ""\,"", ""."")), """")"),"")</f>
        <v/>
      </c>
      <c r="N1056" s="31" t="str">
        <f>IF(Account!$F1056&lt;&gt;"", DATEVALUE(MID($A1056,4,3) &amp; LEFT($A1056,3) &amp; RIGHT($A1056,4)) + TIMEVALUE($B1056), "")</f>
        <v/>
      </c>
      <c r="O1056" s="33" t="str">
        <f>IF(Account!$F1056&lt;&gt;"", DATEVALUE(MID($A1056,4,3) &amp; LEFT($A1056,3) &amp; RIGHT($A1056,4)), "")</f>
        <v/>
      </c>
      <c r="P1056" s="34" t="str">
        <f>IFERROR(VLOOKUP($Q1056,Selection!$F:$G,2,false))</f>
        <v/>
      </c>
      <c r="Q1056" s="36" t="str">
        <f>IF(AND($X1056="change",$H1056="EUR"),IF(AND($Z1056="Crédit",$N1056=$N1057),$Q1057,IF(AND($Z1056="Débit",$N1056=$N1055),$Q1055)),IF(OR(AND(OR($E1056&lt;&gt;"",$L1056=""),$M1056&lt;&gt;0),$A1056=""),IFERROR(VLOOKUP($E1056,Selection!$E:$F,2,false)),IFERROR(VLOOKUP(SUBSTITUTE($I1056,"-","",1),$K1057:$Q1119,7,false),VLOOKUP($K1056,$K1057:$Q1119,7,false))))</f>
        <v/>
      </c>
      <c r="R1056" s="34" t="str">
        <f t="shared" si="2"/>
        <v/>
      </c>
      <c r="S1056" s="37" t="str">
        <f t="shared" si="3"/>
        <v/>
      </c>
      <c r="T1056" s="38" t="str">
        <f t="shared" si="4"/>
        <v/>
      </c>
      <c r="U1056" s="28" t="str">
        <f t="shared" si="5"/>
        <v/>
      </c>
      <c r="V1056" s="39" t="str">
        <f>IFERROR(__xludf.DUMMYFUNCTION(" IF(Account!$F1056&lt;&gt;"""", SPLIT(Account!$F1056, "" ""), """")"),"")</f>
        <v/>
      </c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</row>
    <row r="1057">
      <c r="A1057" s="341"/>
      <c r="B1057" s="341"/>
      <c r="C1057" s="341"/>
      <c r="D1057" s="341"/>
      <c r="E1057" s="341"/>
      <c r="F1057" s="373"/>
      <c r="G1057" s="341"/>
      <c r="H1057" s="341"/>
      <c r="I1057" s="341"/>
      <c r="J1057" s="341"/>
      <c r="K1057" s="341"/>
      <c r="L1057" s="26" t="str">
        <f t="shared" si="1"/>
        <v/>
      </c>
      <c r="M1057" s="28" t="str">
        <f>IFERROR(__xludf.DUMMYFUNCTION("IF(Account!$F1057&lt;&gt;"""", VALUE(REGEXREPLACE($I1057, ""\,"", ""."")), """")"),"")</f>
        <v/>
      </c>
      <c r="N1057" s="31" t="str">
        <f>IF(Account!$F1057&lt;&gt;"", DATEVALUE(MID($A1057,4,3) &amp; LEFT($A1057,3) &amp; RIGHT($A1057,4)) + TIMEVALUE($B1057), "")</f>
        <v/>
      </c>
      <c r="O1057" s="33" t="str">
        <f>IF(Account!$F1057&lt;&gt;"", DATEVALUE(MID($A1057,4,3) &amp; LEFT($A1057,3) &amp; RIGHT($A1057,4)), "")</f>
        <v/>
      </c>
      <c r="P1057" s="34" t="str">
        <f>IFERROR(VLOOKUP($Q1057,Selection!$F:$G,2,false))</f>
        <v/>
      </c>
      <c r="Q1057" s="36" t="str">
        <f>IF(AND($X1057="change",$H1057="EUR"),IF(AND($Z1057="Crédit",$N1057=$N1058),$Q1058,IF(AND($Z1057="Débit",$N1057=$N1056),$Q1056)),IF(OR(AND(OR($E1057&lt;&gt;"",$L1057=""),$M1057&lt;&gt;0),$A1057=""),IFERROR(VLOOKUP($E1057,Selection!$E:$F,2,false)),IFERROR(VLOOKUP(SUBSTITUTE($I1057,"-","",1),$K1058:$Q1119,7,false),VLOOKUP($K1057,$K1058:$Q1119,7,false))))</f>
        <v/>
      </c>
      <c r="R1057" s="34" t="str">
        <f t="shared" si="2"/>
        <v/>
      </c>
      <c r="S1057" s="37" t="str">
        <f t="shared" si="3"/>
        <v/>
      </c>
      <c r="T1057" s="38" t="str">
        <f t="shared" si="4"/>
        <v/>
      </c>
      <c r="U1057" s="28" t="str">
        <f t="shared" si="5"/>
        <v/>
      </c>
      <c r="V1057" s="39" t="str">
        <f>IFERROR(__xludf.DUMMYFUNCTION(" IF(Account!$F1057&lt;&gt;"""", SPLIT(Account!$F1057, "" ""), """")"),"")</f>
        <v/>
      </c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</row>
    <row r="1058">
      <c r="A1058" s="341"/>
      <c r="B1058" s="341"/>
      <c r="C1058" s="341"/>
      <c r="D1058" s="341"/>
      <c r="E1058" s="341"/>
      <c r="F1058" s="373"/>
      <c r="G1058" s="341"/>
      <c r="H1058" s="341"/>
      <c r="I1058" s="341"/>
      <c r="J1058" s="341"/>
      <c r="K1058" s="341"/>
      <c r="L1058" s="26" t="str">
        <f t="shared" si="1"/>
        <v/>
      </c>
      <c r="M1058" s="28" t="str">
        <f>IFERROR(__xludf.DUMMYFUNCTION("IF(Account!$F1058&lt;&gt;"""", VALUE(REGEXREPLACE($I1058, ""\,"", ""."")), """")"),"")</f>
        <v/>
      </c>
      <c r="N1058" s="31" t="str">
        <f>IF(Account!$F1058&lt;&gt;"", DATEVALUE(MID($A1058,4,3) &amp; LEFT($A1058,3) &amp; RIGHT($A1058,4)) + TIMEVALUE($B1058), "")</f>
        <v/>
      </c>
      <c r="O1058" s="33" t="str">
        <f>IF(Account!$F1058&lt;&gt;"", DATEVALUE(MID($A1058,4,3) &amp; LEFT($A1058,3) &amp; RIGHT($A1058,4)), "")</f>
        <v/>
      </c>
      <c r="P1058" s="34" t="str">
        <f>IFERROR(VLOOKUP($Q1058,Selection!$F:$G,2,false))</f>
        <v/>
      </c>
      <c r="Q1058" s="36" t="str">
        <f>IF(AND($X1058="change",$H1058="EUR"),IF(AND($Z1058="Crédit",$N1058=$N1059),$Q1059,IF(AND($Z1058="Débit",$N1058=$N1057),$Q1057)),IF(OR(AND(OR($E1058&lt;&gt;"",$L1058=""),$M1058&lt;&gt;0),$A1058=""),IFERROR(VLOOKUP($E1058,Selection!$E:$F,2,false)),IFERROR(VLOOKUP(SUBSTITUTE($I1058,"-","",1),$K1059:$Q1119,7,false),VLOOKUP($K1058,$K1059:$Q1119,7,false))))</f>
        <v/>
      </c>
      <c r="R1058" s="34" t="str">
        <f t="shared" si="2"/>
        <v/>
      </c>
      <c r="S1058" s="37" t="str">
        <f t="shared" si="3"/>
        <v/>
      </c>
      <c r="T1058" s="38" t="str">
        <f t="shared" si="4"/>
        <v/>
      </c>
      <c r="U1058" s="28" t="str">
        <f t="shared" si="5"/>
        <v/>
      </c>
      <c r="V1058" s="39" t="str">
        <f>IFERROR(__xludf.DUMMYFUNCTION(" IF(Account!$F1058&lt;&gt;"""", SPLIT(Account!$F1058, "" ""), """")"),"")</f>
        <v/>
      </c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</row>
    <row r="1059">
      <c r="A1059" s="341"/>
      <c r="B1059" s="341"/>
      <c r="C1059" s="341"/>
      <c r="D1059" s="341"/>
      <c r="E1059" s="341"/>
      <c r="F1059" s="373"/>
      <c r="G1059" s="341"/>
      <c r="H1059" s="341"/>
      <c r="I1059" s="341"/>
      <c r="J1059" s="341"/>
      <c r="K1059" s="341"/>
      <c r="L1059" s="26" t="str">
        <f t="shared" si="1"/>
        <v/>
      </c>
      <c r="M1059" s="28" t="str">
        <f>IFERROR(__xludf.DUMMYFUNCTION("IF(Account!$F1059&lt;&gt;"""", VALUE(REGEXREPLACE($I1059, ""\,"", ""."")), """")"),"")</f>
        <v/>
      </c>
      <c r="N1059" s="31" t="str">
        <f>IF(Account!$F1059&lt;&gt;"", DATEVALUE(MID($A1059,4,3) &amp; LEFT($A1059,3) &amp; RIGHT($A1059,4)) + TIMEVALUE($B1059), "")</f>
        <v/>
      </c>
      <c r="O1059" s="33" t="str">
        <f>IF(Account!$F1059&lt;&gt;"", DATEVALUE(MID($A1059,4,3) &amp; LEFT($A1059,3) &amp; RIGHT($A1059,4)), "")</f>
        <v/>
      </c>
      <c r="P1059" s="34" t="str">
        <f>IFERROR(VLOOKUP($Q1059,Selection!$F:$G,2,false))</f>
        <v/>
      </c>
      <c r="Q1059" s="36" t="str">
        <f>IF(AND($X1059="change",$H1059="EUR"),IF(AND($Z1059="Crédit",$N1059=$N1060),$Q1060,IF(AND($Z1059="Débit",$N1059=$N1058),$Q1058)),IF(OR(AND(OR($E1059&lt;&gt;"",$L1059=""),$M1059&lt;&gt;0),$A1059=""),IFERROR(VLOOKUP($E1059,Selection!$E:$F,2,false)),IFERROR(VLOOKUP(SUBSTITUTE($I1059,"-","",1),$K1060:$Q1119,7,false),VLOOKUP($K1059,$K1060:$Q1119,7,false))))</f>
        <v/>
      </c>
      <c r="R1059" s="34" t="str">
        <f t="shared" si="2"/>
        <v/>
      </c>
      <c r="S1059" s="37" t="str">
        <f t="shared" si="3"/>
        <v/>
      </c>
      <c r="T1059" s="38" t="str">
        <f t="shared" si="4"/>
        <v/>
      </c>
      <c r="U1059" s="28" t="str">
        <f t="shared" si="5"/>
        <v/>
      </c>
      <c r="V1059" s="39" t="str">
        <f>IFERROR(__xludf.DUMMYFUNCTION(" IF(Account!$F1059&lt;&gt;"""", SPLIT(Account!$F1059, "" ""), """")"),"")</f>
        <v/>
      </c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</row>
    <row r="1060">
      <c r="A1060" s="341"/>
      <c r="B1060" s="341"/>
      <c r="C1060" s="341"/>
      <c r="D1060" s="341"/>
      <c r="E1060" s="341"/>
      <c r="F1060" s="373"/>
      <c r="G1060" s="341"/>
      <c r="H1060" s="341"/>
      <c r="I1060" s="341"/>
      <c r="J1060" s="341"/>
      <c r="K1060" s="341"/>
      <c r="L1060" s="26" t="str">
        <f t="shared" si="1"/>
        <v/>
      </c>
      <c r="M1060" s="28" t="str">
        <f>IFERROR(__xludf.DUMMYFUNCTION("IF(Account!$F1060&lt;&gt;"""", VALUE(REGEXREPLACE($I1060, ""\,"", ""."")), """")"),"")</f>
        <v/>
      </c>
      <c r="N1060" s="31" t="str">
        <f>IF(Account!$F1060&lt;&gt;"", DATEVALUE(MID($A1060,4,3) &amp; LEFT($A1060,3) &amp; RIGHT($A1060,4)) + TIMEVALUE($B1060), "")</f>
        <v/>
      </c>
      <c r="O1060" s="33" t="str">
        <f>IF(Account!$F1060&lt;&gt;"", DATEVALUE(MID($A1060,4,3) &amp; LEFT($A1060,3) &amp; RIGHT($A1060,4)), "")</f>
        <v/>
      </c>
      <c r="P1060" s="34" t="str">
        <f>IFERROR(VLOOKUP($Q1060,Selection!$F:$G,2,false))</f>
        <v/>
      </c>
      <c r="Q1060" s="36" t="str">
        <f>IF(AND($X1060="change",$H1060="EUR"),IF(AND($Z1060="Crédit",$N1060=$N1061),$Q1061,IF(AND($Z1060="Débit",$N1060=$N1059),$Q1059)),IF(OR(AND(OR($E1060&lt;&gt;"",$L1060=""),$M1060&lt;&gt;0),$A1060=""),IFERROR(VLOOKUP($E1060,Selection!$E:$F,2,false)),IFERROR(VLOOKUP(SUBSTITUTE($I1060,"-","",1),$K1061:$Q1119,7,false),VLOOKUP($K1060,$K1061:$Q1119,7,false))))</f>
        <v/>
      </c>
      <c r="R1060" s="34" t="str">
        <f t="shared" si="2"/>
        <v/>
      </c>
      <c r="S1060" s="37" t="str">
        <f t="shared" si="3"/>
        <v/>
      </c>
      <c r="T1060" s="38" t="str">
        <f t="shared" si="4"/>
        <v/>
      </c>
      <c r="U1060" s="28" t="str">
        <f t="shared" si="5"/>
        <v/>
      </c>
      <c r="V1060" s="39" t="str">
        <f>IFERROR(__xludf.DUMMYFUNCTION(" IF(Account!$F1060&lt;&gt;"""", SPLIT(Account!$F1060, "" ""), """")"),"")</f>
        <v/>
      </c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</row>
    <row r="1061">
      <c r="A1061" s="341"/>
      <c r="B1061" s="341"/>
      <c r="C1061" s="341"/>
      <c r="D1061" s="341"/>
      <c r="E1061" s="341"/>
      <c r="F1061" s="373"/>
      <c r="G1061" s="341"/>
      <c r="H1061" s="341"/>
      <c r="I1061" s="341"/>
      <c r="J1061" s="341"/>
      <c r="K1061" s="341"/>
      <c r="L1061" s="26" t="str">
        <f t="shared" si="1"/>
        <v/>
      </c>
      <c r="M1061" s="28" t="str">
        <f>IFERROR(__xludf.DUMMYFUNCTION("IF(Account!$F1061&lt;&gt;"""", VALUE(REGEXREPLACE($I1061, ""\,"", ""."")), """")"),"")</f>
        <v/>
      </c>
      <c r="N1061" s="31" t="str">
        <f>IF(Account!$F1061&lt;&gt;"", DATEVALUE(MID($A1061,4,3) &amp; LEFT($A1061,3) &amp; RIGHT($A1061,4)) + TIMEVALUE($B1061), "")</f>
        <v/>
      </c>
      <c r="O1061" s="33" t="str">
        <f>IF(Account!$F1061&lt;&gt;"", DATEVALUE(MID($A1061,4,3) &amp; LEFT($A1061,3) &amp; RIGHT($A1061,4)), "")</f>
        <v/>
      </c>
      <c r="P1061" s="34" t="str">
        <f>IFERROR(VLOOKUP($Q1061,Selection!$F:$G,2,false))</f>
        <v/>
      </c>
      <c r="Q1061" s="36" t="str">
        <f>IF(AND($X1061="change",$H1061="EUR"),IF(AND($Z1061="Crédit",$N1061=$N1062),$Q1062,IF(AND($Z1061="Débit",$N1061=$N1060),$Q1060)),IF(OR(AND(OR($E1061&lt;&gt;"",$L1061=""),$M1061&lt;&gt;0),$A1061=""),IFERROR(VLOOKUP($E1061,Selection!$E:$F,2,false)),IFERROR(VLOOKUP(SUBSTITUTE($I1061,"-","",1),$K1062:$Q1119,7,false),VLOOKUP($K1061,$K1062:$Q1119,7,false))))</f>
        <v/>
      </c>
      <c r="R1061" s="34" t="str">
        <f t="shared" si="2"/>
        <v/>
      </c>
      <c r="S1061" s="37" t="str">
        <f t="shared" si="3"/>
        <v/>
      </c>
      <c r="T1061" s="38" t="str">
        <f t="shared" si="4"/>
        <v/>
      </c>
      <c r="U1061" s="28" t="str">
        <f t="shared" si="5"/>
        <v/>
      </c>
      <c r="V1061" s="39" t="str">
        <f>IFERROR(__xludf.DUMMYFUNCTION(" IF(Account!$F1061&lt;&gt;"""", SPLIT(Account!$F1061, "" ""), """")"),"")</f>
        <v/>
      </c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</row>
    <row r="1062">
      <c r="A1062" s="341"/>
      <c r="B1062" s="341"/>
      <c r="C1062" s="341"/>
      <c r="D1062" s="341"/>
      <c r="E1062" s="341"/>
      <c r="F1062" s="373"/>
      <c r="G1062" s="341"/>
      <c r="H1062" s="341"/>
      <c r="I1062" s="341"/>
      <c r="J1062" s="341"/>
      <c r="K1062" s="341"/>
      <c r="L1062" s="26" t="str">
        <f t="shared" si="1"/>
        <v/>
      </c>
      <c r="M1062" s="28" t="str">
        <f>IFERROR(__xludf.DUMMYFUNCTION("IF(Account!$F1062&lt;&gt;"""", VALUE(REGEXREPLACE($I1062, ""\,"", ""."")), """")"),"")</f>
        <v/>
      </c>
      <c r="N1062" s="31" t="str">
        <f>IF(Account!$F1062&lt;&gt;"", DATEVALUE(MID($A1062,4,3) &amp; LEFT($A1062,3) &amp; RIGHT($A1062,4)) + TIMEVALUE($B1062), "")</f>
        <v/>
      </c>
      <c r="O1062" s="33" t="str">
        <f>IF(Account!$F1062&lt;&gt;"", DATEVALUE(MID($A1062,4,3) &amp; LEFT($A1062,3) &amp; RIGHT($A1062,4)), "")</f>
        <v/>
      </c>
      <c r="P1062" s="34" t="str">
        <f>IFERROR(VLOOKUP($Q1062,Selection!$F:$G,2,false))</f>
        <v/>
      </c>
      <c r="Q1062" s="36" t="str">
        <f>IF(AND($X1062="change",$H1062="EUR"),IF(AND($Z1062="Crédit",$N1062=$N1063),$Q1063,IF(AND($Z1062="Débit",$N1062=$N1061),$Q1061)),IF(OR(AND(OR($E1062&lt;&gt;"",$L1062=""),$M1062&lt;&gt;0),$A1062=""),IFERROR(VLOOKUP($E1062,Selection!$E:$F,2,false)),IFERROR(VLOOKUP(SUBSTITUTE($I1062,"-","",1),$K1063:$Q1119,7,false),VLOOKUP($K1062,$K1063:$Q1119,7,false))))</f>
        <v/>
      </c>
      <c r="R1062" s="34" t="str">
        <f t="shared" si="2"/>
        <v/>
      </c>
      <c r="S1062" s="37" t="str">
        <f t="shared" si="3"/>
        <v/>
      </c>
      <c r="T1062" s="38" t="str">
        <f t="shared" si="4"/>
        <v/>
      </c>
      <c r="U1062" s="28" t="str">
        <f t="shared" si="5"/>
        <v/>
      </c>
      <c r="V1062" s="39" t="str">
        <f>IFERROR(__xludf.DUMMYFUNCTION(" IF(Account!$F1062&lt;&gt;"""", SPLIT(Account!$F1062, "" ""), """")"),"")</f>
        <v/>
      </c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</row>
    <row r="1063">
      <c r="A1063" s="341"/>
      <c r="B1063" s="341"/>
      <c r="C1063" s="341"/>
      <c r="D1063" s="341"/>
      <c r="E1063" s="341"/>
      <c r="F1063" s="373"/>
      <c r="G1063" s="341"/>
      <c r="H1063" s="341"/>
      <c r="I1063" s="341"/>
      <c r="J1063" s="341"/>
      <c r="K1063" s="341"/>
      <c r="L1063" s="26" t="str">
        <f t="shared" si="1"/>
        <v/>
      </c>
      <c r="M1063" s="28" t="str">
        <f>IFERROR(__xludf.DUMMYFUNCTION("IF(Account!$F1063&lt;&gt;"""", VALUE(REGEXREPLACE($I1063, ""\,"", ""."")), """")"),"")</f>
        <v/>
      </c>
      <c r="N1063" s="31" t="str">
        <f>IF(Account!$F1063&lt;&gt;"", DATEVALUE(MID($A1063,4,3) &amp; LEFT($A1063,3) &amp; RIGHT($A1063,4)) + TIMEVALUE($B1063), "")</f>
        <v/>
      </c>
      <c r="O1063" s="33" t="str">
        <f>IF(Account!$F1063&lt;&gt;"", DATEVALUE(MID($A1063,4,3) &amp; LEFT($A1063,3) &amp; RIGHT($A1063,4)), "")</f>
        <v/>
      </c>
      <c r="P1063" s="34" t="str">
        <f>IFERROR(VLOOKUP($Q1063,Selection!$F:$G,2,false))</f>
        <v/>
      </c>
      <c r="Q1063" s="36" t="str">
        <f>IF(AND($X1063="change",$H1063="EUR"),IF(AND($Z1063="Crédit",$N1063=$N1064),$Q1064,IF(AND($Z1063="Débit",$N1063=$N1062),$Q1062)),IF(OR(AND(OR($E1063&lt;&gt;"",$L1063=""),$M1063&lt;&gt;0),$A1063=""),IFERROR(VLOOKUP($E1063,Selection!$E:$F,2,false)),IFERROR(VLOOKUP(SUBSTITUTE($I1063,"-","",1),$K1064:$Q1119,7,false),VLOOKUP($K1063,$K1064:$Q1119,7,false))))</f>
        <v/>
      </c>
      <c r="R1063" s="34" t="str">
        <f t="shared" si="2"/>
        <v/>
      </c>
      <c r="S1063" s="37" t="str">
        <f t="shared" si="3"/>
        <v/>
      </c>
      <c r="T1063" s="38" t="str">
        <f t="shared" si="4"/>
        <v/>
      </c>
      <c r="U1063" s="28" t="str">
        <f t="shared" si="5"/>
        <v/>
      </c>
      <c r="V1063" s="39" t="str">
        <f>IFERROR(__xludf.DUMMYFUNCTION(" IF(Account!$F1063&lt;&gt;"""", SPLIT(Account!$F1063, "" ""), """")"),"")</f>
        <v/>
      </c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</row>
    <row r="1064">
      <c r="A1064" s="341"/>
      <c r="B1064" s="341"/>
      <c r="C1064" s="341"/>
      <c r="D1064" s="341"/>
      <c r="E1064" s="341"/>
      <c r="F1064" s="373"/>
      <c r="G1064" s="341"/>
      <c r="H1064" s="341"/>
      <c r="I1064" s="341"/>
      <c r="J1064" s="341"/>
      <c r="K1064" s="341"/>
      <c r="L1064" s="26" t="str">
        <f t="shared" si="1"/>
        <v/>
      </c>
      <c r="M1064" s="28" t="str">
        <f>IFERROR(__xludf.DUMMYFUNCTION("IF(Account!$F1064&lt;&gt;"""", VALUE(REGEXREPLACE($I1064, ""\,"", ""."")), """")"),"")</f>
        <v/>
      </c>
      <c r="N1064" s="31" t="str">
        <f>IF(Account!$F1064&lt;&gt;"", DATEVALUE(MID($A1064,4,3) &amp; LEFT($A1064,3) &amp; RIGHT($A1064,4)) + TIMEVALUE($B1064), "")</f>
        <v/>
      </c>
      <c r="O1064" s="33" t="str">
        <f>IF(Account!$F1064&lt;&gt;"", DATEVALUE(MID($A1064,4,3) &amp; LEFT($A1064,3) &amp; RIGHT($A1064,4)), "")</f>
        <v/>
      </c>
      <c r="P1064" s="34" t="str">
        <f>IFERROR(VLOOKUP($Q1064,Selection!$F:$G,2,false))</f>
        <v/>
      </c>
      <c r="Q1064" s="36" t="str">
        <f>IF(AND($X1064="change",$H1064="EUR"),IF(AND($Z1064="Crédit",$N1064=$N1065),$Q1065,IF(AND($Z1064="Débit",$N1064=$N1063),$Q1063)),IF(OR(AND(OR($E1064&lt;&gt;"",$L1064=""),$M1064&lt;&gt;0),$A1064=""),IFERROR(VLOOKUP($E1064,Selection!$E:$F,2,false)),IFERROR(VLOOKUP(SUBSTITUTE($I1064,"-","",1),$K1065:$Q1119,7,false),VLOOKUP($K1064,$K1065:$Q1119,7,false))))</f>
        <v/>
      </c>
      <c r="R1064" s="34" t="str">
        <f t="shared" si="2"/>
        <v/>
      </c>
      <c r="S1064" s="37" t="str">
        <f t="shared" si="3"/>
        <v/>
      </c>
      <c r="T1064" s="38" t="str">
        <f t="shared" si="4"/>
        <v/>
      </c>
      <c r="U1064" s="28" t="str">
        <f t="shared" si="5"/>
        <v/>
      </c>
      <c r="V1064" s="39" t="str">
        <f>IFERROR(__xludf.DUMMYFUNCTION(" IF(Account!$F1064&lt;&gt;"""", SPLIT(Account!$F1064, "" ""), """")"),"")</f>
        <v/>
      </c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</row>
    <row r="1065">
      <c r="A1065" s="341"/>
      <c r="B1065" s="341"/>
      <c r="C1065" s="341"/>
      <c r="D1065" s="341"/>
      <c r="E1065" s="341"/>
      <c r="F1065" s="373"/>
      <c r="G1065" s="341"/>
      <c r="H1065" s="341"/>
      <c r="I1065" s="341"/>
      <c r="J1065" s="341"/>
      <c r="K1065" s="341"/>
      <c r="L1065" s="26" t="str">
        <f t="shared" si="1"/>
        <v/>
      </c>
      <c r="M1065" s="28" t="str">
        <f>IFERROR(__xludf.DUMMYFUNCTION("IF(Account!$F1065&lt;&gt;"""", VALUE(REGEXREPLACE($I1065, ""\,"", ""."")), """")"),"")</f>
        <v/>
      </c>
      <c r="N1065" s="31" t="str">
        <f>IF(Account!$F1065&lt;&gt;"", DATEVALUE(MID($A1065,4,3) &amp; LEFT($A1065,3) &amp; RIGHT($A1065,4)) + TIMEVALUE($B1065), "")</f>
        <v/>
      </c>
      <c r="O1065" s="33" t="str">
        <f>IF(Account!$F1065&lt;&gt;"", DATEVALUE(MID($A1065,4,3) &amp; LEFT($A1065,3) &amp; RIGHT($A1065,4)), "")</f>
        <v/>
      </c>
      <c r="P1065" s="34" t="str">
        <f>IFERROR(VLOOKUP($Q1065,Selection!$F:$G,2,false))</f>
        <v/>
      </c>
      <c r="Q1065" s="36" t="str">
        <f>IF(AND($X1065="change",$H1065="EUR"),IF(AND($Z1065="Crédit",$N1065=$N1066),$Q1066,IF(AND($Z1065="Débit",$N1065=$N1064),$Q1064)),IF(OR(AND(OR($E1065&lt;&gt;"",$L1065=""),$M1065&lt;&gt;0),$A1065=""),IFERROR(VLOOKUP($E1065,Selection!$E:$F,2,false)),IFERROR(VLOOKUP(SUBSTITUTE($I1065,"-","",1),$K1066:$Q1119,7,false),VLOOKUP($K1065,$K1066:$Q1119,7,false))))</f>
        <v/>
      </c>
      <c r="R1065" s="34" t="str">
        <f t="shared" si="2"/>
        <v/>
      </c>
      <c r="S1065" s="37" t="str">
        <f t="shared" si="3"/>
        <v/>
      </c>
      <c r="T1065" s="38" t="str">
        <f t="shared" si="4"/>
        <v/>
      </c>
      <c r="U1065" s="28" t="str">
        <f t="shared" si="5"/>
        <v/>
      </c>
      <c r="V1065" s="39" t="str">
        <f>IFERROR(__xludf.DUMMYFUNCTION(" IF(Account!$F1065&lt;&gt;"""", SPLIT(Account!$F1065, "" ""), """")"),"")</f>
        <v/>
      </c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</row>
    <row r="1066">
      <c r="A1066" s="341"/>
      <c r="B1066" s="341"/>
      <c r="C1066" s="341"/>
      <c r="D1066" s="341"/>
      <c r="E1066" s="341"/>
      <c r="F1066" s="373"/>
      <c r="G1066" s="341"/>
      <c r="H1066" s="341"/>
      <c r="I1066" s="341"/>
      <c r="J1066" s="341"/>
      <c r="K1066" s="341"/>
      <c r="L1066" s="26" t="str">
        <f t="shared" si="1"/>
        <v/>
      </c>
      <c r="M1066" s="28" t="str">
        <f>IFERROR(__xludf.DUMMYFUNCTION("IF(Account!$F1066&lt;&gt;"""", VALUE(REGEXREPLACE($I1066, ""\,"", ""."")), """")"),"")</f>
        <v/>
      </c>
      <c r="N1066" s="31" t="str">
        <f>IF(Account!$F1066&lt;&gt;"", DATEVALUE(MID($A1066,4,3) &amp; LEFT($A1066,3) &amp; RIGHT($A1066,4)) + TIMEVALUE($B1066), "")</f>
        <v/>
      </c>
      <c r="O1066" s="33" t="str">
        <f>IF(Account!$F1066&lt;&gt;"", DATEVALUE(MID($A1066,4,3) &amp; LEFT($A1066,3) &amp; RIGHT($A1066,4)), "")</f>
        <v/>
      </c>
      <c r="P1066" s="34" t="str">
        <f>IFERROR(VLOOKUP($Q1066,Selection!$F:$G,2,false))</f>
        <v/>
      </c>
      <c r="Q1066" s="36" t="str">
        <f>IF(AND($X1066="change",$H1066="EUR"),IF(AND($Z1066="Crédit",$N1066=$N1067),$Q1067,IF(AND($Z1066="Débit",$N1066=$N1065),$Q1065)),IF(OR(AND(OR($E1066&lt;&gt;"",$L1066=""),$M1066&lt;&gt;0),$A1066=""),IFERROR(VLOOKUP($E1066,Selection!$E:$F,2,false)),IFERROR(VLOOKUP(SUBSTITUTE($I1066,"-","",1),$K1067:$Q1119,7,false),VLOOKUP($K1066,$K1067:$Q1119,7,false))))</f>
        <v/>
      </c>
      <c r="R1066" s="34" t="str">
        <f t="shared" si="2"/>
        <v/>
      </c>
      <c r="S1066" s="37" t="str">
        <f t="shared" si="3"/>
        <v/>
      </c>
      <c r="T1066" s="38" t="str">
        <f t="shared" si="4"/>
        <v/>
      </c>
      <c r="U1066" s="28" t="str">
        <f t="shared" si="5"/>
        <v/>
      </c>
      <c r="V1066" s="39" t="str">
        <f>IFERROR(__xludf.DUMMYFUNCTION(" IF(Account!$F1066&lt;&gt;"""", SPLIT(Account!$F1066, "" ""), """")"),"")</f>
        <v/>
      </c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</row>
    <row r="1067">
      <c r="A1067" s="341"/>
      <c r="B1067" s="341"/>
      <c r="C1067" s="341"/>
      <c r="D1067" s="341"/>
      <c r="E1067" s="341"/>
      <c r="F1067" s="373"/>
      <c r="G1067" s="341"/>
      <c r="H1067" s="341"/>
      <c r="I1067" s="341"/>
      <c r="J1067" s="341"/>
      <c r="K1067" s="341"/>
      <c r="L1067" s="26" t="str">
        <f t="shared" si="1"/>
        <v/>
      </c>
      <c r="M1067" s="28" t="str">
        <f>IFERROR(__xludf.DUMMYFUNCTION("IF(Account!$F1067&lt;&gt;"""", VALUE(REGEXREPLACE($I1067, ""\,"", ""."")), """")"),"")</f>
        <v/>
      </c>
      <c r="N1067" s="31" t="str">
        <f>IF(Account!$F1067&lt;&gt;"", DATEVALUE(MID($A1067,4,3) &amp; LEFT($A1067,3) &amp; RIGHT($A1067,4)) + TIMEVALUE($B1067), "")</f>
        <v/>
      </c>
      <c r="O1067" s="33" t="str">
        <f>IF(Account!$F1067&lt;&gt;"", DATEVALUE(MID($A1067,4,3) &amp; LEFT($A1067,3) &amp; RIGHT($A1067,4)), "")</f>
        <v/>
      </c>
      <c r="P1067" s="34" t="str">
        <f>IFERROR(VLOOKUP($Q1067,Selection!$F:$G,2,false))</f>
        <v/>
      </c>
      <c r="Q1067" s="36" t="str">
        <f>IF(AND($X1067="change",$H1067="EUR"),IF(AND($Z1067="Crédit",$N1067=$N1068),$Q1068,IF(AND($Z1067="Débit",$N1067=$N1066),$Q1066)),IF(OR(AND(OR($E1067&lt;&gt;"",$L1067=""),$M1067&lt;&gt;0),$A1067=""),IFERROR(VLOOKUP($E1067,Selection!$E:$F,2,false)),IFERROR(VLOOKUP(SUBSTITUTE($I1067,"-","",1),$K1068:$Q1119,7,false),VLOOKUP($K1067,$K1068:$Q1119,7,false))))</f>
        <v/>
      </c>
      <c r="R1067" s="34" t="str">
        <f t="shared" si="2"/>
        <v/>
      </c>
      <c r="S1067" s="37" t="str">
        <f t="shared" si="3"/>
        <v/>
      </c>
      <c r="T1067" s="38" t="str">
        <f t="shared" si="4"/>
        <v/>
      </c>
      <c r="U1067" s="28" t="str">
        <f t="shared" si="5"/>
        <v/>
      </c>
      <c r="V1067" s="39" t="str">
        <f>IFERROR(__xludf.DUMMYFUNCTION(" IF(Account!$F1067&lt;&gt;"""", SPLIT(Account!$F1067, "" ""), """")"),"")</f>
        <v/>
      </c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</row>
    <row r="1068">
      <c r="A1068" s="341"/>
      <c r="B1068" s="341"/>
      <c r="C1068" s="341"/>
      <c r="D1068" s="341"/>
      <c r="E1068" s="341"/>
      <c r="F1068" s="373"/>
      <c r="G1068" s="341"/>
      <c r="H1068" s="341"/>
      <c r="I1068" s="341"/>
      <c r="J1068" s="341"/>
      <c r="K1068" s="341"/>
      <c r="L1068" s="26" t="str">
        <f t="shared" si="1"/>
        <v/>
      </c>
      <c r="M1068" s="28" t="str">
        <f>IFERROR(__xludf.DUMMYFUNCTION("IF(Account!$F1068&lt;&gt;"""", VALUE(REGEXREPLACE($I1068, ""\,"", ""."")), """")"),"")</f>
        <v/>
      </c>
      <c r="N1068" s="31" t="str">
        <f>IF(Account!$F1068&lt;&gt;"", DATEVALUE(MID($A1068,4,3) &amp; LEFT($A1068,3) &amp; RIGHT($A1068,4)) + TIMEVALUE($B1068), "")</f>
        <v/>
      </c>
      <c r="O1068" s="33" t="str">
        <f>IF(Account!$F1068&lt;&gt;"", DATEVALUE(MID($A1068,4,3) &amp; LEFT($A1068,3) &amp; RIGHT($A1068,4)), "")</f>
        <v/>
      </c>
      <c r="P1068" s="34" t="str">
        <f>IFERROR(VLOOKUP($Q1068,Selection!$F:$G,2,false))</f>
        <v/>
      </c>
      <c r="Q1068" s="36" t="str">
        <f>IF(AND($X1068="change",$H1068="EUR"),IF(AND($Z1068="Crédit",$N1068=$N1069),$Q1069,IF(AND($Z1068="Débit",$N1068=$N1067),$Q1067)),IF(OR(AND(OR($E1068&lt;&gt;"",$L1068=""),$M1068&lt;&gt;0),$A1068=""),IFERROR(VLOOKUP($E1068,Selection!$E:$F,2,false)),IFERROR(VLOOKUP(SUBSTITUTE($I1068,"-","",1),$K1069:$Q1119,7,false),VLOOKUP($K1068,$K1069:$Q1119,7,false))))</f>
        <v/>
      </c>
      <c r="R1068" s="34" t="str">
        <f t="shared" si="2"/>
        <v/>
      </c>
      <c r="S1068" s="37" t="str">
        <f t="shared" si="3"/>
        <v/>
      </c>
      <c r="T1068" s="38" t="str">
        <f t="shared" si="4"/>
        <v/>
      </c>
      <c r="U1068" s="28" t="str">
        <f t="shared" si="5"/>
        <v/>
      </c>
      <c r="V1068" s="39" t="str">
        <f>IFERROR(__xludf.DUMMYFUNCTION(" IF(Account!$F1068&lt;&gt;"""", SPLIT(Account!$F1068, "" ""), """")"),"")</f>
        <v/>
      </c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</row>
    <row r="1069">
      <c r="A1069" s="341"/>
      <c r="B1069" s="341"/>
      <c r="C1069" s="341"/>
      <c r="D1069" s="341"/>
      <c r="E1069" s="341"/>
      <c r="F1069" s="373"/>
      <c r="G1069" s="341"/>
      <c r="H1069" s="341"/>
      <c r="I1069" s="341"/>
      <c r="J1069" s="341"/>
      <c r="K1069" s="341"/>
      <c r="L1069" s="26" t="str">
        <f t="shared" si="1"/>
        <v/>
      </c>
      <c r="M1069" s="28" t="str">
        <f>IFERROR(__xludf.DUMMYFUNCTION("IF(Account!$F1069&lt;&gt;"""", VALUE(REGEXREPLACE($I1069, ""\,"", ""."")), """")"),"")</f>
        <v/>
      </c>
      <c r="N1069" s="31" t="str">
        <f>IF(Account!$F1069&lt;&gt;"", DATEVALUE(MID($A1069,4,3) &amp; LEFT($A1069,3) &amp; RIGHT($A1069,4)) + TIMEVALUE($B1069), "")</f>
        <v/>
      </c>
      <c r="O1069" s="33" t="str">
        <f>IF(Account!$F1069&lt;&gt;"", DATEVALUE(MID($A1069,4,3) &amp; LEFT($A1069,3) &amp; RIGHT($A1069,4)), "")</f>
        <v/>
      </c>
      <c r="P1069" s="34" t="str">
        <f>IFERROR(VLOOKUP($Q1069,Selection!$F:$G,2,false))</f>
        <v/>
      </c>
      <c r="Q1069" s="36" t="str">
        <f>IF(AND($X1069="change",$H1069="EUR"),IF(AND($Z1069="Crédit",$N1069=$N1070),$Q1070,IF(AND($Z1069="Débit",$N1069=$N1068),$Q1068)),IF(OR(AND(OR($E1069&lt;&gt;"",$L1069=""),$M1069&lt;&gt;0),$A1069=""),IFERROR(VLOOKUP($E1069,Selection!$E:$F,2,false)),IFERROR(VLOOKUP(SUBSTITUTE($I1069,"-","",1),$K1070:$Q1119,7,false),VLOOKUP($K1069,$K1070:$Q1119,7,false))))</f>
        <v/>
      </c>
      <c r="R1069" s="34" t="str">
        <f t="shared" si="2"/>
        <v/>
      </c>
      <c r="S1069" s="37" t="str">
        <f t="shared" si="3"/>
        <v/>
      </c>
      <c r="T1069" s="38" t="str">
        <f t="shared" si="4"/>
        <v/>
      </c>
      <c r="U1069" s="28" t="str">
        <f t="shared" si="5"/>
        <v/>
      </c>
      <c r="V1069" s="39" t="str">
        <f>IFERROR(__xludf.DUMMYFUNCTION(" IF(Account!$F1069&lt;&gt;"""", SPLIT(Account!$F1069, "" ""), """")"),"")</f>
        <v/>
      </c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</row>
    <row r="1070">
      <c r="A1070" s="341"/>
      <c r="B1070" s="341"/>
      <c r="C1070" s="341"/>
      <c r="D1070" s="341"/>
      <c r="E1070" s="341"/>
      <c r="F1070" s="373"/>
      <c r="G1070" s="341"/>
      <c r="H1070" s="341"/>
      <c r="I1070" s="341"/>
      <c r="J1070" s="341"/>
      <c r="K1070" s="341"/>
      <c r="L1070" s="26" t="str">
        <f t="shared" si="1"/>
        <v/>
      </c>
      <c r="M1070" s="28" t="str">
        <f>IFERROR(__xludf.DUMMYFUNCTION("IF(Account!$F1070&lt;&gt;"""", VALUE(REGEXREPLACE($I1070, ""\,"", ""."")), """")"),"")</f>
        <v/>
      </c>
      <c r="N1070" s="31" t="str">
        <f>IF(Account!$F1070&lt;&gt;"", DATEVALUE(MID($A1070,4,3) &amp; LEFT($A1070,3) &amp; RIGHT($A1070,4)) + TIMEVALUE($B1070), "")</f>
        <v/>
      </c>
      <c r="O1070" s="33" t="str">
        <f>IF(Account!$F1070&lt;&gt;"", DATEVALUE(MID($A1070,4,3) &amp; LEFT($A1070,3) &amp; RIGHT($A1070,4)), "")</f>
        <v/>
      </c>
      <c r="P1070" s="34" t="str">
        <f>IFERROR(VLOOKUP($Q1070,Selection!$F:$G,2,false))</f>
        <v/>
      </c>
      <c r="Q1070" s="36" t="str">
        <f>IF(AND($X1070="change",$H1070="EUR"),IF(AND($Z1070="Crédit",$N1070=$N1071),$Q1071,IF(AND($Z1070="Débit",$N1070=$N1069),$Q1069)),IF(OR(AND(OR($E1070&lt;&gt;"",$L1070=""),$M1070&lt;&gt;0),$A1070=""),IFERROR(VLOOKUP($E1070,Selection!$E:$F,2,false)),IFERROR(VLOOKUP(SUBSTITUTE($I1070,"-","",1),$K1071:$Q1119,7,false),VLOOKUP($K1070,$K1071:$Q1119,7,false))))</f>
        <v/>
      </c>
      <c r="R1070" s="34" t="str">
        <f t="shared" si="2"/>
        <v/>
      </c>
      <c r="S1070" s="37" t="str">
        <f t="shared" si="3"/>
        <v/>
      </c>
      <c r="T1070" s="38" t="str">
        <f t="shared" si="4"/>
        <v/>
      </c>
      <c r="U1070" s="28" t="str">
        <f t="shared" si="5"/>
        <v/>
      </c>
      <c r="V1070" s="39" t="str">
        <f>IFERROR(__xludf.DUMMYFUNCTION(" IF(Account!$F1070&lt;&gt;"""", SPLIT(Account!$F1070, "" ""), """")"),"")</f>
        <v/>
      </c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</row>
    <row r="1071">
      <c r="A1071" s="341"/>
      <c r="B1071" s="341"/>
      <c r="C1071" s="341"/>
      <c r="D1071" s="341"/>
      <c r="E1071" s="341"/>
      <c r="F1071" s="373"/>
      <c r="G1071" s="341"/>
      <c r="H1071" s="341"/>
      <c r="I1071" s="341"/>
      <c r="J1071" s="341"/>
      <c r="K1071" s="341"/>
      <c r="L1071" s="26" t="str">
        <f t="shared" si="1"/>
        <v/>
      </c>
      <c r="M1071" s="28" t="str">
        <f>IFERROR(__xludf.DUMMYFUNCTION("IF(Account!$F1071&lt;&gt;"""", VALUE(REGEXREPLACE($I1071, ""\,"", ""."")), """")"),"")</f>
        <v/>
      </c>
      <c r="N1071" s="31" t="str">
        <f>IF(Account!$F1071&lt;&gt;"", DATEVALUE(MID($A1071,4,3) &amp; LEFT($A1071,3) &amp; RIGHT($A1071,4)) + TIMEVALUE($B1071), "")</f>
        <v/>
      </c>
      <c r="O1071" s="33" t="str">
        <f>IF(Account!$F1071&lt;&gt;"", DATEVALUE(MID($A1071,4,3) &amp; LEFT($A1071,3) &amp; RIGHT($A1071,4)), "")</f>
        <v/>
      </c>
      <c r="P1071" s="34" t="str">
        <f>IFERROR(VLOOKUP($Q1071,Selection!$F:$G,2,false))</f>
        <v/>
      </c>
      <c r="Q1071" s="36" t="str">
        <f>IF(AND($X1071="change",$H1071="EUR"),IF(AND($Z1071="Crédit",$N1071=$N1072),$Q1072,IF(AND($Z1071="Débit",$N1071=$N1070),$Q1070)),IF(OR(AND(OR($E1071&lt;&gt;"",$L1071=""),$M1071&lt;&gt;0),$A1071=""),IFERROR(VLOOKUP($E1071,Selection!$E:$F,2,false)),IFERROR(VLOOKUP(SUBSTITUTE($I1071,"-","",1),$K1072:$Q1119,7,false),VLOOKUP($K1071,$K1072:$Q1119,7,false))))</f>
        <v/>
      </c>
      <c r="R1071" s="34" t="str">
        <f t="shared" si="2"/>
        <v/>
      </c>
      <c r="S1071" s="37" t="str">
        <f t="shared" si="3"/>
        <v/>
      </c>
      <c r="T1071" s="38" t="str">
        <f t="shared" si="4"/>
        <v/>
      </c>
      <c r="U1071" s="28" t="str">
        <f t="shared" si="5"/>
        <v/>
      </c>
      <c r="V1071" s="39" t="str">
        <f>IFERROR(__xludf.DUMMYFUNCTION(" IF(Account!$F1071&lt;&gt;"""", SPLIT(Account!$F1071, "" ""), """")"),"")</f>
        <v/>
      </c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</row>
    <row r="1072">
      <c r="A1072" s="341"/>
      <c r="B1072" s="341"/>
      <c r="C1072" s="341"/>
      <c r="D1072" s="341"/>
      <c r="E1072" s="341"/>
      <c r="F1072" s="373"/>
      <c r="G1072" s="341"/>
      <c r="H1072" s="341"/>
      <c r="I1072" s="341"/>
      <c r="J1072" s="341"/>
      <c r="K1072" s="341"/>
      <c r="L1072" s="26" t="str">
        <f t="shared" si="1"/>
        <v/>
      </c>
      <c r="M1072" s="28" t="str">
        <f>IFERROR(__xludf.DUMMYFUNCTION("IF(Account!$F1072&lt;&gt;"""", VALUE(REGEXREPLACE($I1072, ""\,"", ""."")), """")"),"")</f>
        <v/>
      </c>
      <c r="N1072" s="31" t="str">
        <f>IF(Account!$F1072&lt;&gt;"", DATEVALUE(MID($A1072,4,3) &amp; LEFT($A1072,3) &amp; RIGHT($A1072,4)) + TIMEVALUE($B1072), "")</f>
        <v/>
      </c>
      <c r="O1072" s="33" t="str">
        <f>IF(Account!$F1072&lt;&gt;"", DATEVALUE(MID($A1072,4,3) &amp; LEFT($A1072,3) &amp; RIGHT($A1072,4)), "")</f>
        <v/>
      </c>
      <c r="P1072" s="34" t="str">
        <f>IFERROR(VLOOKUP($Q1072,Selection!$F:$G,2,false))</f>
        <v/>
      </c>
      <c r="Q1072" s="36" t="str">
        <f>IF(AND($X1072="change",$H1072="EUR"),IF(AND($Z1072="Crédit",$N1072=$N1073),$Q1073,IF(AND($Z1072="Débit",$N1072=$N1071),$Q1071)),IF(OR(AND(OR($E1072&lt;&gt;"",$L1072=""),$M1072&lt;&gt;0),$A1072=""),IFERROR(VLOOKUP($E1072,Selection!$E:$F,2,false)),IFERROR(VLOOKUP(SUBSTITUTE($I1072,"-","",1),$K1073:$Q1119,7,false),VLOOKUP($K1072,$K1073:$Q1119,7,false))))</f>
        <v/>
      </c>
      <c r="R1072" s="34" t="str">
        <f t="shared" si="2"/>
        <v/>
      </c>
      <c r="S1072" s="37" t="str">
        <f t="shared" si="3"/>
        <v/>
      </c>
      <c r="T1072" s="38" t="str">
        <f t="shared" si="4"/>
        <v/>
      </c>
      <c r="U1072" s="28" t="str">
        <f t="shared" si="5"/>
        <v/>
      </c>
      <c r="V1072" s="39" t="str">
        <f>IFERROR(__xludf.DUMMYFUNCTION(" IF(Account!$F1072&lt;&gt;"""", SPLIT(Account!$F1072, "" ""), """")"),"")</f>
        <v/>
      </c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</row>
    <row r="1073">
      <c r="A1073" s="341"/>
      <c r="B1073" s="341"/>
      <c r="C1073" s="341"/>
      <c r="D1073" s="341"/>
      <c r="E1073" s="341"/>
      <c r="F1073" s="373"/>
      <c r="G1073" s="341"/>
      <c r="H1073" s="341"/>
      <c r="I1073" s="341"/>
      <c r="J1073" s="341"/>
      <c r="K1073" s="341"/>
      <c r="L1073" s="26" t="str">
        <f t="shared" si="1"/>
        <v/>
      </c>
      <c r="M1073" s="28" t="str">
        <f>IFERROR(__xludf.DUMMYFUNCTION("IF(Account!$F1073&lt;&gt;"""", VALUE(REGEXREPLACE($I1073, ""\,"", ""."")), """")"),"")</f>
        <v/>
      </c>
      <c r="N1073" s="31" t="str">
        <f>IF(Account!$F1073&lt;&gt;"", DATEVALUE(MID($A1073,4,3) &amp; LEFT($A1073,3) &amp; RIGHT($A1073,4)) + TIMEVALUE($B1073), "")</f>
        <v/>
      </c>
      <c r="O1073" s="33" t="str">
        <f>IF(Account!$F1073&lt;&gt;"", DATEVALUE(MID($A1073,4,3) &amp; LEFT($A1073,3) &amp; RIGHT($A1073,4)), "")</f>
        <v/>
      </c>
      <c r="P1073" s="34" t="str">
        <f>IFERROR(VLOOKUP($Q1073,Selection!$F:$G,2,false))</f>
        <v/>
      </c>
      <c r="Q1073" s="36" t="str">
        <f>IF(AND($X1073="change",$H1073="EUR"),IF(AND($Z1073="Crédit",$N1073=$N1074),$Q1074,IF(AND($Z1073="Débit",$N1073=$N1072),$Q1072)),IF(OR(AND(OR($E1073&lt;&gt;"",$L1073=""),$M1073&lt;&gt;0),$A1073=""),IFERROR(VLOOKUP($E1073,Selection!$E:$F,2,false)),IFERROR(VLOOKUP(SUBSTITUTE($I1073,"-","",1),$K1074:$Q1119,7,false),VLOOKUP($K1073,$K1074:$Q1119,7,false))))</f>
        <v/>
      </c>
      <c r="R1073" s="34" t="str">
        <f t="shared" si="2"/>
        <v/>
      </c>
      <c r="S1073" s="37" t="str">
        <f t="shared" si="3"/>
        <v/>
      </c>
      <c r="T1073" s="38" t="str">
        <f t="shared" si="4"/>
        <v/>
      </c>
      <c r="U1073" s="28" t="str">
        <f t="shared" si="5"/>
        <v/>
      </c>
      <c r="V1073" s="39" t="str">
        <f>IFERROR(__xludf.DUMMYFUNCTION(" IF(Account!$F1073&lt;&gt;"""", SPLIT(Account!$F1073, "" ""), """")"),"")</f>
        <v/>
      </c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</row>
    <row r="1074">
      <c r="A1074" s="341"/>
      <c r="B1074" s="341"/>
      <c r="C1074" s="341"/>
      <c r="D1074" s="341"/>
      <c r="E1074" s="341"/>
      <c r="F1074" s="373"/>
      <c r="G1074" s="341"/>
      <c r="H1074" s="341"/>
      <c r="I1074" s="341"/>
      <c r="J1074" s="341"/>
      <c r="K1074" s="341"/>
      <c r="L1074" s="26" t="str">
        <f t="shared" si="1"/>
        <v/>
      </c>
      <c r="M1074" s="28" t="str">
        <f>IFERROR(__xludf.DUMMYFUNCTION("IF(Account!$F1074&lt;&gt;"""", VALUE(REGEXREPLACE($I1074, ""\,"", ""."")), """")"),"")</f>
        <v/>
      </c>
      <c r="N1074" s="31" t="str">
        <f>IF(Account!$F1074&lt;&gt;"", DATEVALUE(MID($A1074,4,3) &amp; LEFT($A1074,3) &amp; RIGHT($A1074,4)) + TIMEVALUE($B1074), "")</f>
        <v/>
      </c>
      <c r="O1074" s="33" t="str">
        <f>IF(Account!$F1074&lt;&gt;"", DATEVALUE(MID($A1074,4,3) &amp; LEFT($A1074,3) &amp; RIGHT($A1074,4)), "")</f>
        <v/>
      </c>
      <c r="P1074" s="34" t="str">
        <f>IFERROR(VLOOKUP($Q1074,Selection!$F:$G,2,false))</f>
        <v/>
      </c>
      <c r="Q1074" s="36" t="str">
        <f>IF(AND($X1074="change",$H1074="EUR"),IF(AND($Z1074="Crédit",$N1074=$N1075),$Q1075,IF(AND($Z1074="Débit",$N1074=$N1073),$Q1073)),IF(OR(AND(OR($E1074&lt;&gt;"",$L1074=""),$M1074&lt;&gt;0),$A1074=""),IFERROR(VLOOKUP($E1074,Selection!$E:$F,2,false)),IFERROR(VLOOKUP(SUBSTITUTE($I1074,"-","",1),$K1075:$Q1119,7,false),VLOOKUP($K1074,$K1075:$Q1119,7,false))))</f>
        <v/>
      </c>
      <c r="R1074" s="34" t="str">
        <f t="shared" si="2"/>
        <v/>
      </c>
      <c r="S1074" s="37" t="str">
        <f t="shared" si="3"/>
        <v/>
      </c>
      <c r="T1074" s="38" t="str">
        <f t="shared" si="4"/>
        <v/>
      </c>
      <c r="U1074" s="28" t="str">
        <f t="shared" si="5"/>
        <v/>
      </c>
      <c r="V1074" s="39" t="str">
        <f>IFERROR(__xludf.DUMMYFUNCTION(" IF(Account!$F1074&lt;&gt;"""", SPLIT(Account!$F1074, "" ""), """")"),"")</f>
        <v/>
      </c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</row>
    <row r="1075">
      <c r="A1075" s="341"/>
      <c r="B1075" s="341"/>
      <c r="C1075" s="341"/>
      <c r="D1075" s="341"/>
      <c r="E1075" s="341"/>
      <c r="F1075" s="373"/>
      <c r="G1075" s="341"/>
      <c r="H1075" s="341"/>
      <c r="I1075" s="341"/>
      <c r="J1075" s="341"/>
      <c r="K1075" s="341"/>
      <c r="L1075" s="26" t="str">
        <f t="shared" si="1"/>
        <v/>
      </c>
      <c r="M1075" s="28" t="str">
        <f>IFERROR(__xludf.DUMMYFUNCTION("IF(Account!$F1075&lt;&gt;"""", VALUE(REGEXREPLACE($I1075, ""\,"", ""."")), """")"),"")</f>
        <v/>
      </c>
      <c r="N1075" s="31" t="str">
        <f>IF(Account!$F1075&lt;&gt;"", DATEVALUE(MID($A1075,4,3) &amp; LEFT($A1075,3) &amp; RIGHT($A1075,4)) + TIMEVALUE($B1075), "")</f>
        <v/>
      </c>
      <c r="O1075" s="33" t="str">
        <f>IF(Account!$F1075&lt;&gt;"", DATEVALUE(MID($A1075,4,3) &amp; LEFT($A1075,3) &amp; RIGHT($A1075,4)), "")</f>
        <v/>
      </c>
      <c r="P1075" s="34" t="str">
        <f>IFERROR(VLOOKUP($Q1075,Selection!$F:$G,2,false))</f>
        <v/>
      </c>
      <c r="Q1075" s="36" t="str">
        <f>IF(AND($X1075="change",$H1075="EUR"),IF(AND($Z1075="Crédit",$N1075=$N1076),$Q1076,IF(AND($Z1075="Débit",$N1075=$N1074),$Q1074)),IF(OR(AND(OR($E1075&lt;&gt;"",$L1075=""),$M1075&lt;&gt;0),$A1075=""),IFERROR(VLOOKUP($E1075,Selection!$E:$F,2,false)),IFERROR(VLOOKUP(SUBSTITUTE($I1075,"-","",1),$K1076:$Q1119,7,false),VLOOKUP($K1075,$K1076:$Q1119,7,false))))</f>
        <v/>
      </c>
      <c r="R1075" s="34" t="str">
        <f t="shared" si="2"/>
        <v/>
      </c>
      <c r="S1075" s="37" t="str">
        <f t="shared" si="3"/>
        <v/>
      </c>
      <c r="T1075" s="38" t="str">
        <f t="shared" si="4"/>
        <v/>
      </c>
      <c r="U1075" s="28" t="str">
        <f t="shared" si="5"/>
        <v/>
      </c>
      <c r="V1075" s="39" t="str">
        <f>IFERROR(__xludf.DUMMYFUNCTION(" IF(Account!$F1075&lt;&gt;"""", SPLIT(Account!$F1075, "" ""), """")"),"")</f>
        <v/>
      </c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</row>
    <row r="1076">
      <c r="A1076" s="341"/>
      <c r="B1076" s="341"/>
      <c r="C1076" s="341"/>
      <c r="D1076" s="341"/>
      <c r="E1076" s="341"/>
      <c r="F1076" s="373"/>
      <c r="G1076" s="341"/>
      <c r="H1076" s="341"/>
      <c r="I1076" s="341"/>
      <c r="J1076" s="341"/>
      <c r="K1076" s="341"/>
      <c r="L1076" s="26" t="str">
        <f t="shared" si="1"/>
        <v/>
      </c>
      <c r="M1076" s="28" t="str">
        <f>IFERROR(__xludf.DUMMYFUNCTION("IF(Account!$F1076&lt;&gt;"""", VALUE(REGEXREPLACE($I1076, ""\,"", ""."")), """")"),"")</f>
        <v/>
      </c>
      <c r="N1076" s="31" t="str">
        <f>IF(Account!$F1076&lt;&gt;"", DATEVALUE(MID($A1076,4,3) &amp; LEFT($A1076,3) &amp; RIGHT($A1076,4)) + TIMEVALUE($B1076), "")</f>
        <v/>
      </c>
      <c r="O1076" s="33" t="str">
        <f>IF(Account!$F1076&lt;&gt;"", DATEVALUE(MID($A1076,4,3) &amp; LEFT($A1076,3) &amp; RIGHT($A1076,4)), "")</f>
        <v/>
      </c>
      <c r="P1076" s="34" t="str">
        <f>IFERROR(VLOOKUP($Q1076,Selection!$F:$G,2,false))</f>
        <v/>
      </c>
      <c r="Q1076" s="36" t="str">
        <f>IF(AND($X1076="change",$H1076="EUR"),IF(AND($Z1076="Crédit",$N1076=$N1077),$Q1077,IF(AND($Z1076="Débit",$N1076=$N1075),$Q1075)),IF(OR(AND(OR($E1076&lt;&gt;"",$L1076=""),$M1076&lt;&gt;0),$A1076=""),IFERROR(VLOOKUP($E1076,Selection!$E:$F,2,false)),IFERROR(VLOOKUP(SUBSTITUTE($I1076,"-","",1),$K1077:$Q1119,7,false),VLOOKUP($K1076,$K1077:$Q1119,7,false))))</f>
        <v/>
      </c>
      <c r="R1076" s="34" t="str">
        <f t="shared" si="2"/>
        <v/>
      </c>
      <c r="S1076" s="37" t="str">
        <f t="shared" si="3"/>
        <v/>
      </c>
      <c r="T1076" s="38" t="str">
        <f t="shared" si="4"/>
        <v/>
      </c>
      <c r="U1076" s="28" t="str">
        <f t="shared" si="5"/>
        <v/>
      </c>
      <c r="V1076" s="39" t="str">
        <f>IFERROR(__xludf.DUMMYFUNCTION(" IF(Account!$F1076&lt;&gt;"""", SPLIT(Account!$F1076, "" ""), """")"),"")</f>
        <v/>
      </c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</row>
    <row r="1077">
      <c r="A1077" s="341"/>
      <c r="B1077" s="341"/>
      <c r="C1077" s="341"/>
      <c r="D1077" s="341"/>
      <c r="E1077" s="341"/>
      <c r="F1077" s="373"/>
      <c r="G1077" s="341"/>
      <c r="H1077" s="341"/>
      <c r="I1077" s="341"/>
      <c r="J1077" s="341"/>
      <c r="K1077" s="341"/>
      <c r="L1077" s="26" t="str">
        <f t="shared" si="1"/>
        <v/>
      </c>
      <c r="M1077" s="28" t="str">
        <f>IFERROR(__xludf.DUMMYFUNCTION("IF(Account!$F1077&lt;&gt;"""", VALUE(REGEXREPLACE($I1077, ""\,"", ""."")), """")"),"")</f>
        <v/>
      </c>
      <c r="N1077" s="31" t="str">
        <f>IF(Account!$F1077&lt;&gt;"", DATEVALUE(MID($A1077,4,3) &amp; LEFT($A1077,3) &amp; RIGHT($A1077,4)) + TIMEVALUE($B1077), "")</f>
        <v/>
      </c>
      <c r="O1077" s="33" t="str">
        <f>IF(Account!$F1077&lt;&gt;"", DATEVALUE(MID($A1077,4,3) &amp; LEFT($A1077,3) &amp; RIGHT($A1077,4)), "")</f>
        <v/>
      </c>
      <c r="P1077" s="34" t="str">
        <f>IFERROR(VLOOKUP($Q1077,Selection!$F:$G,2,false))</f>
        <v/>
      </c>
      <c r="Q1077" s="36" t="str">
        <f>IF(AND($X1077="change",$H1077="EUR"),IF(AND($Z1077="Crédit",$N1077=$N1078),$Q1078,IF(AND($Z1077="Débit",$N1077=$N1076),$Q1076)),IF(OR(AND(OR($E1077&lt;&gt;"",$L1077=""),$M1077&lt;&gt;0),$A1077=""),IFERROR(VLOOKUP($E1077,Selection!$E:$F,2,false)),IFERROR(VLOOKUP(SUBSTITUTE($I1077,"-","",1),$K1078:$Q1119,7,false),VLOOKUP($K1077,$K1078:$Q1119,7,false))))</f>
        <v/>
      </c>
      <c r="R1077" s="34" t="str">
        <f t="shared" si="2"/>
        <v/>
      </c>
      <c r="S1077" s="37" t="str">
        <f t="shared" si="3"/>
        <v/>
      </c>
      <c r="T1077" s="38" t="str">
        <f t="shared" si="4"/>
        <v/>
      </c>
      <c r="U1077" s="28" t="str">
        <f t="shared" si="5"/>
        <v/>
      </c>
      <c r="V1077" s="39" t="str">
        <f>IFERROR(__xludf.DUMMYFUNCTION(" IF(Account!$F1077&lt;&gt;"""", SPLIT(Account!$F1077, "" ""), """")"),"")</f>
        <v/>
      </c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</row>
    <row r="1078">
      <c r="A1078" s="341"/>
      <c r="B1078" s="341"/>
      <c r="C1078" s="341"/>
      <c r="D1078" s="341"/>
      <c r="E1078" s="341"/>
      <c r="F1078" s="373"/>
      <c r="G1078" s="341"/>
      <c r="H1078" s="341"/>
      <c r="I1078" s="341"/>
      <c r="J1078" s="341"/>
      <c r="K1078" s="341"/>
      <c r="L1078" s="26" t="str">
        <f t="shared" si="1"/>
        <v/>
      </c>
      <c r="M1078" s="28" t="str">
        <f>IFERROR(__xludf.DUMMYFUNCTION("IF(Account!$F1078&lt;&gt;"""", VALUE(REGEXREPLACE($I1078, ""\,"", ""."")), """")"),"")</f>
        <v/>
      </c>
      <c r="N1078" s="31" t="str">
        <f>IF(Account!$F1078&lt;&gt;"", DATEVALUE(MID($A1078,4,3) &amp; LEFT($A1078,3) &amp; RIGHT($A1078,4)) + TIMEVALUE($B1078), "")</f>
        <v/>
      </c>
      <c r="O1078" s="33" t="str">
        <f>IF(Account!$F1078&lt;&gt;"", DATEVALUE(MID($A1078,4,3) &amp; LEFT($A1078,3) &amp; RIGHT($A1078,4)), "")</f>
        <v/>
      </c>
      <c r="P1078" s="34" t="str">
        <f>IFERROR(VLOOKUP($Q1078,Selection!$F:$G,2,false))</f>
        <v/>
      </c>
      <c r="Q1078" s="36" t="str">
        <f>IF(AND($X1078="change",$H1078="EUR"),IF(AND($Z1078="Crédit",$N1078=$N1079),$Q1079,IF(AND($Z1078="Débit",$N1078=$N1077),$Q1077)),IF(OR(AND(OR($E1078&lt;&gt;"",$L1078=""),$M1078&lt;&gt;0),$A1078=""),IFERROR(VLOOKUP($E1078,Selection!$E:$F,2,false)),IFERROR(VLOOKUP(SUBSTITUTE($I1078,"-","",1),$K1079:$Q1119,7,false),VLOOKUP($K1078,$K1079:$Q1119,7,false))))</f>
        <v/>
      </c>
      <c r="R1078" s="34" t="str">
        <f t="shared" si="2"/>
        <v/>
      </c>
      <c r="S1078" s="37" t="str">
        <f t="shared" si="3"/>
        <v/>
      </c>
      <c r="T1078" s="38" t="str">
        <f t="shared" si="4"/>
        <v/>
      </c>
      <c r="U1078" s="28" t="str">
        <f t="shared" si="5"/>
        <v/>
      </c>
      <c r="V1078" s="39" t="str">
        <f>IFERROR(__xludf.DUMMYFUNCTION(" IF(Account!$F1078&lt;&gt;"""", SPLIT(Account!$F1078, "" ""), """")"),"")</f>
        <v/>
      </c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</row>
    <row r="1079">
      <c r="A1079" s="341"/>
      <c r="B1079" s="341"/>
      <c r="C1079" s="341"/>
      <c r="D1079" s="341"/>
      <c r="E1079" s="341"/>
      <c r="F1079" s="373"/>
      <c r="G1079" s="341"/>
      <c r="H1079" s="341"/>
      <c r="I1079" s="341"/>
      <c r="J1079" s="341"/>
      <c r="K1079" s="341"/>
      <c r="L1079" s="26" t="str">
        <f t="shared" si="1"/>
        <v/>
      </c>
      <c r="M1079" s="28" t="str">
        <f>IFERROR(__xludf.DUMMYFUNCTION("IF(Account!$F1079&lt;&gt;"""", VALUE(REGEXREPLACE($I1079, ""\,"", ""."")), """")"),"")</f>
        <v/>
      </c>
      <c r="N1079" s="31" t="str">
        <f>IF(Account!$F1079&lt;&gt;"", DATEVALUE(MID($A1079,4,3) &amp; LEFT($A1079,3) &amp; RIGHT($A1079,4)) + TIMEVALUE($B1079), "")</f>
        <v/>
      </c>
      <c r="O1079" s="33" t="str">
        <f>IF(Account!$F1079&lt;&gt;"", DATEVALUE(MID($A1079,4,3) &amp; LEFT($A1079,3) &amp; RIGHT($A1079,4)), "")</f>
        <v/>
      </c>
      <c r="P1079" s="34" t="str">
        <f>IFERROR(VLOOKUP($Q1079,Selection!$F:$G,2,false))</f>
        <v/>
      </c>
      <c r="Q1079" s="36" t="str">
        <f>IF(AND($X1079="change",$H1079="EUR"),IF(AND($Z1079="Crédit",$N1079=$N1080),$Q1080,IF(AND($Z1079="Débit",$N1079=$N1078),$Q1078)),IF(OR(AND(OR($E1079&lt;&gt;"",$L1079=""),$M1079&lt;&gt;0),$A1079=""),IFERROR(VLOOKUP($E1079,Selection!$E:$F,2,false)),IFERROR(VLOOKUP(SUBSTITUTE($I1079,"-","",1),$K1080:$Q1119,7,false),VLOOKUP($K1079,$K1080:$Q1119,7,false))))</f>
        <v/>
      </c>
      <c r="R1079" s="34" t="str">
        <f t="shared" si="2"/>
        <v/>
      </c>
      <c r="S1079" s="37" t="str">
        <f t="shared" si="3"/>
        <v/>
      </c>
      <c r="T1079" s="38" t="str">
        <f t="shared" si="4"/>
        <v/>
      </c>
      <c r="U1079" s="28" t="str">
        <f t="shared" si="5"/>
        <v/>
      </c>
      <c r="V1079" s="39" t="str">
        <f>IFERROR(__xludf.DUMMYFUNCTION(" IF(Account!$F1079&lt;&gt;"""", SPLIT(Account!$F1079, "" ""), """")"),"")</f>
        <v/>
      </c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</row>
    <row r="1080">
      <c r="A1080" s="341"/>
      <c r="B1080" s="341"/>
      <c r="C1080" s="341"/>
      <c r="D1080" s="341"/>
      <c r="E1080" s="341"/>
      <c r="F1080" s="373"/>
      <c r="G1080" s="341"/>
      <c r="H1080" s="341"/>
      <c r="I1080" s="341"/>
      <c r="J1080" s="341"/>
      <c r="K1080" s="341"/>
      <c r="L1080" s="26" t="str">
        <f t="shared" si="1"/>
        <v/>
      </c>
      <c r="M1080" s="28" t="str">
        <f>IFERROR(__xludf.DUMMYFUNCTION("IF(Account!$F1080&lt;&gt;"""", VALUE(REGEXREPLACE($I1080, ""\,"", ""."")), """")"),"")</f>
        <v/>
      </c>
      <c r="N1080" s="31" t="str">
        <f>IF(Account!$F1080&lt;&gt;"", DATEVALUE(MID($A1080,4,3) &amp; LEFT($A1080,3) &amp; RIGHT($A1080,4)) + TIMEVALUE($B1080), "")</f>
        <v/>
      </c>
      <c r="O1080" s="33" t="str">
        <f>IF(Account!$F1080&lt;&gt;"", DATEVALUE(MID($A1080,4,3) &amp; LEFT($A1080,3) &amp; RIGHT($A1080,4)), "")</f>
        <v/>
      </c>
      <c r="P1080" s="34" t="str">
        <f>IFERROR(VLOOKUP($Q1080,Selection!$F:$G,2,false))</f>
        <v/>
      </c>
      <c r="Q1080" s="36" t="str">
        <f>IF(AND($X1080="change",$H1080="EUR"),IF(AND($Z1080="Crédit",$N1080=$N1081),$Q1081,IF(AND($Z1080="Débit",$N1080=$N1079),$Q1079)),IF(OR(AND(OR($E1080&lt;&gt;"",$L1080=""),$M1080&lt;&gt;0),$A1080=""),IFERROR(VLOOKUP($E1080,Selection!$E:$F,2,false)),IFERROR(VLOOKUP(SUBSTITUTE($I1080,"-","",1),$K1081:$Q1119,7,false),VLOOKUP($K1080,$K1081:$Q1119,7,false))))</f>
        <v/>
      </c>
      <c r="R1080" s="34" t="str">
        <f t="shared" si="2"/>
        <v/>
      </c>
      <c r="S1080" s="37" t="str">
        <f t="shared" si="3"/>
        <v/>
      </c>
      <c r="T1080" s="38" t="str">
        <f t="shared" si="4"/>
        <v/>
      </c>
      <c r="U1080" s="28" t="str">
        <f t="shared" si="5"/>
        <v/>
      </c>
      <c r="V1080" s="39" t="str">
        <f>IFERROR(__xludf.DUMMYFUNCTION(" IF(Account!$F1080&lt;&gt;"""", SPLIT(Account!$F1080, "" ""), """")"),"")</f>
        <v/>
      </c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</row>
    <row r="1081">
      <c r="A1081" s="341"/>
      <c r="B1081" s="341"/>
      <c r="C1081" s="341"/>
      <c r="D1081" s="341"/>
      <c r="E1081" s="341"/>
      <c r="F1081" s="373"/>
      <c r="G1081" s="341"/>
      <c r="H1081" s="341"/>
      <c r="I1081" s="341"/>
      <c r="J1081" s="341"/>
      <c r="K1081" s="341"/>
      <c r="L1081" s="26" t="str">
        <f t="shared" si="1"/>
        <v/>
      </c>
      <c r="M1081" s="28" t="str">
        <f>IFERROR(__xludf.DUMMYFUNCTION("IF(Account!$F1081&lt;&gt;"""", VALUE(REGEXREPLACE($I1081, ""\,"", ""."")), """")"),"")</f>
        <v/>
      </c>
      <c r="N1081" s="31" t="str">
        <f>IF(Account!$F1081&lt;&gt;"", DATEVALUE(MID($A1081,4,3) &amp; LEFT($A1081,3) &amp; RIGHT($A1081,4)) + TIMEVALUE($B1081), "")</f>
        <v/>
      </c>
      <c r="O1081" s="33" t="str">
        <f>IF(Account!$F1081&lt;&gt;"", DATEVALUE(MID($A1081,4,3) &amp; LEFT($A1081,3) &amp; RIGHT($A1081,4)), "")</f>
        <v/>
      </c>
      <c r="P1081" s="34" t="str">
        <f>IFERROR(VLOOKUP($Q1081,Selection!$F:$G,2,false))</f>
        <v/>
      </c>
      <c r="Q1081" s="36" t="str">
        <f>IF(AND($X1081="change",$H1081="EUR"),IF(AND($Z1081="Crédit",$N1081=$N1082),$Q1082,IF(AND($Z1081="Débit",$N1081=$N1080),$Q1080)),IF(OR(AND(OR($E1081&lt;&gt;"",$L1081=""),$M1081&lt;&gt;0),$A1081=""),IFERROR(VLOOKUP($E1081,Selection!$E:$F,2,false)),IFERROR(VLOOKUP(SUBSTITUTE($I1081,"-","",1),$K1082:$Q1119,7,false),VLOOKUP($K1081,$K1082:$Q1119,7,false))))</f>
        <v/>
      </c>
      <c r="R1081" s="34" t="str">
        <f t="shared" si="2"/>
        <v/>
      </c>
      <c r="S1081" s="37" t="str">
        <f t="shared" si="3"/>
        <v/>
      </c>
      <c r="T1081" s="38" t="str">
        <f t="shared" si="4"/>
        <v/>
      </c>
      <c r="U1081" s="28" t="str">
        <f t="shared" si="5"/>
        <v/>
      </c>
      <c r="V1081" s="39" t="str">
        <f>IFERROR(__xludf.DUMMYFUNCTION(" IF(Account!$F1081&lt;&gt;"""", SPLIT(Account!$F1081, "" ""), """")"),"")</f>
        <v/>
      </c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</row>
    <row r="1082">
      <c r="A1082" s="341"/>
      <c r="B1082" s="341"/>
      <c r="C1082" s="341"/>
      <c r="D1082" s="341"/>
      <c r="E1082" s="341"/>
      <c r="F1082" s="373"/>
      <c r="G1082" s="341"/>
      <c r="H1082" s="341"/>
      <c r="I1082" s="341"/>
      <c r="J1082" s="341"/>
      <c r="K1082" s="341"/>
      <c r="L1082" s="26" t="str">
        <f t="shared" si="1"/>
        <v/>
      </c>
      <c r="M1082" s="28" t="str">
        <f>IFERROR(__xludf.DUMMYFUNCTION("IF(Account!$F1082&lt;&gt;"""", VALUE(REGEXREPLACE($I1082, ""\,"", ""."")), """")"),"")</f>
        <v/>
      </c>
      <c r="N1082" s="31" t="str">
        <f>IF(Account!$F1082&lt;&gt;"", DATEVALUE(MID($A1082,4,3) &amp; LEFT($A1082,3) &amp; RIGHT($A1082,4)) + TIMEVALUE($B1082), "")</f>
        <v/>
      </c>
      <c r="O1082" s="33" t="str">
        <f>IF(Account!$F1082&lt;&gt;"", DATEVALUE(MID($A1082,4,3) &amp; LEFT($A1082,3) &amp; RIGHT($A1082,4)), "")</f>
        <v/>
      </c>
      <c r="P1082" s="34" t="str">
        <f>IFERROR(VLOOKUP($Q1082,Selection!$F:$G,2,false))</f>
        <v/>
      </c>
      <c r="Q1082" s="36" t="str">
        <f>IF(AND($X1082="change",$H1082="EUR"),IF(AND($Z1082="Crédit",$N1082=$N1083),$Q1083,IF(AND($Z1082="Débit",$N1082=$N1081),$Q1081)),IF(OR(AND(OR($E1082&lt;&gt;"",$L1082=""),$M1082&lt;&gt;0),$A1082=""),IFERROR(VLOOKUP($E1082,Selection!$E:$F,2,false)),IFERROR(VLOOKUP(SUBSTITUTE($I1082,"-","",1),$K1083:$Q1119,7,false),VLOOKUP($K1082,$K1083:$Q1119,7,false))))</f>
        <v/>
      </c>
      <c r="R1082" s="34" t="str">
        <f t="shared" si="2"/>
        <v/>
      </c>
      <c r="S1082" s="37" t="str">
        <f t="shared" si="3"/>
        <v/>
      </c>
      <c r="T1082" s="38" t="str">
        <f t="shared" si="4"/>
        <v/>
      </c>
      <c r="U1082" s="28" t="str">
        <f t="shared" si="5"/>
        <v/>
      </c>
      <c r="V1082" s="39" t="str">
        <f>IFERROR(__xludf.DUMMYFUNCTION(" IF(Account!$F1082&lt;&gt;"""", SPLIT(Account!$F1082, "" ""), """")"),"")</f>
        <v/>
      </c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</row>
    <row r="1083">
      <c r="A1083" s="341"/>
      <c r="B1083" s="341"/>
      <c r="C1083" s="341"/>
      <c r="D1083" s="341"/>
      <c r="E1083" s="341"/>
      <c r="F1083" s="373"/>
      <c r="G1083" s="341"/>
      <c r="H1083" s="341"/>
      <c r="I1083" s="341"/>
      <c r="J1083" s="341"/>
      <c r="K1083" s="341"/>
      <c r="L1083" s="26" t="str">
        <f t="shared" si="1"/>
        <v/>
      </c>
      <c r="M1083" s="28" t="str">
        <f>IFERROR(__xludf.DUMMYFUNCTION("IF(Account!$F1083&lt;&gt;"""", VALUE(REGEXREPLACE($I1083, ""\,"", ""."")), """")"),"")</f>
        <v/>
      </c>
      <c r="N1083" s="31" t="str">
        <f>IF(Account!$F1083&lt;&gt;"", DATEVALUE(MID($A1083,4,3) &amp; LEFT($A1083,3) &amp; RIGHT($A1083,4)) + TIMEVALUE($B1083), "")</f>
        <v/>
      </c>
      <c r="O1083" s="33" t="str">
        <f>IF(Account!$F1083&lt;&gt;"", DATEVALUE(MID($A1083,4,3) &amp; LEFT($A1083,3) &amp; RIGHT($A1083,4)), "")</f>
        <v/>
      </c>
      <c r="P1083" s="34" t="str">
        <f>IFERROR(VLOOKUP($Q1083,Selection!$F:$G,2,false))</f>
        <v/>
      </c>
      <c r="Q1083" s="36" t="str">
        <f>IF(AND($X1083="change",$H1083="EUR"),IF(AND($Z1083="Crédit",$N1083=$N1084),$Q1084,IF(AND($Z1083="Débit",$N1083=$N1082),$Q1082)),IF(OR(AND(OR($E1083&lt;&gt;"",$L1083=""),$M1083&lt;&gt;0),$A1083=""),IFERROR(VLOOKUP($E1083,Selection!$E:$F,2,false)),IFERROR(VLOOKUP(SUBSTITUTE($I1083,"-","",1),$K1084:$Q1119,7,false),VLOOKUP($K1083,$K1084:$Q1119,7,false))))</f>
        <v/>
      </c>
      <c r="R1083" s="34" t="str">
        <f t="shared" si="2"/>
        <v/>
      </c>
      <c r="S1083" s="37" t="str">
        <f t="shared" si="3"/>
        <v/>
      </c>
      <c r="T1083" s="38" t="str">
        <f t="shared" si="4"/>
        <v/>
      </c>
      <c r="U1083" s="28" t="str">
        <f t="shared" si="5"/>
        <v/>
      </c>
      <c r="V1083" s="39" t="str">
        <f>IFERROR(__xludf.DUMMYFUNCTION(" IF(Account!$F1083&lt;&gt;"""", SPLIT(Account!$F1083, "" ""), """")"),"")</f>
        <v/>
      </c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</row>
    <row r="1084">
      <c r="A1084" s="341"/>
      <c r="B1084" s="341"/>
      <c r="C1084" s="341"/>
      <c r="D1084" s="341"/>
      <c r="E1084" s="341"/>
      <c r="F1084" s="373"/>
      <c r="G1084" s="341"/>
      <c r="H1084" s="341"/>
      <c r="I1084" s="341"/>
      <c r="J1084" s="341"/>
      <c r="K1084" s="341"/>
      <c r="L1084" s="26" t="str">
        <f t="shared" si="1"/>
        <v/>
      </c>
      <c r="M1084" s="28" t="str">
        <f>IFERROR(__xludf.DUMMYFUNCTION("IF(Account!$F1084&lt;&gt;"""", VALUE(REGEXREPLACE($I1084, ""\,"", ""."")), """")"),"")</f>
        <v/>
      </c>
      <c r="N1084" s="31" t="str">
        <f>IF(Account!$F1084&lt;&gt;"", DATEVALUE(MID($A1084,4,3) &amp; LEFT($A1084,3) &amp; RIGHT($A1084,4)) + TIMEVALUE($B1084), "")</f>
        <v/>
      </c>
      <c r="O1084" s="33" t="str">
        <f>IF(Account!$F1084&lt;&gt;"", DATEVALUE(MID($A1084,4,3) &amp; LEFT($A1084,3) &amp; RIGHT($A1084,4)), "")</f>
        <v/>
      </c>
      <c r="P1084" s="34" t="str">
        <f>IFERROR(VLOOKUP($Q1084,Selection!$F:$G,2,false))</f>
        <v/>
      </c>
      <c r="Q1084" s="36" t="str">
        <f>IF(AND($X1084="change",$H1084="EUR"),IF(AND($Z1084="Crédit",$N1084=$N1085),$Q1085,IF(AND($Z1084="Débit",$N1084=$N1083),$Q1083)),IF(OR(AND(OR($E1084&lt;&gt;"",$L1084=""),$M1084&lt;&gt;0),$A1084=""),IFERROR(VLOOKUP($E1084,Selection!$E:$F,2,false)),IFERROR(VLOOKUP(SUBSTITUTE($I1084,"-","",1),$K1085:$Q1119,7,false),VLOOKUP($K1084,$K1085:$Q1119,7,false))))</f>
        <v/>
      </c>
      <c r="R1084" s="34" t="str">
        <f t="shared" si="2"/>
        <v/>
      </c>
      <c r="S1084" s="37" t="str">
        <f t="shared" si="3"/>
        <v/>
      </c>
      <c r="T1084" s="38" t="str">
        <f t="shared" si="4"/>
        <v/>
      </c>
      <c r="U1084" s="28" t="str">
        <f t="shared" si="5"/>
        <v/>
      </c>
      <c r="V1084" s="39" t="str">
        <f>IFERROR(__xludf.DUMMYFUNCTION(" IF(Account!$F1084&lt;&gt;"""", SPLIT(Account!$F1084, "" ""), """")"),"")</f>
        <v/>
      </c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</row>
    <row r="1085">
      <c r="A1085" s="341"/>
      <c r="B1085" s="341"/>
      <c r="C1085" s="341"/>
      <c r="D1085" s="341"/>
      <c r="E1085" s="341"/>
      <c r="F1085" s="373"/>
      <c r="G1085" s="341"/>
      <c r="H1085" s="341"/>
      <c r="I1085" s="341"/>
      <c r="J1085" s="341"/>
      <c r="K1085" s="341"/>
      <c r="L1085" s="26" t="str">
        <f t="shared" si="1"/>
        <v/>
      </c>
      <c r="M1085" s="28" t="str">
        <f>IFERROR(__xludf.DUMMYFUNCTION("IF(Account!$F1085&lt;&gt;"""", VALUE(REGEXREPLACE($I1085, ""\,"", ""."")), """")"),"")</f>
        <v/>
      </c>
      <c r="N1085" s="31" t="str">
        <f>IF(Account!$F1085&lt;&gt;"", DATEVALUE(MID($A1085,4,3) &amp; LEFT($A1085,3) &amp; RIGHT($A1085,4)) + TIMEVALUE($B1085), "")</f>
        <v/>
      </c>
      <c r="O1085" s="33" t="str">
        <f>IF(Account!$F1085&lt;&gt;"", DATEVALUE(MID($A1085,4,3) &amp; LEFT($A1085,3) &amp; RIGHT($A1085,4)), "")</f>
        <v/>
      </c>
      <c r="P1085" s="34" t="str">
        <f>IFERROR(VLOOKUP($Q1085,Selection!$F:$G,2,false))</f>
        <v/>
      </c>
      <c r="Q1085" s="36" t="str">
        <f>IF(AND($X1085="change",$H1085="EUR"),IF(AND($Z1085="Crédit",$N1085=$N1086),$Q1086,IF(AND($Z1085="Débit",$N1085=$N1084),$Q1084)),IF(OR(AND(OR($E1085&lt;&gt;"",$L1085=""),$M1085&lt;&gt;0),$A1085=""),IFERROR(VLOOKUP($E1085,Selection!$E:$F,2,false)),IFERROR(VLOOKUP(SUBSTITUTE($I1085,"-","",1),$K1086:$Q1119,7,false),VLOOKUP($K1085,$K1086:$Q1119,7,false))))</f>
        <v/>
      </c>
      <c r="R1085" s="34" t="str">
        <f t="shared" si="2"/>
        <v/>
      </c>
      <c r="S1085" s="37" t="str">
        <f t="shared" si="3"/>
        <v/>
      </c>
      <c r="T1085" s="38" t="str">
        <f t="shared" si="4"/>
        <v/>
      </c>
      <c r="U1085" s="28" t="str">
        <f t="shared" si="5"/>
        <v/>
      </c>
      <c r="V1085" s="39" t="str">
        <f>IFERROR(__xludf.DUMMYFUNCTION(" IF(Account!$F1085&lt;&gt;"""", SPLIT(Account!$F1085, "" ""), """")"),"")</f>
        <v/>
      </c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</row>
    <row r="1086">
      <c r="A1086" s="341"/>
      <c r="B1086" s="341"/>
      <c r="C1086" s="341"/>
      <c r="D1086" s="341"/>
      <c r="E1086" s="341"/>
      <c r="F1086" s="373"/>
      <c r="G1086" s="341"/>
      <c r="H1086" s="341"/>
      <c r="I1086" s="341"/>
      <c r="J1086" s="341"/>
      <c r="K1086" s="341"/>
      <c r="L1086" s="26" t="str">
        <f t="shared" si="1"/>
        <v/>
      </c>
      <c r="M1086" s="28" t="str">
        <f>IFERROR(__xludf.DUMMYFUNCTION("IF(Account!$F1086&lt;&gt;"""", VALUE(REGEXREPLACE($I1086, ""\,"", ""."")), """")"),"")</f>
        <v/>
      </c>
      <c r="N1086" s="31" t="str">
        <f>IF(Account!$F1086&lt;&gt;"", DATEVALUE(MID($A1086,4,3) &amp; LEFT($A1086,3) &amp; RIGHT($A1086,4)) + TIMEVALUE($B1086), "")</f>
        <v/>
      </c>
      <c r="O1086" s="33" t="str">
        <f>IF(Account!$F1086&lt;&gt;"", DATEVALUE(MID($A1086,4,3) &amp; LEFT($A1086,3) &amp; RIGHT($A1086,4)), "")</f>
        <v/>
      </c>
      <c r="P1086" s="34" t="str">
        <f>IFERROR(VLOOKUP($Q1086,Selection!$F:$G,2,false))</f>
        <v/>
      </c>
      <c r="Q1086" s="36" t="str">
        <f>IF(AND($X1086="change",$H1086="EUR"),IF(AND($Z1086="Crédit",$N1086=$N1087),$Q1087,IF(AND($Z1086="Débit",$N1086=$N1085),$Q1085)),IF(OR(AND(OR($E1086&lt;&gt;"",$L1086=""),$M1086&lt;&gt;0),$A1086=""),IFERROR(VLOOKUP($E1086,Selection!$E:$F,2,false)),IFERROR(VLOOKUP(SUBSTITUTE($I1086,"-","",1),$K1087:$Q1119,7,false),VLOOKUP($K1086,$K1087:$Q1119,7,false))))</f>
        <v/>
      </c>
      <c r="R1086" s="34" t="str">
        <f t="shared" si="2"/>
        <v/>
      </c>
      <c r="S1086" s="37" t="str">
        <f t="shared" si="3"/>
        <v/>
      </c>
      <c r="T1086" s="38" t="str">
        <f t="shared" si="4"/>
        <v/>
      </c>
      <c r="U1086" s="28" t="str">
        <f t="shared" si="5"/>
        <v/>
      </c>
      <c r="V1086" s="39" t="str">
        <f>IFERROR(__xludf.DUMMYFUNCTION(" IF(Account!$F1086&lt;&gt;"""", SPLIT(Account!$F1086, "" ""), """")"),"")</f>
        <v/>
      </c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</row>
    <row r="1087">
      <c r="A1087" s="341"/>
      <c r="B1087" s="341"/>
      <c r="C1087" s="341"/>
      <c r="D1087" s="341"/>
      <c r="E1087" s="341"/>
      <c r="F1087" s="373"/>
      <c r="G1087" s="341"/>
      <c r="H1087" s="341"/>
      <c r="I1087" s="341"/>
      <c r="J1087" s="341"/>
      <c r="K1087" s="341"/>
      <c r="L1087" s="26" t="str">
        <f t="shared" si="1"/>
        <v/>
      </c>
      <c r="M1087" s="28" t="str">
        <f>IFERROR(__xludf.DUMMYFUNCTION("IF(Account!$F1087&lt;&gt;"""", VALUE(REGEXREPLACE($I1087, ""\,"", ""."")), """")"),"")</f>
        <v/>
      </c>
      <c r="N1087" s="31" t="str">
        <f>IF(Account!$F1087&lt;&gt;"", DATEVALUE(MID($A1087,4,3) &amp; LEFT($A1087,3) &amp; RIGHT($A1087,4)) + TIMEVALUE($B1087), "")</f>
        <v/>
      </c>
      <c r="O1087" s="33" t="str">
        <f>IF(Account!$F1087&lt;&gt;"", DATEVALUE(MID($A1087,4,3) &amp; LEFT($A1087,3) &amp; RIGHT($A1087,4)), "")</f>
        <v/>
      </c>
      <c r="P1087" s="34" t="str">
        <f>IFERROR(VLOOKUP($Q1087,Selection!$F:$G,2,false))</f>
        <v/>
      </c>
      <c r="Q1087" s="36" t="str">
        <f>IF(AND($X1087="change",$H1087="EUR"),IF(AND($Z1087="Crédit",$N1087=$N1088),$Q1088,IF(AND($Z1087="Débit",$N1087=$N1086),$Q1086)),IF(OR(AND(OR($E1087&lt;&gt;"",$L1087=""),$M1087&lt;&gt;0),$A1087=""),IFERROR(VLOOKUP($E1087,Selection!$E:$F,2,false)),IFERROR(VLOOKUP(SUBSTITUTE($I1087,"-","",1),$K1088:$Q1119,7,false),VLOOKUP($K1087,$K1088:$Q1119,7,false))))</f>
        <v/>
      </c>
      <c r="R1087" s="34" t="str">
        <f t="shared" si="2"/>
        <v/>
      </c>
      <c r="S1087" s="37" t="str">
        <f t="shared" si="3"/>
        <v/>
      </c>
      <c r="T1087" s="38" t="str">
        <f t="shared" si="4"/>
        <v/>
      </c>
      <c r="U1087" s="28" t="str">
        <f t="shared" si="5"/>
        <v/>
      </c>
      <c r="V1087" s="39" t="str">
        <f>IFERROR(__xludf.DUMMYFUNCTION(" IF(Account!$F1087&lt;&gt;"""", SPLIT(Account!$F1087, "" ""), """")"),"")</f>
        <v/>
      </c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</row>
    <row r="1088">
      <c r="A1088" s="341"/>
      <c r="B1088" s="341"/>
      <c r="C1088" s="341"/>
      <c r="D1088" s="341"/>
      <c r="E1088" s="341"/>
      <c r="F1088" s="373"/>
      <c r="G1088" s="341"/>
      <c r="H1088" s="341"/>
      <c r="I1088" s="341"/>
      <c r="J1088" s="341"/>
      <c r="K1088" s="341"/>
      <c r="L1088" s="26" t="str">
        <f t="shared" si="1"/>
        <v/>
      </c>
      <c r="M1088" s="28" t="str">
        <f>IFERROR(__xludf.DUMMYFUNCTION("IF(Account!$F1088&lt;&gt;"""", VALUE(REGEXREPLACE($I1088, ""\,"", ""."")), """")"),"")</f>
        <v/>
      </c>
      <c r="N1088" s="31" t="str">
        <f>IF(Account!$F1088&lt;&gt;"", DATEVALUE(MID($A1088,4,3) &amp; LEFT($A1088,3) &amp; RIGHT($A1088,4)) + TIMEVALUE($B1088), "")</f>
        <v/>
      </c>
      <c r="O1088" s="33" t="str">
        <f>IF(Account!$F1088&lt;&gt;"", DATEVALUE(MID($A1088,4,3) &amp; LEFT($A1088,3) &amp; RIGHT($A1088,4)), "")</f>
        <v/>
      </c>
      <c r="P1088" s="34" t="str">
        <f>IFERROR(VLOOKUP($Q1088,Selection!$F:$G,2,false))</f>
        <v/>
      </c>
      <c r="Q1088" s="36" t="str">
        <f>IF(AND($X1088="change",$H1088="EUR"),IF(AND($Z1088="Crédit",$N1088=$N1089),$Q1089,IF(AND($Z1088="Débit",$N1088=$N1087),$Q1087)),IF(OR(AND(OR($E1088&lt;&gt;"",$L1088=""),$M1088&lt;&gt;0),$A1088=""),IFERROR(VLOOKUP($E1088,Selection!$E:$F,2,false)),IFERROR(VLOOKUP(SUBSTITUTE($I1088,"-","",1),$K1089:$Q1119,7,false),VLOOKUP($K1088,$K1089:$Q1119,7,false))))</f>
        <v/>
      </c>
      <c r="R1088" s="34" t="str">
        <f t="shared" si="2"/>
        <v/>
      </c>
      <c r="S1088" s="37" t="str">
        <f t="shared" si="3"/>
        <v/>
      </c>
      <c r="T1088" s="38" t="str">
        <f t="shared" si="4"/>
        <v/>
      </c>
      <c r="U1088" s="28" t="str">
        <f t="shared" si="5"/>
        <v/>
      </c>
      <c r="V1088" s="39" t="str">
        <f>IFERROR(__xludf.DUMMYFUNCTION(" IF(Account!$F1088&lt;&gt;"""", SPLIT(Account!$F1088, "" ""), """")"),"")</f>
        <v/>
      </c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</row>
    <row r="1089">
      <c r="A1089" s="341"/>
      <c r="B1089" s="341"/>
      <c r="C1089" s="341"/>
      <c r="D1089" s="341"/>
      <c r="E1089" s="341"/>
      <c r="F1089" s="373"/>
      <c r="G1089" s="341"/>
      <c r="H1089" s="341"/>
      <c r="I1089" s="341"/>
      <c r="J1089" s="341"/>
      <c r="K1089" s="341"/>
      <c r="L1089" s="26" t="str">
        <f t="shared" si="1"/>
        <v/>
      </c>
      <c r="M1089" s="28" t="str">
        <f>IFERROR(__xludf.DUMMYFUNCTION("IF(Account!$F1089&lt;&gt;"""", VALUE(REGEXREPLACE($I1089, ""\,"", ""."")), """")"),"")</f>
        <v/>
      </c>
      <c r="N1089" s="31" t="str">
        <f>IF(Account!$F1089&lt;&gt;"", DATEVALUE(MID($A1089,4,3) &amp; LEFT($A1089,3) &amp; RIGHT($A1089,4)) + TIMEVALUE($B1089), "")</f>
        <v/>
      </c>
      <c r="O1089" s="33" t="str">
        <f>IF(Account!$F1089&lt;&gt;"", DATEVALUE(MID($A1089,4,3) &amp; LEFT($A1089,3) &amp; RIGHT($A1089,4)), "")</f>
        <v/>
      </c>
      <c r="P1089" s="34" t="str">
        <f>IFERROR(VLOOKUP($Q1089,Selection!$F:$G,2,false))</f>
        <v/>
      </c>
      <c r="Q1089" s="36" t="str">
        <f>IF(AND($X1089="change",$H1089="EUR"),IF(AND($Z1089="Crédit",$N1089=$N1090),$Q1090,IF(AND($Z1089="Débit",$N1089=$N1088),$Q1088)),IF(OR(AND(OR($E1089&lt;&gt;"",$L1089=""),$M1089&lt;&gt;0),$A1089=""),IFERROR(VLOOKUP($E1089,Selection!$E:$F,2,false)),IFERROR(VLOOKUP(SUBSTITUTE($I1089,"-","",1),$K1090:$Q1119,7,false),VLOOKUP($K1089,$K1090:$Q1119,7,false))))</f>
        <v/>
      </c>
      <c r="R1089" s="34" t="str">
        <f t="shared" si="2"/>
        <v/>
      </c>
      <c r="S1089" s="37" t="str">
        <f t="shared" si="3"/>
        <v/>
      </c>
      <c r="T1089" s="38" t="str">
        <f t="shared" si="4"/>
        <v/>
      </c>
      <c r="U1089" s="28" t="str">
        <f t="shared" si="5"/>
        <v/>
      </c>
      <c r="V1089" s="39" t="str">
        <f>IFERROR(__xludf.DUMMYFUNCTION(" IF(Account!$F1089&lt;&gt;"""", SPLIT(Account!$F1089, "" ""), """")"),"")</f>
        <v/>
      </c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</row>
    <row r="1090">
      <c r="A1090" s="341"/>
      <c r="B1090" s="341"/>
      <c r="C1090" s="341"/>
      <c r="D1090" s="341"/>
      <c r="E1090" s="341"/>
      <c r="F1090" s="373"/>
      <c r="G1090" s="341"/>
      <c r="H1090" s="341"/>
      <c r="I1090" s="341"/>
      <c r="J1090" s="341"/>
      <c r="K1090" s="341"/>
      <c r="L1090" s="26" t="str">
        <f t="shared" si="1"/>
        <v/>
      </c>
      <c r="M1090" s="28" t="str">
        <f>IFERROR(__xludf.DUMMYFUNCTION("IF(Account!$F1090&lt;&gt;"""", VALUE(REGEXREPLACE($I1090, ""\,"", ""."")), """")"),"")</f>
        <v/>
      </c>
      <c r="N1090" s="31" t="str">
        <f>IF(Account!$F1090&lt;&gt;"", DATEVALUE(MID($A1090,4,3) &amp; LEFT($A1090,3) &amp; RIGHT($A1090,4)) + TIMEVALUE($B1090), "")</f>
        <v/>
      </c>
      <c r="O1090" s="33" t="str">
        <f>IF(Account!$F1090&lt;&gt;"", DATEVALUE(MID($A1090,4,3) &amp; LEFT($A1090,3) &amp; RIGHT($A1090,4)), "")</f>
        <v/>
      </c>
      <c r="P1090" s="34" t="str">
        <f>IFERROR(VLOOKUP($Q1090,Selection!$F:$G,2,false))</f>
        <v/>
      </c>
      <c r="Q1090" s="36" t="str">
        <f>IF(AND($X1090="change",$H1090="EUR"),IF(AND($Z1090="Crédit",$N1090=$N1091),$Q1091,IF(AND($Z1090="Débit",$N1090=$N1089),$Q1089)),IF(OR(AND(OR($E1090&lt;&gt;"",$L1090=""),$M1090&lt;&gt;0),$A1090=""),IFERROR(VLOOKUP($E1090,Selection!$E:$F,2,false)),IFERROR(VLOOKUP(SUBSTITUTE($I1090,"-","",1),$K1091:$Q1119,7,false),VLOOKUP($K1090,$K1091:$Q1119,7,false))))</f>
        <v/>
      </c>
      <c r="R1090" s="34" t="str">
        <f t="shared" si="2"/>
        <v/>
      </c>
      <c r="S1090" s="37" t="str">
        <f t="shared" si="3"/>
        <v/>
      </c>
      <c r="T1090" s="38" t="str">
        <f t="shared" si="4"/>
        <v/>
      </c>
      <c r="U1090" s="28" t="str">
        <f t="shared" si="5"/>
        <v/>
      </c>
      <c r="V1090" s="39" t="str">
        <f>IFERROR(__xludf.DUMMYFUNCTION(" IF(Account!$F1090&lt;&gt;"""", SPLIT(Account!$F1090, "" ""), """")"),"")</f>
        <v/>
      </c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</row>
    <row r="1091">
      <c r="A1091" s="341"/>
      <c r="B1091" s="341"/>
      <c r="C1091" s="341"/>
      <c r="D1091" s="341"/>
      <c r="E1091" s="341"/>
      <c r="F1091" s="373"/>
      <c r="G1091" s="341"/>
      <c r="H1091" s="341"/>
      <c r="I1091" s="341"/>
      <c r="J1091" s="341"/>
      <c r="K1091" s="341"/>
      <c r="L1091" s="26" t="str">
        <f t="shared" si="1"/>
        <v/>
      </c>
      <c r="M1091" s="28" t="str">
        <f>IFERROR(__xludf.DUMMYFUNCTION("IF(Account!$F1091&lt;&gt;"""", VALUE(REGEXREPLACE($I1091, ""\,"", ""."")), """")"),"")</f>
        <v/>
      </c>
      <c r="N1091" s="31" t="str">
        <f>IF(Account!$F1091&lt;&gt;"", DATEVALUE(MID($A1091,4,3) &amp; LEFT($A1091,3) &amp; RIGHT($A1091,4)) + TIMEVALUE($B1091), "")</f>
        <v/>
      </c>
      <c r="O1091" s="33" t="str">
        <f>IF(Account!$F1091&lt;&gt;"", DATEVALUE(MID($A1091,4,3) &amp; LEFT($A1091,3) &amp; RIGHT($A1091,4)), "")</f>
        <v/>
      </c>
      <c r="P1091" s="34" t="str">
        <f>IFERROR(VLOOKUP($Q1091,Selection!$F:$G,2,false))</f>
        <v/>
      </c>
      <c r="Q1091" s="36" t="str">
        <f>IF(AND($X1091="change",$H1091="EUR"),IF(AND($Z1091="Crédit",$N1091=$N1092),$Q1092,IF(AND($Z1091="Débit",$N1091=$N1090),$Q1090)),IF(OR(AND(OR($E1091&lt;&gt;"",$L1091=""),$M1091&lt;&gt;0),$A1091=""),IFERROR(VLOOKUP($E1091,Selection!$E:$F,2,false)),IFERROR(VLOOKUP(SUBSTITUTE($I1091,"-","",1),$K1092:$Q1119,7,false),VLOOKUP($K1091,$K1092:$Q1119,7,false))))</f>
        <v/>
      </c>
      <c r="R1091" s="34" t="str">
        <f t="shared" si="2"/>
        <v/>
      </c>
      <c r="S1091" s="37" t="str">
        <f t="shared" si="3"/>
        <v/>
      </c>
      <c r="T1091" s="38" t="str">
        <f t="shared" si="4"/>
        <v/>
      </c>
      <c r="U1091" s="28" t="str">
        <f t="shared" si="5"/>
        <v/>
      </c>
      <c r="V1091" s="39" t="str">
        <f>IFERROR(__xludf.DUMMYFUNCTION(" IF(Account!$F1091&lt;&gt;"""", SPLIT(Account!$F1091, "" ""), """")"),"")</f>
        <v/>
      </c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</row>
    <row r="1092">
      <c r="A1092" s="341"/>
      <c r="B1092" s="341"/>
      <c r="C1092" s="341"/>
      <c r="D1092" s="341"/>
      <c r="E1092" s="341"/>
      <c r="F1092" s="373"/>
      <c r="G1092" s="341"/>
      <c r="H1092" s="341"/>
      <c r="I1092" s="341"/>
      <c r="J1092" s="341"/>
      <c r="K1092" s="341"/>
      <c r="L1092" s="26" t="str">
        <f t="shared" si="1"/>
        <v/>
      </c>
      <c r="M1092" s="28" t="str">
        <f>IFERROR(__xludf.DUMMYFUNCTION("IF(Account!$F1092&lt;&gt;"""", VALUE(REGEXREPLACE($I1092, ""\,"", ""."")), """")"),"")</f>
        <v/>
      </c>
      <c r="N1092" s="31" t="str">
        <f>IF(Account!$F1092&lt;&gt;"", DATEVALUE(MID($A1092,4,3) &amp; LEFT($A1092,3) &amp; RIGHT($A1092,4)) + TIMEVALUE($B1092), "")</f>
        <v/>
      </c>
      <c r="O1092" s="33" t="str">
        <f>IF(Account!$F1092&lt;&gt;"", DATEVALUE(MID($A1092,4,3) &amp; LEFT($A1092,3) &amp; RIGHT($A1092,4)), "")</f>
        <v/>
      </c>
      <c r="P1092" s="34" t="str">
        <f>IFERROR(VLOOKUP($Q1092,Selection!$F:$G,2,false))</f>
        <v/>
      </c>
      <c r="Q1092" s="36" t="str">
        <f>IF(AND($X1092="change",$H1092="EUR"),IF(AND($Z1092="Crédit",$N1092=$N1093),$Q1093,IF(AND($Z1092="Débit",$N1092=$N1091),$Q1091)),IF(OR(AND(OR($E1092&lt;&gt;"",$L1092=""),$M1092&lt;&gt;0),$A1092=""),IFERROR(VLOOKUP($E1092,Selection!$E:$F,2,false)),IFERROR(VLOOKUP(SUBSTITUTE($I1092,"-","",1),$K1093:$Q1119,7,false),VLOOKUP($K1092,$K1093:$Q1119,7,false))))</f>
        <v/>
      </c>
      <c r="R1092" s="34" t="str">
        <f t="shared" si="2"/>
        <v/>
      </c>
      <c r="S1092" s="37" t="str">
        <f t="shared" si="3"/>
        <v/>
      </c>
      <c r="T1092" s="38" t="str">
        <f t="shared" si="4"/>
        <v/>
      </c>
      <c r="U1092" s="28" t="str">
        <f t="shared" si="5"/>
        <v/>
      </c>
      <c r="V1092" s="39" t="str">
        <f>IFERROR(__xludf.DUMMYFUNCTION(" IF(Account!$F1092&lt;&gt;"""", SPLIT(Account!$F1092, "" ""), """")"),"")</f>
        <v/>
      </c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</row>
    <row r="1093">
      <c r="A1093" s="341"/>
      <c r="B1093" s="341"/>
      <c r="C1093" s="341"/>
      <c r="D1093" s="341"/>
      <c r="E1093" s="341"/>
      <c r="F1093" s="373"/>
      <c r="G1093" s="341"/>
      <c r="H1093" s="341"/>
      <c r="I1093" s="341"/>
      <c r="J1093" s="341"/>
      <c r="K1093" s="341"/>
      <c r="L1093" s="26" t="str">
        <f t="shared" si="1"/>
        <v/>
      </c>
      <c r="M1093" s="28" t="str">
        <f>IFERROR(__xludf.DUMMYFUNCTION("IF(Account!$F1093&lt;&gt;"""", VALUE(REGEXREPLACE($I1093, ""\,"", ""."")), """")"),"")</f>
        <v/>
      </c>
      <c r="N1093" s="31" t="str">
        <f>IF(Account!$F1093&lt;&gt;"", DATEVALUE(MID($A1093,4,3) &amp; LEFT($A1093,3) &amp; RIGHT($A1093,4)) + TIMEVALUE($B1093), "")</f>
        <v/>
      </c>
      <c r="O1093" s="33" t="str">
        <f>IF(Account!$F1093&lt;&gt;"", DATEVALUE(MID($A1093,4,3) &amp; LEFT($A1093,3) &amp; RIGHT($A1093,4)), "")</f>
        <v/>
      </c>
      <c r="P1093" s="34" t="str">
        <f>IFERROR(VLOOKUP($Q1093,Selection!$F:$G,2,false))</f>
        <v/>
      </c>
      <c r="Q1093" s="36" t="str">
        <f>IF(AND($X1093="change",$H1093="EUR"),IF(AND($Z1093="Crédit",$N1093=$N1094),$Q1094,IF(AND($Z1093="Débit",$N1093=$N1092),$Q1092)),IF(OR(AND(OR($E1093&lt;&gt;"",$L1093=""),$M1093&lt;&gt;0),$A1093=""),IFERROR(VLOOKUP($E1093,Selection!$E:$F,2,false)),IFERROR(VLOOKUP(SUBSTITUTE($I1093,"-","",1),$K1094:$Q1119,7,false),VLOOKUP($K1093,$K1094:$Q1119,7,false))))</f>
        <v/>
      </c>
      <c r="R1093" s="34" t="str">
        <f t="shared" si="2"/>
        <v/>
      </c>
      <c r="S1093" s="37" t="str">
        <f t="shared" si="3"/>
        <v/>
      </c>
      <c r="T1093" s="38" t="str">
        <f t="shared" si="4"/>
        <v/>
      </c>
      <c r="U1093" s="28" t="str">
        <f t="shared" si="5"/>
        <v/>
      </c>
      <c r="V1093" s="39" t="str">
        <f>IFERROR(__xludf.DUMMYFUNCTION(" IF(Account!$F1093&lt;&gt;"""", SPLIT(Account!$F1093, "" ""), """")"),"")</f>
        <v/>
      </c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</row>
    <row r="1094">
      <c r="A1094" s="341"/>
      <c r="B1094" s="341"/>
      <c r="C1094" s="341"/>
      <c r="D1094" s="341"/>
      <c r="E1094" s="341"/>
      <c r="F1094" s="373"/>
      <c r="G1094" s="341"/>
      <c r="H1094" s="341"/>
      <c r="I1094" s="341"/>
      <c r="J1094" s="341"/>
      <c r="K1094" s="341"/>
      <c r="L1094" s="26" t="str">
        <f t="shared" si="1"/>
        <v/>
      </c>
      <c r="M1094" s="28" t="str">
        <f>IFERROR(__xludf.DUMMYFUNCTION("IF(Account!$F1094&lt;&gt;"""", VALUE(REGEXREPLACE($I1094, ""\,"", ""."")), """")"),"")</f>
        <v/>
      </c>
      <c r="N1094" s="31" t="str">
        <f>IF(Account!$F1094&lt;&gt;"", DATEVALUE(MID($A1094,4,3) &amp; LEFT($A1094,3) &amp; RIGHT($A1094,4)) + TIMEVALUE($B1094), "")</f>
        <v/>
      </c>
      <c r="O1094" s="33" t="str">
        <f>IF(Account!$F1094&lt;&gt;"", DATEVALUE(MID($A1094,4,3) &amp; LEFT($A1094,3) &amp; RIGHT($A1094,4)), "")</f>
        <v/>
      </c>
      <c r="P1094" s="34" t="str">
        <f>IFERROR(VLOOKUP($Q1094,Selection!$F:$G,2,false))</f>
        <v/>
      </c>
      <c r="Q1094" s="36" t="str">
        <f>IF(AND($X1094="change",$H1094="EUR"),IF(AND($Z1094="Crédit",$N1094=$N1095),$Q1095,IF(AND($Z1094="Débit",$N1094=$N1093),$Q1093)),IF(OR(AND(OR($E1094&lt;&gt;"",$L1094=""),$M1094&lt;&gt;0),$A1094=""),IFERROR(VLOOKUP($E1094,Selection!$E:$F,2,false)),IFERROR(VLOOKUP(SUBSTITUTE($I1094,"-","",1),$K1095:$Q1119,7,false),VLOOKUP($K1094,$K1095:$Q1119,7,false))))</f>
        <v/>
      </c>
      <c r="R1094" s="34" t="str">
        <f t="shared" si="2"/>
        <v/>
      </c>
      <c r="S1094" s="37" t="str">
        <f t="shared" si="3"/>
        <v/>
      </c>
      <c r="T1094" s="38" t="str">
        <f t="shared" si="4"/>
        <v/>
      </c>
      <c r="U1094" s="28" t="str">
        <f t="shared" si="5"/>
        <v/>
      </c>
      <c r="V1094" s="39" t="str">
        <f>IFERROR(__xludf.DUMMYFUNCTION(" IF(Account!$F1094&lt;&gt;"""", SPLIT(Account!$F1094, "" ""), """")"),"")</f>
        <v/>
      </c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</row>
    <row r="1095">
      <c r="A1095" s="341"/>
      <c r="B1095" s="341"/>
      <c r="C1095" s="341"/>
      <c r="D1095" s="341"/>
      <c r="E1095" s="341"/>
      <c r="F1095" s="373"/>
      <c r="G1095" s="341"/>
      <c r="H1095" s="341"/>
      <c r="I1095" s="341"/>
      <c r="J1095" s="341"/>
      <c r="K1095" s="341"/>
      <c r="L1095" s="26" t="str">
        <f t="shared" si="1"/>
        <v/>
      </c>
      <c r="M1095" s="28" t="str">
        <f>IFERROR(__xludf.DUMMYFUNCTION("IF(Account!$F1095&lt;&gt;"""", VALUE(REGEXREPLACE($I1095, ""\,"", ""."")), """")"),"")</f>
        <v/>
      </c>
      <c r="N1095" s="31" t="str">
        <f>IF(Account!$F1095&lt;&gt;"", DATEVALUE(MID($A1095,4,3) &amp; LEFT($A1095,3) &amp; RIGHT($A1095,4)) + TIMEVALUE($B1095), "")</f>
        <v/>
      </c>
      <c r="O1095" s="33" t="str">
        <f>IF(Account!$F1095&lt;&gt;"", DATEVALUE(MID($A1095,4,3) &amp; LEFT($A1095,3) &amp; RIGHT($A1095,4)), "")</f>
        <v/>
      </c>
      <c r="P1095" s="34" t="str">
        <f>IFERROR(VLOOKUP($Q1095,Selection!$F:$G,2,false))</f>
        <v/>
      </c>
      <c r="Q1095" s="36" t="str">
        <f>IF(AND($X1095="change",$H1095="EUR"),IF(AND($Z1095="Crédit",$N1095=$N1096),$Q1096,IF(AND($Z1095="Débit",$N1095=$N1094),$Q1094)),IF(OR(AND(OR($E1095&lt;&gt;"",$L1095=""),$M1095&lt;&gt;0),$A1095=""),IFERROR(VLOOKUP($E1095,Selection!$E:$F,2,false)),IFERROR(VLOOKUP(SUBSTITUTE($I1095,"-","",1),$K1096:$Q1119,7,false),VLOOKUP($K1095,$K1096:$Q1119,7,false))))</f>
        <v/>
      </c>
      <c r="R1095" s="34" t="str">
        <f t="shared" si="2"/>
        <v/>
      </c>
      <c r="S1095" s="37" t="str">
        <f t="shared" si="3"/>
        <v/>
      </c>
      <c r="T1095" s="38" t="str">
        <f t="shared" si="4"/>
        <v/>
      </c>
      <c r="U1095" s="28" t="str">
        <f t="shared" si="5"/>
        <v/>
      </c>
      <c r="V1095" s="39" t="str">
        <f>IFERROR(__xludf.DUMMYFUNCTION(" IF(Account!$F1095&lt;&gt;"""", SPLIT(Account!$F1095, "" ""), """")"),"")</f>
        <v/>
      </c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</row>
    <row r="1096">
      <c r="A1096" s="341"/>
      <c r="B1096" s="341"/>
      <c r="C1096" s="341"/>
      <c r="D1096" s="341"/>
      <c r="E1096" s="341"/>
      <c r="F1096" s="373"/>
      <c r="G1096" s="341"/>
      <c r="H1096" s="341"/>
      <c r="I1096" s="341"/>
      <c r="J1096" s="341"/>
      <c r="K1096" s="341"/>
      <c r="L1096" s="26" t="str">
        <f t="shared" si="1"/>
        <v/>
      </c>
      <c r="M1096" s="28" t="str">
        <f>IFERROR(__xludf.DUMMYFUNCTION("IF(Account!$F1096&lt;&gt;"""", VALUE(REGEXREPLACE($I1096, ""\,"", ""."")), """")"),"")</f>
        <v/>
      </c>
      <c r="N1096" s="31" t="str">
        <f>IF(Account!$F1096&lt;&gt;"", DATEVALUE(MID($A1096,4,3) &amp; LEFT($A1096,3) &amp; RIGHT($A1096,4)) + TIMEVALUE($B1096), "")</f>
        <v/>
      </c>
      <c r="O1096" s="33" t="str">
        <f>IF(Account!$F1096&lt;&gt;"", DATEVALUE(MID($A1096,4,3) &amp; LEFT($A1096,3) &amp; RIGHT($A1096,4)), "")</f>
        <v/>
      </c>
      <c r="P1096" s="34" t="str">
        <f>IFERROR(VLOOKUP($Q1096,Selection!$F:$G,2,false))</f>
        <v/>
      </c>
      <c r="Q1096" s="36" t="str">
        <f>IF(AND($X1096="change",$H1096="EUR"),IF(AND($Z1096="Crédit",$N1096=$N1097),$Q1097,IF(AND($Z1096="Débit",$N1096=$N1095),$Q1095)),IF(OR(AND(OR($E1096&lt;&gt;"",$L1096=""),$M1096&lt;&gt;0),$A1096=""),IFERROR(VLOOKUP($E1096,Selection!$E:$F,2,false)),IFERROR(VLOOKUP(SUBSTITUTE($I1096,"-","",1),$K1097:$Q1119,7,false),VLOOKUP($K1096,$K1097:$Q1119,7,false))))</f>
        <v/>
      </c>
      <c r="R1096" s="34" t="str">
        <f t="shared" si="2"/>
        <v/>
      </c>
      <c r="S1096" s="37" t="str">
        <f t="shared" si="3"/>
        <v/>
      </c>
      <c r="T1096" s="38" t="str">
        <f t="shared" si="4"/>
        <v/>
      </c>
      <c r="U1096" s="28" t="str">
        <f t="shared" si="5"/>
        <v/>
      </c>
      <c r="V1096" s="39" t="str">
        <f>IFERROR(__xludf.DUMMYFUNCTION(" IF(Account!$F1096&lt;&gt;"""", SPLIT(Account!$F1096, "" ""), """")"),"")</f>
        <v/>
      </c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</row>
    <row r="1097">
      <c r="A1097" s="341"/>
      <c r="B1097" s="341"/>
      <c r="C1097" s="341"/>
      <c r="D1097" s="341"/>
      <c r="E1097" s="341"/>
      <c r="F1097" s="373"/>
      <c r="G1097" s="341"/>
      <c r="H1097" s="341"/>
      <c r="I1097" s="341"/>
      <c r="J1097" s="341"/>
      <c r="K1097" s="341"/>
      <c r="L1097" s="26" t="str">
        <f t="shared" si="1"/>
        <v/>
      </c>
      <c r="M1097" s="28" t="str">
        <f>IFERROR(__xludf.DUMMYFUNCTION("IF(Account!$F1097&lt;&gt;"""", VALUE(REGEXREPLACE($I1097, ""\,"", ""."")), """")"),"")</f>
        <v/>
      </c>
      <c r="N1097" s="31" t="str">
        <f>IF(Account!$F1097&lt;&gt;"", DATEVALUE(MID($A1097,4,3) &amp; LEFT($A1097,3) &amp; RIGHT($A1097,4)) + TIMEVALUE($B1097), "")</f>
        <v/>
      </c>
      <c r="O1097" s="33" t="str">
        <f>IF(Account!$F1097&lt;&gt;"", DATEVALUE(MID($A1097,4,3) &amp; LEFT($A1097,3) &amp; RIGHT($A1097,4)), "")</f>
        <v/>
      </c>
      <c r="P1097" s="34" t="str">
        <f>IFERROR(VLOOKUP($Q1097,Selection!$F:$G,2,false))</f>
        <v/>
      </c>
      <c r="Q1097" s="36" t="str">
        <f>IF(AND($X1097="change",$H1097="EUR"),IF(AND($Z1097="Crédit",$N1097=$N1098),$Q1098,IF(AND($Z1097="Débit",$N1097=$N1096),$Q1096)),IF(OR(AND(OR($E1097&lt;&gt;"",$L1097=""),$M1097&lt;&gt;0),$A1097=""),IFERROR(VLOOKUP($E1097,Selection!$E:$F,2,false)),IFERROR(VLOOKUP(SUBSTITUTE($I1097,"-","",1),$K1098:$Q1119,7,false),VLOOKUP($K1097,$K1098:$Q1119,7,false))))</f>
        <v/>
      </c>
      <c r="R1097" s="34" t="str">
        <f t="shared" si="2"/>
        <v/>
      </c>
      <c r="S1097" s="37" t="str">
        <f t="shared" si="3"/>
        <v/>
      </c>
      <c r="T1097" s="38" t="str">
        <f t="shared" si="4"/>
        <v/>
      </c>
      <c r="U1097" s="28" t="str">
        <f t="shared" si="5"/>
        <v/>
      </c>
      <c r="V1097" s="39" t="str">
        <f>IFERROR(__xludf.DUMMYFUNCTION(" IF(Account!$F1097&lt;&gt;"""", SPLIT(Account!$F1097, "" ""), """")"),"")</f>
        <v/>
      </c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</row>
    <row r="1098">
      <c r="A1098" s="341"/>
      <c r="B1098" s="341"/>
      <c r="C1098" s="341"/>
      <c r="D1098" s="341"/>
      <c r="E1098" s="341"/>
      <c r="F1098" s="373"/>
      <c r="G1098" s="341"/>
      <c r="H1098" s="341"/>
      <c r="I1098" s="341"/>
      <c r="J1098" s="341"/>
      <c r="K1098" s="341"/>
      <c r="L1098" s="26" t="str">
        <f t="shared" si="1"/>
        <v/>
      </c>
      <c r="M1098" s="28" t="str">
        <f>IFERROR(__xludf.DUMMYFUNCTION("IF(Account!$F1098&lt;&gt;"""", VALUE(REGEXREPLACE($I1098, ""\,"", ""."")), """")"),"")</f>
        <v/>
      </c>
      <c r="N1098" s="31" t="str">
        <f>IF(Account!$F1098&lt;&gt;"", DATEVALUE(MID($A1098,4,3) &amp; LEFT($A1098,3) &amp; RIGHT($A1098,4)) + TIMEVALUE($B1098), "")</f>
        <v/>
      </c>
      <c r="O1098" s="33" t="str">
        <f>IF(Account!$F1098&lt;&gt;"", DATEVALUE(MID($A1098,4,3) &amp; LEFT($A1098,3) &amp; RIGHT($A1098,4)), "")</f>
        <v/>
      </c>
      <c r="P1098" s="34" t="str">
        <f>IFERROR(VLOOKUP($Q1098,Selection!$F:$G,2,false))</f>
        <v/>
      </c>
      <c r="Q1098" s="36" t="str">
        <f>IF(AND($X1098="change",$H1098="EUR"),IF(AND($Z1098="Crédit",$N1098=$N1099),$Q1099,IF(AND($Z1098="Débit",$N1098=$N1097),$Q1097)),IF(OR(AND(OR($E1098&lt;&gt;"",$L1098=""),$M1098&lt;&gt;0),$A1098=""),IFERROR(VLOOKUP($E1098,Selection!$E:$F,2,false)),IFERROR(VLOOKUP(SUBSTITUTE($I1098,"-","",1),$K1099:$Q1119,7,false),VLOOKUP($K1098,$K1099:$Q1119,7,false))))</f>
        <v/>
      </c>
      <c r="R1098" s="34" t="str">
        <f t="shared" si="2"/>
        <v/>
      </c>
      <c r="S1098" s="37" t="str">
        <f t="shared" si="3"/>
        <v/>
      </c>
      <c r="T1098" s="38" t="str">
        <f t="shared" si="4"/>
        <v/>
      </c>
      <c r="U1098" s="28" t="str">
        <f t="shared" si="5"/>
        <v/>
      </c>
      <c r="V1098" s="39" t="str">
        <f>IFERROR(__xludf.DUMMYFUNCTION(" IF(Account!$F1098&lt;&gt;"""", SPLIT(Account!$F1098, "" ""), """")"),"")</f>
        <v/>
      </c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</row>
    <row r="1099">
      <c r="A1099" s="341"/>
      <c r="B1099" s="341"/>
      <c r="C1099" s="341"/>
      <c r="D1099" s="341"/>
      <c r="E1099" s="341"/>
      <c r="F1099" s="373"/>
      <c r="G1099" s="341"/>
      <c r="H1099" s="341"/>
      <c r="I1099" s="341"/>
      <c r="J1099" s="341"/>
      <c r="K1099" s="341"/>
      <c r="L1099" s="26" t="str">
        <f t="shared" si="1"/>
        <v/>
      </c>
      <c r="M1099" s="28" t="str">
        <f>IFERROR(__xludf.DUMMYFUNCTION("IF(Account!$F1099&lt;&gt;"""", VALUE(REGEXREPLACE($I1099, ""\,"", ""."")), """")"),"")</f>
        <v/>
      </c>
      <c r="N1099" s="31" t="str">
        <f>IF(Account!$F1099&lt;&gt;"", DATEVALUE(MID($A1099,4,3) &amp; LEFT($A1099,3) &amp; RIGHT($A1099,4)) + TIMEVALUE($B1099), "")</f>
        <v/>
      </c>
      <c r="O1099" s="33" t="str">
        <f>IF(Account!$F1099&lt;&gt;"", DATEVALUE(MID($A1099,4,3) &amp; LEFT($A1099,3) &amp; RIGHT($A1099,4)), "")</f>
        <v/>
      </c>
      <c r="P1099" s="34" t="str">
        <f>IFERROR(VLOOKUP($Q1099,Selection!$F:$G,2,false))</f>
        <v/>
      </c>
      <c r="Q1099" s="36" t="str">
        <f>IF(AND($X1099="change",$H1099="EUR"),IF(AND($Z1099="Crédit",$N1099=$N1100),$Q1100,IF(AND($Z1099="Débit",$N1099=$N1098),$Q1098)),IF(OR(AND(OR($E1099&lt;&gt;"",$L1099=""),$M1099&lt;&gt;0),$A1099=""),IFERROR(VLOOKUP($E1099,Selection!$E:$F,2,false)),IFERROR(VLOOKUP(SUBSTITUTE($I1099,"-","",1),$K1100:$Q1119,7,false),VLOOKUP($K1099,$K1100:$Q1119,7,false))))</f>
        <v/>
      </c>
      <c r="R1099" s="34" t="str">
        <f t="shared" si="2"/>
        <v/>
      </c>
      <c r="S1099" s="37" t="str">
        <f t="shared" si="3"/>
        <v/>
      </c>
      <c r="T1099" s="38" t="str">
        <f t="shared" si="4"/>
        <v/>
      </c>
      <c r="U1099" s="28" t="str">
        <f t="shared" si="5"/>
        <v/>
      </c>
      <c r="V1099" s="39" t="str">
        <f>IFERROR(__xludf.DUMMYFUNCTION(" IF(Account!$F1099&lt;&gt;"""", SPLIT(Account!$F1099, "" ""), """")"),"")</f>
        <v/>
      </c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</row>
    <row r="1100">
      <c r="A1100" s="341"/>
      <c r="B1100" s="341"/>
      <c r="C1100" s="341"/>
      <c r="D1100" s="341"/>
      <c r="E1100" s="341"/>
      <c r="F1100" s="373"/>
      <c r="G1100" s="341"/>
      <c r="H1100" s="341"/>
      <c r="I1100" s="341"/>
      <c r="J1100" s="341"/>
      <c r="K1100" s="341"/>
      <c r="L1100" s="26" t="str">
        <f t="shared" si="1"/>
        <v/>
      </c>
      <c r="M1100" s="28" t="str">
        <f>IFERROR(__xludf.DUMMYFUNCTION("IF(Account!$F1100&lt;&gt;"""", VALUE(REGEXREPLACE($I1100, ""\,"", ""."")), """")"),"")</f>
        <v/>
      </c>
      <c r="N1100" s="31" t="str">
        <f>IF(Account!$F1100&lt;&gt;"", DATEVALUE(MID($A1100,4,3) &amp; LEFT($A1100,3) &amp; RIGHT($A1100,4)) + TIMEVALUE($B1100), "")</f>
        <v/>
      </c>
      <c r="O1100" s="33" t="str">
        <f>IF(Account!$F1100&lt;&gt;"", DATEVALUE(MID($A1100,4,3) &amp; LEFT($A1100,3) &amp; RIGHT($A1100,4)), "")</f>
        <v/>
      </c>
      <c r="P1100" s="34" t="str">
        <f>IFERROR(VLOOKUP($Q1100,Selection!$F:$G,2,false))</f>
        <v/>
      </c>
      <c r="Q1100" s="36" t="str">
        <f>IF(AND($X1100="change",$H1100="EUR"),IF(AND($Z1100="Crédit",$N1100=$N1101),$Q1101,IF(AND($Z1100="Débit",$N1100=$N1099),$Q1099)),IF(OR(AND(OR($E1100&lt;&gt;"",$L1100=""),$M1100&lt;&gt;0),$A1100=""),IFERROR(VLOOKUP($E1100,Selection!$E:$F,2,false)),IFERROR(VLOOKUP(SUBSTITUTE($I1100,"-","",1),$K1101:$Q1119,7,false),VLOOKUP($K1100,$K1101:$Q1119,7,false))))</f>
        <v/>
      </c>
      <c r="R1100" s="34" t="str">
        <f t="shared" si="2"/>
        <v/>
      </c>
      <c r="S1100" s="37" t="str">
        <f t="shared" si="3"/>
        <v/>
      </c>
      <c r="T1100" s="38" t="str">
        <f t="shared" si="4"/>
        <v/>
      </c>
      <c r="U1100" s="28" t="str">
        <f t="shared" si="5"/>
        <v/>
      </c>
      <c r="V1100" s="39" t="str">
        <f>IFERROR(__xludf.DUMMYFUNCTION(" IF(Account!$F1100&lt;&gt;"""", SPLIT(Account!$F1100, "" ""), """")"),"")</f>
        <v/>
      </c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</row>
    <row r="1101">
      <c r="A1101" s="341"/>
      <c r="B1101" s="341"/>
      <c r="C1101" s="341"/>
      <c r="D1101" s="341"/>
      <c r="E1101" s="341"/>
      <c r="F1101" s="373"/>
      <c r="G1101" s="341"/>
      <c r="H1101" s="341"/>
      <c r="I1101" s="341"/>
      <c r="J1101" s="341"/>
      <c r="K1101" s="341"/>
      <c r="L1101" s="26" t="str">
        <f t="shared" si="1"/>
        <v/>
      </c>
      <c r="M1101" s="28" t="str">
        <f>IFERROR(__xludf.DUMMYFUNCTION("IF(Account!$F1101&lt;&gt;"""", VALUE(REGEXREPLACE($I1101, ""\,"", ""."")), """")"),"")</f>
        <v/>
      </c>
      <c r="N1101" s="31" t="str">
        <f>IF(Account!$F1101&lt;&gt;"", DATEVALUE(MID($A1101,4,3) &amp; LEFT($A1101,3) &amp; RIGHT($A1101,4)) + TIMEVALUE($B1101), "")</f>
        <v/>
      </c>
      <c r="O1101" s="33" t="str">
        <f>IF(Account!$F1101&lt;&gt;"", DATEVALUE(MID($A1101,4,3) &amp; LEFT($A1101,3) &amp; RIGHT($A1101,4)), "")</f>
        <v/>
      </c>
      <c r="P1101" s="34" t="str">
        <f>IFERROR(VLOOKUP($Q1101,Selection!$F:$G,2,false))</f>
        <v/>
      </c>
      <c r="Q1101" s="36" t="str">
        <f>IF(AND($X1101="change",$H1101="EUR"),IF(AND($Z1101="Crédit",$N1101=$N1102),$Q1102,IF(AND($Z1101="Débit",$N1101=$N1100),$Q1100)),IF(OR(AND(OR($E1101&lt;&gt;"",$L1101=""),$M1101&lt;&gt;0),$A1101=""),IFERROR(VLOOKUP($E1101,Selection!$E:$F,2,false)),IFERROR(VLOOKUP(SUBSTITUTE($I1101,"-","",1),$K1102:$Q1119,7,false),VLOOKUP($K1101,$K1102:$Q1119,7,false))))</f>
        <v/>
      </c>
      <c r="R1101" s="34" t="str">
        <f t="shared" si="2"/>
        <v/>
      </c>
      <c r="S1101" s="37" t="str">
        <f t="shared" si="3"/>
        <v/>
      </c>
      <c r="T1101" s="38" t="str">
        <f t="shared" si="4"/>
        <v/>
      </c>
      <c r="U1101" s="28" t="str">
        <f t="shared" si="5"/>
        <v/>
      </c>
      <c r="V1101" s="39" t="str">
        <f>IFERROR(__xludf.DUMMYFUNCTION(" IF(Account!$F1101&lt;&gt;"""", SPLIT(Account!$F1101, "" ""), """")"),"")</f>
        <v/>
      </c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</row>
    <row r="1102">
      <c r="A1102" s="341"/>
      <c r="B1102" s="341"/>
      <c r="C1102" s="341"/>
      <c r="D1102" s="341"/>
      <c r="E1102" s="341"/>
      <c r="F1102" s="373"/>
      <c r="G1102" s="341"/>
      <c r="H1102" s="341"/>
      <c r="I1102" s="341"/>
      <c r="J1102" s="341"/>
      <c r="K1102" s="341"/>
      <c r="L1102" s="26" t="str">
        <f t="shared" si="1"/>
        <v/>
      </c>
      <c r="M1102" s="28" t="str">
        <f>IFERROR(__xludf.DUMMYFUNCTION("IF(Account!$F1102&lt;&gt;"""", VALUE(REGEXREPLACE($I1102, ""\,"", ""."")), """")"),"")</f>
        <v/>
      </c>
      <c r="N1102" s="31" t="str">
        <f>IF(Account!$F1102&lt;&gt;"", DATEVALUE(MID($A1102,4,3) &amp; LEFT($A1102,3) &amp; RIGHT($A1102,4)) + TIMEVALUE($B1102), "")</f>
        <v/>
      </c>
      <c r="O1102" s="33" t="str">
        <f>IF(Account!$F1102&lt;&gt;"", DATEVALUE(MID($A1102,4,3) &amp; LEFT($A1102,3) &amp; RIGHT($A1102,4)), "")</f>
        <v/>
      </c>
      <c r="P1102" s="34" t="str">
        <f>IFERROR(VLOOKUP($Q1102,Selection!$F:$G,2,false))</f>
        <v/>
      </c>
      <c r="Q1102" s="36" t="str">
        <f>IF(AND($X1102="change",$H1102="EUR"),IF(AND($Z1102="Crédit",$N1102=$N1103),$Q1103,IF(AND($Z1102="Débit",$N1102=$N1101),$Q1101)),IF(OR(AND(OR($E1102&lt;&gt;"",$L1102=""),$M1102&lt;&gt;0),$A1102=""),IFERROR(VLOOKUP($E1102,Selection!$E:$F,2,false)),IFERROR(VLOOKUP(SUBSTITUTE($I1102,"-","",1),$K1103:$Q1119,7,false),VLOOKUP($K1102,$K1103:$Q1119,7,false))))</f>
        <v/>
      </c>
      <c r="R1102" s="34" t="str">
        <f t="shared" si="2"/>
        <v/>
      </c>
      <c r="S1102" s="37" t="str">
        <f t="shared" si="3"/>
        <v/>
      </c>
      <c r="T1102" s="38" t="str">
        <f t="shared" si="4"/>
        <v/>
      </c>
      <c r="U1102" s="28" t="str">
        <f t="shared" si="5"/>
        <v/>
      </c>
      <c r="V1102" s="39" t="str">
        <f>IFERROR(__xludf.DUMMYFUNCTION(" IF(Account!$F1102&lt;&gt;"""", SPLIT(Account!$F1102, "" ""), """")"),"")</f>
        <v/>
      </c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</row>
    <row r="1103">
      <c r="A1103" s="341"/>
      <c r="B1103" s="341"/>
      <c r="C1103" s="341"/>
      <c r="D1103" s="341"/>
      <c r="E1103" s="341"/>
      <c r="F1103" s="373"/>
      <c r="G1103" s="341"/>
      <c r="H1103" s="341"/>
      <c r="I1103" s="341"/>
      <c r="J1103" s="341"/>
      <c r="K1103" s="341"/>
      <c r="L1103" s="26" t="str">
        <f t="shared" si="1"/>
        <v/>
      </c>
      <c r="M1103" s="28" t="str">
        <f>IFERROR(__xludf.DUMMYFUNCTION("IF(Account!$F1103&lt;&gt;"""", VALUE(REGEXREPLACE($I1103, ""\,"", ""."")), """")"),"")</f>
        <v/>
      </c>
      <c r="N1103" s="31" t="str">
        <f>IF(Account!$F1103&lt;&gt;"", DATEVALUE(MID($A1103,4,3) &amp; LEFT($A1103,3) &amp; RIGHT($A1103,4)) + TIMEVALUE($B1103), "")</f>
        <v/>
      </c>
      <c r="O1103" s="33" t="str">
        <f>IF(Account!$F1103&lt;&gt;"", DATEVALUE(MID($A1103,4,3) &amp; LEFT($A1103,3) &amp; RIGHT($A1103,4)), "")</f>
        <v/>
      </c>
      <c r="P1103" s="34" t="str">
        <f>IFERROR(VLOOKUP($Q1103,Selection!$F:$G,2,false))</f>
        <v/>
      </c>
      <c r="Q1103" s="36" t="str">
        <f>IF(AND($X1103="change",$H1103="EUR"),IF(AND($Z1103="Crédit",$N1103=$N1104),$Q1104,IF(AND($Z1103="Débit",$N1103=$N1102),$Q1102)),IF(OR(AND(OR($E1103&lt;&gt;"",$L1103=""),$M1103&lt;&gt;0),$A1103=""),IFERROR(VLOOKUP($E1103,Selection!$E:$F,2,false)),IFERROR(VLOOKUP(SUBSTITUTE($I1103,"-","",1),$K1104:$Q1119,7,false),VLOOKUP($K1103,$K1104:$Q1119,7,false))))</f>
        <v/>
      </c>
      <c r="R1103" s="34" t="str">
        <f t="shared" si="2"/>
        <v/>
      </c>
      <c r="S1103" s="37" t="str">
        <f t="shared" si="3"/>
        <v/>
      </c>
      <c r="T1103" s="38" t="str">
        <f t="shared" si="4"/>
        <v/>
      </c>
      <c r="U1103" s="28" t="str">
        <f t="shared" si="5"/>
        <v/>
      </c>
      <c r="V1103" s="39" t="str">
        <f>IFERROR(__xludf.DUMMYFUNCTION(" IF(Account!$F1103&lt;&gt;"""", SPLIT(Account!$F1103, "" ""), """")"),"")</f>
        <v/>
      </c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</row>
    <row r="1104">
      <c r="A1104" s="341"/>
      <c r="B1104" s="341"/>
      <c r="C1104" s="341"/>
      <c r="D1104" s="341"/>
      <c r="E1104" s="341"/>
      <c r="F1104" s="373"/>
      <c r="G1104" s="341"/>
      <c r="H1104" s="341"/>
      <c r="I1104" s="341"/>
      <c r="J1104" s="341"/>
      <c r="K1104" s="341"/>
      <c r="L1104" s="26" t="str">
        <f t="shared" si="1"/>
        <v/>
      </c>
      <c r="M1104" s="28" t="str">
        <f>IFERROR(__xludf.DUMMYFUNCTION("IF(Account!$F1104&lt;&gt;"""", VALUE(REGEXREPLACE($I1104, ""\,"", ""."")), """")"),"")</f>
        <v/>
      </c>
      <c r="N1104" s="31" t="str">
        <f>IF(Account!$F1104&lt;&gt;"", DATEVALUE(MID($A1104,4,3) &amp; LEFT($A1104,3) &amp; RIGHT($A1104,4)) + TIMEVALUE($B1104), "")</f>
        <v/>
      </c>
      <c r="O1104" s="33" t="str">
        <f>IF(Account!$F1104&lt;&gt;"", DATEVALUE(MID($A1104,4,3) &amp; LEFT($A1104,3) &amp; RIGHT($A1104,4)), "")</f>
        <v/>
      </c>
      <c r="P1104" s="34" t="str">
        <f>IFERROR(VLOOKUP($Q1104,Selection!$F:$G,2,false))</f>
        <v/>
      </c>
      <c r="Q1104" s="36" t="str">
        <f>IF(AND($X1104="change",$H1104="EUR"),IF(AND($Z1104="Crédit",$N1104=$N1105),$Q1105,IF(AND($Z1104="Débit",$N1104=$N1103),$Q1103)),IF(OR(AND(OR($E1104&lt;&gt;"",$L1104=""),$M1104&lt;&gt;0),$A1104=""),IFERROR(VLOOKUP($E1104,Selection!$E:$F,2,false)),IFERROR(VLOOKUP(SUBSTITUTE($I1104,"-","",1),$K1105:$Q1119,7,false),VLOOKUP($K1104,$K1105:$Q1119,7,false))))</f>
        <v/>
      </c>
      <c r="R1104" s="34" t="str">
        <f t="shared" si="2"/>
        <v/>
      </c>
      <c r="S1104" s="37" t="str">
        <f t="shared" si="3"/>
        <v/>
      </c>
      <c r="T1104" s="38" t="str">
        <f t="shared" si="4"/>
        <v/>
      </c>
      <c r="U1104" s="28" t="str">
        <f t="shared" si="5"/>
        <v/>
      </c>
      <c r="V1104" s="39" t="str">
        <f>IFERROR(__xludf.DUMMYFUNCTION(" IF(Account!$F1104&lt;&gt;"""", SPLIT(Account!$F1104, "" ""), """")"),"")</f>
        <v/>
      </c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</row>
    <row r="1105">
      <c r="A1105" s="341"/>
      <c r="B1105" s="341"/>
      <c r="C1105" s="341"/>
      <c r="D1105" s="341"/>
      <c r="E1105" s="341"/>
      <c r="F1105" s="373"/>
      <c r="G1105" s="341"/>
      <c r="H1105" s="341"/>
      <c r="I1105" s="341"/>
      <c r="J1105" s="341"/>
      <c r="K1105" s="341"/>
      <c r="L1105" s="26" t="str">
        <f t="shared" si="1"/>
        <v/>
      </c>
      <c r="M1105" s="28" t="str">
        <f>IFERROR(__xludf.DUMMYFUNCTION("IF(Account!$F1105&lt;&gt;"""", VALUE(REGEXREPLACE($I1105, ""\,"", ""."")), """")"),"")</f>
        <v/>
      </c>
      <c r="N1105" s="31" t="str">
        <f>IF(Account!$F1105&lt;&gt;"", DATEVALUE(MID($A1105,4,3) &amp; LEFT($A1105,3) &amp; RIGHT($A1105,4)) + TIMEVALUE($B1105), "")</f>
        <v/>
      </c>
      <c r="O1105" s="33" t="str">
        <f>IF(Account!$F1105&lt;&gt;"", DATEVALUE(MID($A1105,4,3) &amp; LEFT($A1105,3) &amp; RIGHT($A1105,4)), "")</f>
        <v/>
      </c>
      <c r="P1105" s="34" t="str">
        <f>IFERROR(VLOOKUP($Q1105,Selection!$F:$G,2,false))</f>
        <v/>
      </c>
      <c r="Q1105" s="36" t="str">
        <f>IF(AND($X1105="change",$H1105="EUR"),IF(AND($Z1105="Crédit",$N1105=$N1106),$Q1106,IF(AND($Z1105="Débit",$N1105=$N1104),$Q1104)),IF(OR(AND(OR($E1105&lt;&gt;"",$L1105=""),$M1105&lt;&gt;0),$A1105=""),IFERROR(VLOOKUP($E1105,Selection!$E:$F,2,false)),IFERROR(VLOOKUP(SUBSTITUTE($I1105,"-","",1),$K1106:$Q1119,7,false),VLOOKUP($K1105,$K1106:$Q1119,7,false))))</f>
        <v/>
      </c>
      <c r="R1105" s="34" t="str">
        <f t="shared" si="2"/>
        <v/>
      </c>
      <c r="S1105" s="37" t="str">
        <f t="shared" si="3"/>
        <v/>
      </c>
      <c r="T1105" s="38" t="str">
        <f t="shared" si="4"/>
        <v/>
      </c>
      <c r="U1105" s="28" t="str">
        <f t="shared" si="5"/>
        <v/>
      </c>
      <c r="V1105" s="39" t="str">
        <f>IFERROR(__xludf.DUMMYFUNCTION(" IF(Account!$F1105&lt;&gt;"""", SPLIT(Account!$F1105, "" ""), """")"),"")</f>
        <v/>
      </c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</row>
    <row r="1106">
      <c r="A1106" s="341"/>
      <c r="B1106" s="341"/>
      <c r="C1106" s="341"/>
      <c r="D1106" s="341"/>
      <c r="E1106" s="341"/>
      <c r="F1106" s="373"/>
      <c r="G1106" s="341"/>
      <c r="H1106" s="341"/>
      <c r="I1106" s="341"/>
      <c r="J1106" s="341"/>
      <c r="K1106" s="341"/>
      <c r="L1106" s="26" t="str">
        <f t="shared" si="1"/>
        <v/>
      </c>
      <c r="M1106" s="28" t="str">
        <f>IFERROR(__xludf.DUMMYFUNCTION("IF(Account!$F1106&lt;&gt;"""", VALUE(REGEXREPLACE($I1106, ""\,"", ""."")), """")"),"")</f>
        <v/>
      </c>
      <c r="N1106" s="31" t="str">
        <f>IF(Account!$F1106&lt;&gt;"", DATEVALUE(MID($A1106,4,3) &amp; LEFT($A1106,3) &amp; RIGHT($A1106,4)) + TIMEVALUE($B1106), "")</f>
        <v/>
      </c>
      <c r="O1106" s="33" t="str">
        <f>IF(Account!$F1106&lt;&gt;"", DATEVALUE(MID($A1106,4,3) &amp; LEFT($A1106,3) &amp; RIGHT($A1106,4)), "")</f>
        <v/>
      </c>
      <c r="P1106" s="34" t="str">
        <f>IFERROR(VLOOKUP($Q1106,Selection!$F:$G,2,false))</f>
        <v/>
      </c>
      <c r="Q1106" s="36" t="str">
        <f>IF(AND($X1106="change",$H1106="EUR"),IF(AND($Z1106="Crédit",$N1106=$N1107),$Q1107,IF(AND($Z1106="Débit",$N1106=$N1105),$Q1105)),IF(OR(AND(OR($E1106&lt;&gt;"",$L1106=""),$M1106&lt;&gt;0),$A1106=""),IFERROR(VLOOKUP($E1106,Selection!$E:$F,2,false)),IFERROR(VLOOKUP(SUBSTITUTE($I1106,"-","",1),$K1107:$Q1119,7,false),VLOOKUP($K1106,$K1107:$Q1119,7,false))))</f>
        <v/>
      </c>
      <c r="R1106" s="34" t="str">
        <f t="shared" si="2"/>
        <v/>
      </c>
      <c r="S1106" s="37" t="str">
        <f t="shared" si="3"/>
        <v/>
      </c>
      <c r="T1106" s="38" t="str">
        <f t="shared" si="4"/>
        <v/>
      </c>
      <c r="U1106" s="28" t="str">
        <f t="shared" si="5"/>
        <v/>
      </c>
      <c r="V1106" s="39" t="str">
        <f>IFERROR(__xludf.DUMMYFUNCTION(" IF(Account!$F1106&lt;&gt;"""", SPLIT(Account!$F1106, "" ""), """")"),"")</f>
        <v/>
      </c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</row>
    <row r="1107">
      <c r="A1107" s="341"/>
      <c r="B1107" s="341"/>
      <c r="C1107" s="341"/>
      <c r="D1107" s="341"/>
      <c r="E1107" s="341"/>
      <c r="F1107" s="373"/>
      <c r="G1107" s="341"/>
      <c r="H1107" s="341"/>
      <c r="I1107" s="341"/>
      <c r="J1107" s="341"/>
      <c r="K1107" s="341"/>
      <c r="L1107" s="26" t="str">
        <f t="shared" si="1"/>
        <v/>
      </c>
      <c r="M1107" s="28" t="str">
        <f>IFERROR(__xludf.DUMMYFUNCTION("IF(Account!$F1107&lt;&gt;"""", VALUE(REGEXREPLACE($I1107, ""\,"", ""."")), """")"),"")</f>
        <v/>
      </c>
      <c r="N1107" s="31" t="str">
        <f>IF(Account!$F1107&lt;&gt;"", DATEVALUE(MID($A1107,4,3) &amp; LEFT($A1107,3) &amp; RIGHT($A1107,4)) + TIMEVALUE($B1107), "")</f>
        <v/>
      </c>
      <c r="O1107" s="33" t="str">
        <f>IF(Account!$F1107&lt;&gt;"", DATEVALUE(MID($A1107,4,3) &amp; LEFT($A1107,3) &amp; RIGHT($A1107,4)), "")</f>
        <v/>
      </c>
      <c r="P1107" s="34" t="str">
        <f>IFERROR(VLOOKUP($Q1107,Selection!$F:$G,2,false))</f>
        <v/>
      </c>
      <c r="Q1107" s="36" t="str">
        <f>IF(AND($X1107="change",$H1107="EUR"),IF(AND($Z1107="Crédit",$N1107=$N1108),$Q1108,IF(AND($Z1107="Débit",$N1107=$N1106),$Q1106)),IF(OR(AND(OR($E1107&lt;&gt;"",$L1107=""),$M1107&lt;&gt;0),$A1107=""),IFERROR(VLOOKUP($E1107,Selection!$E:$F,2,false)),IFERROR(VLOOKUP(SUBSTITUTE($I1107,"-","",1),$K1108:$Q1119,7,false),VLOOKUP($K1107,$K1108:$Q1119,7,false))))</f>
        <v/>
      </c>
      <c r="R1107" s="34" t="str">
        <f t="shared" si="2"/>
        <v/>
      </c>
      <c r="S1107" s="37" t="str">
        <f t="shared" si="3"/>
        <v/>
      </c>
      <c r="T1107" s="38" t="str">
        <f t="shared" si="4"/>
        <v/>
      </c>
      <c r="U1107" s="28" t="str">
        <f t="shared" si="5"/>
        <v/>
      </c>
      <c r="V1107" s="39" t="str">
        <f>IFERROR(__xludf.DUMMYFUNCTION(" IF(Account!$F1107&lt;&gt;"""", SPLIT(Account!$F1107, "" ""), """")"),"")</f>
        <v/>
      </c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</row>
    <row r="1108">
      <c r="A1108" s="341"/>
      <c r="B1108" s="341"/>
      <c r="C1108" s="341"/>
      <c r="D1108" s="341"/>
      <c r="E1108" s="341"/>
      <c r="F1108" s="373"/>
      <c r="G1108" s="341"/>
      <c r="H1108" s="341"/>
      <c r="I1108" s="341"/>
      <c r="J1108" s="341"/>
      <c r="K1108" s="341"/>
      <c r="L1108" s="26" t="str">
        <f t="shared" si="1"/>
        <v/>
      </c>
      <c r="M1108" s="28" t="str">
        <f>IFERROR(__xludf.DUMMYFUNCTION("IF(Account!$F1108&lt;&gt;"""", VALUE(REGEXREPLACE($I1108, ""\,"", ""."")), """")"),"")</f>
        <v/>
      </c>
      <c r="N1108" s="31" t="str">
        <f>IF(Account!$F1108&lt;&gt;"", DATEVALUE(MID($A1108,4,3) &amp; LEFT($A1108,3) &amp; RIGHT($A1108,4)) + TIMEVALUE($B1108), "")</f>
        <v/>
      </c>
      <c r="O1108" s="33" t="str">
        <f>IF(Account!$F1108&lt;&gt;"", DATEVALUE(MID($A1108,4,3) &amp; LEFT($A1108,3) &amp; RIGHT($A1108,4)), "")</f>
        <v/>
      </c>
      <c r="P1108" s="34" t="str">
        <f>IFERROR(VLOOKUP($Q1108,Selection!$F:$G,2,false))</f>
        <v/>
      </c>
      <c r="Q1108" s="36" t="str">
        <f>IF(AND($X1108="change",$H1108="EUR"),IF(AND($Z1108="Crédit",$N1108=$N1109),$Q1109,IF(AND($Z1108="Débit",$N1108=$N1107),$Q1107)),IF(OR(AND(OR($E1108&lt;&gt;"",$L1108=""),$M1108&lt;&gt;0),$A1108=""),IFERROR(VLOOKUP($E1108,Selection!$E:$F,2,false)),IFERROR(VLOOKUP(SUBSTITUTE($I1108,"-","",1),$K1109:$Q1119,7,false),VLOOKUP($K1108,$K1109:$Q1119,7,false))))</f>
        <v/>
      </c>
      <c r="R1108" s="34" t="str">
        <f t="shared" si="2"/>
        <v/>
      </c>
      <c r="S1108" s="37" t="str">
        <f t="shared" si="3"/>
        <v/>
      </c>
      <c r="T1108" s="38" t="str">
        <f t="shared" si="4"/>
        <v/>
      </c>
      <c r="U1108" s="28" t="str">
        <f t="shared" si="5"/>
        <v/>
      </c>
      <c r="V1108" s="39" t="str">
        <f>IFERROR(__xludf.DUMMYFUNCTION(" IF(Account!$F1108&lt;&gt;"""", SPLIT(Account!$F1108, "" ""), """")"),"")</f>
        <v/>
      </c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</row>
    <row r="1109">
      <c r="A1109" s="341"/>
      <c r="B1109" s="341"/>
      <c r="C1109" s="341"/>
      <c r="D1109" s="341"/>
      <c r="E1109" s="341"/>
      <c r="F1109" s="373"/>
      <c r="G1109" s="341"/>
      <c r="H1109" s="341"/>
      <c r="I1109" s="341"/>
      <c r="J1109" s="341"/>
      <c r="K1109" s="341"/>
      <c r="L1109" s="26" t="str">
        <f t="shared" si="1"/>
        <v/>
      </c>
      <c r="M1109" s="28" t="str">
        <f>IFERROR(__xludf.DUMMYFUNCTION("IF(Account!$F1109&lt;&gt;"""", VALUE(REGEXREPLACE($I1109, ""\,"", ""."")), """")"),"")</f>
        <v/>
      </c>
      <c r="N1109" s="31" t="str">
        <f>IF(Account!$F1109&lt;&gt;"", DATEVALUE(MID($A1109,4,3) &amp; LEFT($A1109,3) &amp; RIGHT($A1109,4)) + TIMEVALUE($B1109), "")</f>
        <v/>
      </c>
      <c r="O1109" s="33" t="str">
        <f>IF(Account!$F1109&lt;&gt;"", DATEVALUE(MID($A1109,4,3) &amp; LEFT($A1109,3) &amp; RIGHT($A1109,4)), "")</f>
        <v/>
      </c>
      <c r="P1109" s="34" t="str">
        <f>IFERROR(VLOOKUP($Q1109,Selection!$F:$G,2,false))</f>
        <v/>
      </c>
      <c r="Q1109" s="36" t="str">
        <f>IF(AND($X1109="change",$H1109="EUR"),IF(AND($Z1109="Crédit",$N1109=$N1110),$Q1110,IF(AND($Z1109="Débit",$N1109=$N1108),$Q1108)),IF(OR(AND(OR($E1109&lt;&gt;"",$L1109=""),$M1109&lt;&gt;0),$A1109=""),IFERROR(VLOOKUP($E1109,Selection!$E:$F,2,false)),IFERROR(VLOOKUP(SUBSTITUTE($I1109,"-","",1),$K1110:$Q1119,7,false),VLOOKUP($K1109,$K1110:$Q1119,7,false))))</f>
        <v/>
      </c>
      <c r="R1109" s="34" t="str">
        <f t="shared" si="2"/>
        <v/>
      </c>
      <c r="S1109" s="37" t="str">
        <f t="shared" si="3"/>
        <v/>
      </c>
      <c r="T1109" s="38" t="str">
        <f t="shared" si="4"/>
        <v/>
      </c>
      <c r="U1109" s="28" t="str">
        <f t="shared" si="5"/>
        <v/>
      </c>
      <c r="V1109" s="39" t="str">
        <f>IFERROR(__xludf.DUMMYFUNCTION(" IF(Account!$F1109&lt;&gt;"""", SPLIT(Account!$F1109, "" ""), """")"),"")</f>
        <v/>
      </c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</row>
    <row r="1110">
      <c r="A1110" s="341"/>
      <c r="B1110" s="341"/>
      <c r="C1110" s="341"/>
      <c r="D1110" s="341"/>
      <c r="E1110" s="341"/>
      <c r="F1110" s="373"/>
      <c r="G1110" s="341"/>
      <c r="H1110" s="341"/>
      <c r="I1110" s="341"/>
      <c r="J1110" s="341"/>
      <c r="K1110" s="341"/>
      <c r="L1110" s="26" t="str">
        <f t="shared" si="1"/>
        <v/>
      </c>
      <c r="M1110" s="28" t="str">
        <f>IFERROR(__xludf.DUMMYFUNCTION("IF(Account!$F1110&lt;&gt;"""", VALUE(REGEXREPLACE($I1110, ""\,"", ""."")), """")"),"")</f>
        <v/>
      </c>
      <c r="N1110" s="31" t="str">
        <f>IF(Account!$F1110&lt;&gt;"", DATEVALUE(MID($A1110,4,3) &amp; LEFT($A1110,3) &amp; RIGHT($A1110,4)) + TIMEVALUE($B1110), "")</f>
        <v/>
      </c>
      <c r="O1110" s="33" t="str">
        <f>IF(Account!$F1110&lt;&gt;"", DATEVALUE(MID($A1110,4,3) &amp; LEFT($A1110,3) &amp; RIGHT($A1110,4)), "")</f>
        <v/>
      </c>
      <c r="P1110" s="34" t="str">
        <f>IFERROR(VLOOKUP($Q1110,Selection!$F:$G,2,false))</f>
        <v/>
      </c>
      <c r="Q1110" s="36" t="str">
        <f>IF(AND($X1110="change",$H1110="EUR"),IF(AND($Z1110="Crédit",$N1110=$N1111),$Q1111,IF(AND($Z1110="Débit",$N1110=$N1109),$Q1109)),IF(OR(AND(OR($E1110&lt;&gt;"",$L1110=""),$M1110&lt;&gt;0),$A1110=""),IFERROR(VLOOKUP($E1110,Selection!$E:$F,2,false)),IFERROR(VLOOKUP(SUBSTITUTE($I1110,"-","",1),$K1111:$Q1119,7,false),VLOOKUP($K1110,$K1111:$Q1119,7,false))))</f>
        <v/>
      </c>
      <c r="R1110" s="34" t="str">
        <f t="shared" si="2"/>
        <v/>
      </c>
      <c r="S1110" s="37" t="str">
        <f t="shared" si="3"/>
        <v/>
      </c>
      <c r="T1110" s="38" t="str">
        <f t="shared" si="4"/>
        <v/>
      </c>
      <c r="U1110" s="28" t="str">
        <f t="shared" si="5"/>
        <v/>
      </c>
      <c r="V1110" s="39" t="str">
        <f>IFERROR(__xludf.DUMMYFUNCTION(" IF(Account!$F1110&lt;&gt;"""", SPLIT(Account!$F1110, "" ""), """")"),"")</f>
        <v/>
      </c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</row>
    <row r="1111">
      <c r="A1111" s="341"/>
      <c r="B1111" s="341"/>
      <c r="C1111" s="341"/>
      <c r="D1111" s="341"/>
      <c r="E1111" s="341"/>
      <c r="F1111" s="373"/>
      <c r="G1111" s="341"/>
      <c r="H1111" s="341"/>
      <c r="I1111" s="341"/>
      <c r="J1111" s="341"/>
      <c r="K1111" s="341"/>
      <c r="L1111" s="26" t="str">
        <f t="shared" si="1"/>
        <v/>
      </c>
      <c r="M1111" s="28" t="str">
        <f>IFERROR(__xludf.DUMMYFUNCTION("IF(Account!$F1111&lt;&gt;"""", VALUE(REGEXREPLACE($I1111, ""\,"", ""."")), """")"),"")</f>
        <v/>
      </c>
      <c r="N1111" s="31" t="str">
        <f>IF(Account!$F1111&lt;&gt;"", DATEVALUE(MID($A1111,4,3) &amp; LEFT($A1111,3) &amp; RIGHT($A1111,4)) + TIMEVALUE($B1111), "")</f>
        <v/>
      </c>
      <c r="O1111" s="33" t="str">
        <f>IF(Account!$F1111&lt;&gt;"", DATEVALUE(MID($A1111,4,3) &amp; LEFT($A1111,3) &amp; RIGHT($A1111,4)), "")</f>
        <v/>
      </c>
      <c r="P1111" s="34" t="str">
        <f>IFERROR(VLOOKUP($Q1111,Selection!$F:$G,2,false))</f>
        <v/>
      </c>
      <c r="Q1111" s="36" t="str">
        <f>IF(AND($X1111="change",$H1111="EUR"),IF(AND($Z1111="Crédit",$N1111=$N1112),$Q1112,IF(AND($Z1111="Débit",$N1111=$N1110),$Q1110)),IF(OR(AND(OR($E1111&lt;&gt;"",$L1111=""),$M1111&lt;&gt;0),$A1111=""),IFERROR(VLOOKUP($E1111,Selection!$E:$F,2,false)),IFERROR(VLOOKUP(SUBSTITUTE($I1111,"-","",1),$K1112:$Q1119,7,false),VLOOKUP($K1111,$K1112:$Q1119,7,false))))</f>
        <v/>
      </c>
      <c r="R1111" s="34" t="str">
        <f t="shared" si="2"/>
        <v/>
      </c>
      <c r="S1111" s="37" t="str">
        <f t="shared" si="3"/>
        <v/>
      </c>
      <c r="T1111" s="38" t="str">
        <f t="shared" si="4"/>
        <v/>
      </c>
      <c r="U1111" s="28" t="str">
        <f t="shared" si="5"/>
        <v/>
      </c>
      <c r="V1111" s="39" t="str">
        <f>IFERROR(__xludf.DUMMYFUNCTION(" IF(Account!$F1111&lt;&gt;"""", SPLIT(Account!$F1111, "" ""), """")"),"")</f>
        <v/>
      </c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</row>
    <row r="1112">
      <c r="A1112" s="341"/>
      <c r="B1112" s="341"/>
      <c r="C1112" s="341"/>
      <c r="D1112" s="341"/>
      <c r="E1112" s="341"/>
      <c r="F1112" s="373"/>
      <c r="G1112" s="341"/>
      <c r="H1112" s="341"/>
      <c r="I1112" s="341"/>
      <c r="J1112" s="341"/>
      <c r="K1112" s="341"/>
      <c r="L1112" s="26" t="str">
        <f t="shared" si="1"/>
        <v/>
      </c>
      <c r="M1112" s="28" t="str">
        <f>IFERROR(__xludf.DUMMYFUNCTION("IF(Account!$F1112&lt;&gt;"""", VALUE(REGEXREPLACE($I1112, ""\,"", ""."")), """")"),"")</f>
        <v/>
      </c>
      <c r="N1112" s="31" t="str">
        <f>IF(Account!$F1112&lt;&gt;"", DATEVALUE(MID($A1112,4,3) &amp; LEFT($A1112,3) &amp; RIGHT($A1112,4)) + TIMEVALUE($B1112), "")</f>
        <v/>
      </c>
      <c r="O1112" s="33" t="str">
        <f>IF(Account!$F1112&lt;&gt;"", DATEVALUE(MID($A1112,4,3) &amp; LEFT($A1112,3) &amp; RIGHT($A1112,4)), "")</f>
        <v/>
      </c>
      <c r="P1112" s="34" t="str">
        <f>IFERROR(VLOOKUP($Q1112,Selection!$F:$G,2,false))</f>
        <v/>
      </c>
      <c r="Q1112" s="36" t="str">
        <f>IF(AND($X1112="change",$H1112="EUR"),IF(AND($Z1112="Crédit",$N1112=$N1113),$Q1113,IF(AND($Z1112="Débit",$N1112=$N1111),$Q1111)),IF(OR(AND(OR($E1112&lt;&gt;"",$L1112=""),$M1112&lt;&gt;0),$A1112=""),IFERROR(VLOOKUP($E1112,Selection!$E:$F,2,false)),IFERROR(VLOOKUP(SUBSTITUTE($I1112,"-","",1),$K1113:$Q1119,7,false),VLOOKUP($K1112,$K1113:$Q1119,7,false))))</f>
        <v/>
      </c>
      <c r="R1112" s="34" t="str">
        <f t="shared" si="2"/>
        <v/>
      </c>
      <c r="S1112" s="37" t="str">
        <f t="shared" si="3"/>
        <v/>
      </c>
      <c r="T1112" s="38" t="str">
        <f t="shared" si="4"/>
        <v/>
      </c>
      <c r="U1112" s="28" t="str">
        <f t="shared" si="5"/>
        <v/>
      </c>
      <c r="V1112" s="39" t="str">
        <f>IFERROR(__xludf.DUMMYFUNCTION(" IF(Account!$F1112&lt;&gt;"""", SPLIT(Account!$F1112, "" ""), """")"),"")</f>
        <v/>
      </c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</row>
    <row r="1113">
      <c r="A1113" s="341"/>
      <c r="B1113" s="341"/>
      <c r="C1113" s="341"/>
      <c r="D1113" s="341"/>
      <c r="E1113" s="341"/>
      <c r="F1113" s="373"/>
      <c r="G1113" s="341"/>
      <c r="H1113" s="341"/>
      <c r="I1113" s="341"/>
      <c r="J1113" s="341"/>
      <c r="K1113" s="341"/>
      <c r="L1113" s="26" t="str">
        <f t="shared" si="1"/>
        <v/>
      </c>
      <c r="M1113" s="28" t="str">
        <f>IFERROR(__xludf.DUMMYFUNCTION("IF(Account!$F1113&lt;&gt;"""", VALUE(REGEXREPLACE($I1113, ""\,"", ""."")), """")"),"")</f>
        <v/>
      </c>
      <c r="N1113" s="31" t="str">
        <f>IF(Account!$F1113&lt;&gt;"", DATEVALUE(MID($A1113,4,3) &amp; LEFT($A1113,3) &amp; RIGHT($A1113,4)) + TIMEVALUE($B1113), "")</f>
        <v/>
      </c>
      <c r="O1113" s="33" t="str">
        <f>IF(Account!$F1113&lt;&gt;"", DATEVALUE(MID($A1113,4,3) &amp; LEFT($A1113,3) &amp; RIGHT($A1113,4)), "")</f>
        <v/>
      </c>
      <c r="P1113" s="34" t="str">
        <f>IFERROR(VLOOKUP($Q1113,Selection!$F:$G,2,false))</f>
        <v/>
      </c>
      <c r="Q1113" s="36" t="str">
        <f>IF(AND($X1113="change",$H1113="EUR"),IF(AND($Z1113="Crédit",$N1113=$N1114),$Q1114,IF(AND($Z1113="Débit",$N1113=$N1112),$Q1112)),IF(OR(AND(OR($E1113&lt;&gt;"",$L1113=""),$M1113&lt;&gt;0),$A1113=""),IFERROR(VLOOKUP($E1113,Selection!$E:$F,2,false)),IFERROR(VLOOKUP(SUBSTITUTE($I1113,"-","",1),$K1114:$Q1119,7,false),VLOOKUP($K1113,$K1114:$Q1119,7,false))))</f>
        <v/>
      </c>
      <c r="R1113" s="34" t="str">
        <f t="shared" si="2"/>
        <v/>
      </c>
      <c r="S1113" s="37" t="str">
        <f t="shared" si="3"/>
        <v/>
      </c>
      <c r="T1113" s="38" t="str">
        <f t="shared" si="4"/>
        <v/>
      </c>
      <c r="U1113" s="28" t="str">
        <f t="shared" si="5"/>
        <v/>
      </c>
      <c r="V1113" s="39" t="str">
        <f>IFERROR(__xludf.DUMMYFUNCTION(" IF(Account!$F1113&lt;&gt;"""", SPLIT(Account!$F1113, "" ""), """")"),"")</f>
        <v/>
      </c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</row>
    <row r="1114">
      <c r="A1114" s="341"/>
      <c r="B1114" s="341"/>
      <c r="C1114" s="341"/>
      <c r="D1114" s="341"/>
      <c r="E1114" s="341"/>
      <c r="F1114" s="373"/>
      <c r="G1114" s="341"/>
      <c r="H1114" s="341"/>
      <c r="I1114" s="341"/>
      <c r="J1114" s="341"/>
      <c r="K1114" s="341"/>
      <c r="L1114" s="26" t="str">
        <f t="shared" si="1"/>
        <v/>
      </c>
      <c r="M1114" s="28" t="str">
        <f>IFERROR(__xludf.DUMMYFUNCTION("IF(Account!$F1114&lt;&gt;"""", VALUE(REGEXREPLACE($I1114, ""\,"", ""."")), """")"),"")</f>
        <v/>
      </c>
      <c r="N1114" s="31" t="str">
        <f>IF(Account!$F1114&lt;&gt;"", DATEVALUE(MID($A1114,4,3) &amp; LEFT($A1114,3) &amp; RIGHT($A1114,4)) + TIMEVALUE($B1114), "")</f>
        <v/>
      </c>
      <c r="O1114" s="33" t="str">
        <f>IF(Account!$F1114&lt;&gt;"", DATEVALUE(MID($A1114,4,3) &amp; LEFT($A1114,3) &amp; RIGHT($A1114,4)), "")</f>
        <v/>
      </c>
      <c r="P1114" s="34" t="str">
        <f>IFERROR(VLOOKUP($Q1114,Selection!$F:$G,2,false))</f>
        <v/>
      </c>
      <c r="Q1114" s="36" t="str">
        <f>IF(AND($X1114="change",$H1114="EUR"),IF(AND($Z1114="Crédit",$N1114=$N1115),$Q1115,IF(AND($Z1114="Débit",$N1114=$N1113),$Q1113)),IF(OR(AND(OR($E1114&lt;&gt;"",$L1114=""),$M1114&lt;&gt;0),$A1114=""),IFERROR(VLOOKUP($E1114,Selection!$E:$F,2,false)),IFERROR(VLOOKUP(SUBSTITUTE($I1114,"-","",1),$K1115:$Q1119,7,false),VLOOKUP($K1114,$K1115:$Q1119,7,false))))</f>
        <v/>
      </c>
      <c r="R1114" s="34" t="str">
        <f t="shared" si="2"/>
        <v/>
      </c>
      <c r="S1114" s="37" t="str">
        <f t="shared" si="3"/>
        <v/>
      </c>
      <c r="T1114" s="38" t="str">
        <f t="shared" si="4"/>
        <v/>
      </c>
      <c r="U1114" s="28" t="str">
        <f t="shared" si="5"/>
        <v/>
      </c>
      <c r="V1114" s="39" t="str">
        <f>IFERROR(__xludf.DUMMYFUNCTION(" IF(Account!$F1114&lt;&gt;"""", SPLIT(Account!$F1114, "" ""), """")"),"")</f>
        <v/>
      </c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</row>
    <row r="1115">
      <c r="A1115" s="341"/>
      <c r="B1115" s="341"/>
      <c r="C1115" s="341"/>
      <c r="D1115" s="341"/>
      <c r="E1115" s="341"/>
      <c r="F1115" s="373"/>
      <c r="G1115" s="341"/>
      <c r="H1115" s="341"/>
      <c r="I1115" s="341"/>
      <c r="J1115" s="341"/>
      <c r="K1115" s="341"/>
      <c r="L1115" s="26" t="str">
        <f t="shared" si="1"/>
        <v/>
      </c>
      <c r="M1115" s="28" t="str">
        <f>IFERROR(__xludf.DUMMYFUNCTION("IF(Account!$F1115&lt;&gt;"""", VALUE(REGEXREPLACE($I1115, ""\,"", ""."")), """")"),"")</f>
        <v/>
      </c>
      <c r="N1115" s="31" t="str">
        <f>IF(Account!$F1115&lt;&gt;"", DATEVALUE(MID($A1115,4,3) &amp; LEFT($A1115,3) &amp; RIGHT($A1115,4)) + TIMEVALUE($B1115), "")</f>
        <v/>
      </c>
      <c r="O1115" s="33" t="str">
        <f>IF(Account!$F1115&lt;&gt;"", DATEVALUE(MID($A1115,4,3) &amp; LEFT($A1115,3) &amp; RIGHT($A1115,4)), "")</f>
        <v/>
      </c>
      <c r="P1115" s="34" t="str">
        <f>IFERROR(VLOOKUP($Q1115,Selection!$F:$G,2,false))</f>
        <v/>
      </c>
      <c r="Q1115" s="36" t="str">
        <f>IF(AND($X1115="change",$H1115="EUR"),IF(AND($Z1115="Crédit",$N1115=$N1116),$Q1116,IF(AND($Z1115="Débit",$N1115=$N1114),$Q1114)),IF(OR(AND(OR($E1115&lt;&gt;"",$L1115=""),$M1115&lt;&gt;0),$A1115=""),IFERROR(VLOOKUP($E1115,Selection!$E:$F,2,false)),IFERROR(VLOOKUP(SUBSTITUTE($I1115,"-","",1),$K1116:$Q1119,7,false),VLOOKUP($K1115,$K1116:$Q1119,7,false))))</f>
        <v/>
      </c>
      <c r="R1115" s="34" t="str">
        <f t="shared" si="2"/>
        <v/>
      </c>
      <c r="S1115" s="37" t="str">
        <f t="shared" si="3"/>
        <v/>
      </c>
      <c r="T1115" s="38" t="str">
        <f t="shared" si="4"/>
        <v/>
      </c>
      <c r="U1115" s="28" t="str">
        <f t="shared" si="5"/>
        <v/>
      </c>
      <c r="V1115" s="39" t="str">
        <f>IFERROR(__xludf.DUMMYFUNCTION(" IF(Account!$F1115&lt;&gt;"""", SPLIT(Account!$F1115, "" ""), """")"),"")</f>
        <v/>
      </c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</row>
    <row r="1116">
      <c r="A1116" s="341"/>
      <c r="B1116" s="341"/>
      <c r="C1116" s="341"/>
      <c r="D1116" s="341"/>
      <c r="E1116" s="341"/>
      <c r="F1116" s="373"/>
      <c r="G1116" s="341"/>
      <c r="H1116" s="341"/>
      <c r="I1116" s="341"/>
      <c r="J1116" s="341"/>
      <c r="K1116" s="341"/>
      <c r="L1116" s="26" t="str">
        <f t="shared" si="1"/>
        <v/>
      </c>
      <c r="M1116" s="28" t="str">
        <f>IFERROR(__xludf.DUMMYFUNCTION("IF(Account!$F1116&lt;&gt;"""", VALUE(REGEXREPLACE($I1116, ""\,"", ""."")), """")"),"")</f>
        <v/>
      </c>
      <c r="N1116" s="31" t="str">
        <f>IF(Account!$F1116&lt;&gt;"", DATEVALUE(MID($A1116,4,3) &amp; LEFT($A1116,3) &amp; RIGHT($A1116,4)) + TIMEVALUE($B1116), "")</f>
        <v/>
      </c>
      <c r="O1116" s="33" t="str">
        <f>IF(Account!$F1116&lt;&gt;"", DATEVALUE(MID($A1116,4,3) &amp; LEFT($A1116,3) &amp; RIGHT($A1116,4)), "")</f>
        <v/>
      </c>
      <c r="P1116" s="34" t="str">
        <f>IFERROR(VLOOKUP($Q1116,Selection!$F:$G,2,false))</f>
        <v/>
      </c>
      <c r="Q1116" s="36" t="str">
        <f>IF(AND($X1116="change",$H1116="EUR"),IF(AND($Z1116="Crédit",$N1116=$N1117),$Q1117,IF(AND($Z1116="Débit",$N1116=$N1115),$Q1115)),IF(OR(AND(OR($E1116&lt;&gt;"",$L1116=""),$M1116&lt;&gt;0),$A1116=""),IFERROR(VLOOKUP($E1116,Selection!$E:$F,2,false)),IFERROR(VLOOKUP(SUBSTITUTE($I1116,"-","",1),$K1117:$Q1119,7,false),VLOOKUP($K1116,$K1117:$Q1119,7,false))))</f>
        <v/>
      </c>
      <c r="R1116" s="34" t="str">
        <f t="shared" si="2"/>
        <v/>
      </c>
      <c r="S1116" s="37" t="str">
        <f t="shared" si="3"/>
        <v/>
      </c>
      <c r="T1116" s="38" t="str">
        <f t="shared" si="4"/>
        <v/>
      </c>
      <c r="U1116" s="28" t="str">
        <f t="shared" si="5"/>
        <v/>
      </c>
      <c r="V1116" s="39" t="str">
        <f>IFERROR(__xludf.DUMMYFUNCTION(" IF(Account!$F1116&lt;&gt;"""", SPLIT(Account!$F1116, "" ""), """")"),"")</f>
        <v/>
      </c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</row>
    <row r="1117">
      <c r="A1117" s="341"/>
      <c r="B1117" s="341"/>
      <c r="C1117" s="341"/>
      <c r="D1117" s="341"/>
      <c r="E1117" s="341"/>
      <c r="F1117" s="373"/>
      <c r="G1117" s="341"/>
      <c r="H1117" s="341"/>
      <c r="I1117" s="341"/>
      <c r="J1117" s="341"/>
      <c r="K1117" s="341"/>
      <c r="L1117" s="26" t="str">
        <f t="shared" si="1"/>
        <v/>
      </c>
      <c r="M1117" s="28" t="str">
        <f>IFERROR(__xludf.DUMMYFUNCTION("IF(Account!$F1117&lt;&gt;"""", VALUE(REGEXREPLACE($I1117, ""\,"", ""."")), """")"),"")</f>
        <v/>
      </c>
      <c r="N1117" s="31" t="str">
        <f>IF(Account!$F1117&lt;&gt;"", DATEVALUE(MID($A1117,4,3) &amp; LEFT($A1117,3) &amp; RIGHT($A1117,4)) + TIMEVALUE($B1117), "")</f>
        <v/>
      </c>
      <c r="O1117" s="33" t="str">
        <f>IF(Account!$F1117&lt;&gt;"", DATEVALUE(MID($A1117,4,3) &amp; LEFT($A1117,3) &amp; RIGHT($A1117,4)), "")</f>
        <v/>
      </c>
      <c r="P1117" s="34" t="str">
        <f>IFERROR(VLOOKUP($Q1117,Selection!$F:$G,2,false))</f>
        <v/>
      </c>
      <c r="Q1117" s="36" t="str">
        <f>IF(AND($X1117="change",$H1117="EUR"),IF(AND($Z1117="Crédit",$N1117=$N1118),$Q1118,IF(AND($Z1117="Débit",$N1117=$N1116),$Q1116)),IF(OR(AND(OR($E1117&lt;&gt;"",$L1117=""),$M1117&lt;&gt;0),$A1117=""),IFERROR(VLOOKUP($E1117,Selection!$E:$F,2,false)),IFERROR(VLOOKUP(SUBSTITUTE($I1117,"-","",1),$K1118:$Q1119,7,false),VLOOKUP($K1117,$K1118:$Q1119,7,false))))</f>
        <v/>
      </c>
      <c r="R1117" s="34" t="str">
        <f t="shared" si="2"/>
        <v/>
      </c>
      <c r="S1117" s="37" t="str">
        <f t="shared" si="3"/>
        <v/>
      </c>
      <c r="T1117" s="38" t="str">
        <f t="shared" si="4"/>
        <v/>
      </c>
      <c r="U1117" s="28" t="str">
        <f t="shared" si="5"/>
        <v/>
      </c>
      <c r="V1117" s="39" t="str">
        <f>IFERROR(__xludf.DUMMYFUNCTION(" IF(Account!$F1117&lt;&gt;"""", SPLIT(Account!$F1117, "" ""), """")"),"")</f>
        <v/>
      </c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</row>
    <row r="1118">
      <c r="A1118" s="341"/>
      <c r="B1118" s="341"/>
      <c r="C1118" s="341"/>
      <c r="D1118" s="341"/>
      <c r="E1118" s="341"/>
      <c r="F1118" s="373"/>
      <c r="G1118" s="341"/>
      <c r="H1118" s="341"/>
      <c r="I1118" s="341"/>
      <c r="J1118" s="341"/>
      <c r="K1118" s="341"/>
      <c r="L1118" s="26" t="str">
        <f t="shared" si="1"/>
        <v/>
      </c>
      <c r="M1118" s="28" t="str">
        <f>IFERROR(__xludf.DUMMYFUNCTION("IF(Account!$F1118&lt;&gt;"""", VALUE(REGEXREPLACE($I1118, ""\,"", ""."")), """")"),"")</f>
        <v/>
      </c>
      <c r="N1118" s="31" t="str">
        <f>IF(Account!$F1118&lt;&gt;"", DATEVALUE(MID($A1118,4,3) &amp; LEFT($A1118,3) &amp; RIGHT($A1118,4)) + TIMEVALUE($B1118), "")</f>
        <v/>
      </c>
      <c r="O1118" s="33" t="str">
        <f>IF(Account!$F1118&lt;&gt;"", DATEVALUE(MID($A1118,4,3) &amp; LEFT($A1118,3) &amp; RIGHT($A1118,4)), "")</f>
        <v/>
      </c>
      <c r="P1118" s="34" t="str">
        <f>IFERROR(VLOOKUP($Q1118,Selection!$F:$G,2,false))</f>
        <v/>
      </c>
      <c r="Q1118" s="36" t="str">
        <f>IF(AND($X1118="change",$H1118="EUR"),IF(AND($Z1118="Crédit",$N1118=$N1119),$Q1119,IF(AND($Z1118="Débit",$N1118=$N1117),$Q1117)),IF(OR(AND(OR($E1118&lt;&gt;"",$L1118=""),$M1118&lt;&gt;0),$A1118=""),IFERROR(VLOOKUP($E1118,Selection!$E:$F,2,false)),IFERROR(VLOOKUP(SUBSTITUTE($I1118,"-","",1),$K1119:$Q1119,7,false),VLOOKUP($K1118,$K1119:$Q1119,7,false))))</f>
        <v/>
      </c>
      <c r="R1118" s="34" t="str">
        <f t="shared" si="2"/>
        <v/>
      </c>
      <c r="S1118" s="37" t="str">
        <f t="shared" si="3"/>
        <v/>
      </c>
      <c r="T1118" s="38" t="str">
        <f t="shared" si="4"/>
        <v/>
      </c>
      <c r="U1118" s="28" t="str">
        <f t="shared" si="5"/>
        <v/>
      </c>
      <c r="V1118" s="39" t="str">
        <f>IFERROR(__xludf.DUMMYFUNCTION(" IF(Account!$F1118&lt;&gt;"""", SPLIT(Account!$F1118, "" ""), """")"),"")</f>
        <v/>
      </c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</row>
    <row r="1119">
      <c r="A1119" s="341"/>
      <c r="B1119" s="341"/>
      <c r="C1119" s="341"/>
      <c r="D1119" s="341"/>
      <c r="E1119" s="341"/>
      <c r="F1119" s="373"/>
      <c r="G1119" s="341"/>
      <c r="H1119" s="341"/>
      <c r="I1119" s="341"/>
      <c r="J1119" s="341"/>
      <c r="K1119" s="341"/>
      <c r="L1119" s="26" t="str">
        <f t="shared" si="1"/>
        <v/>
      </c>
      <c r="M1119" s="28" t="str">
        <f>IFERROR(__xludf.DUMMYFUNCTION("IF(Account!$F1119&lt;&gt;"""", VALUE(REGEXREPLACE($I1119, ""\,"", ""."")), """")"),"")</f>
        <v/>
      </c>
      <c r="N1119" s="31" t="str">
        <f>IF(Account!$F1119&lt;&gt;"", DATEVALUE(MID($A1119,4,3) &amp; LEFT($A1119,3) &amp; RIGHT($A1119,4)) + TIMEVALUE($B1119), "")</f>
        <v/>
      </c>
      <c r="O1119" s="33" t="str">
        <f>IF(Account!$F1119&lt;&gt;"", DATEVALUE(MID($A1119,4,3) &amp; LEFT($A1119,3) &amp; RIGHT($A1119,4)), "")</f>
        <v/>
      </c>
      <c r="P1119" s="34" t="str">
        <f>IFERROR(VLOOKUP($Q1119,Selection!$F:$G,2,false))</f>
        <v/>
      </c>
      <c r="Q1119" s="36" t="str">
        <f>IF(AND($X1119="change",$H1119="EUR"),IF(AND($Z1119="Crédit",$N1119=$N1120),$Q1120,IF(AND($Z1119="Débit",$N1119=$N1118),$Q1118)),IF(OR(AND(OR($E1119&lt;&gt;"",$L1119=""),$M1119&lt;&gt;0),$A1119=""),IFERROR(VLOOKUP($E1119,Selection!$E:$F,2,false)),IFERROR(VLOOKUP(SUBSTITUTE($I1119,"-","",1),$K1119:$Q1120,7,false),VLOOKUP($K1119,$K1119:$Q1120,7,false))))</f>
        <v/>
      </c>
      <c r="R1119" s="34" t="str">
        <f t="shared" si="2"/>
        <v/>
      </c>
      <c r="S1119" s="37" t="str">
        <f t="shared" si="3"/>
        <v/>
      </c>
      <c r="T1119" s="38" t="str">
        <f t="shared" si="4"/>
        <v/>
      </c>
      <c r="U1119" s="28" t="str">
        <f t="shared" si="5"/>
        <v/>
      </c>
      <c r="V1119" s="39" t="str">
        <f>IFERROR(__xludf.DUMMYFUNCTION(" IF(Account!$F1119&lt;&gt;"""", SPLIT(Account!$F1119, "" ""), """")"),"")</f>
        <v/>
      </c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</row>
  </sheetData>
  <autoFilter ref="$A$1:$AJ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43" t="str">
        <f>IFERROR(__xludf.DUMMYFUNCTION("UNIQUE(Account!O:U)"),"Date")</f>
        <v>Date</v>
      </c>
      <c r="B1" s="44" t="str">
        <f>IFERROR(__xludf.DUMMYFUNCTION("""COMPUTED_VALUE"""),"Type")</f>
        <v>Type</v>
      </c>
      <c r="C1" s="45" t="str">
        <f>IFERROR(__xludf.DUMMYFUNCTION("""COMPUTED_VALUE"""),"Label")</f>
        <v>Label</v>
      </c>
      <c r="D1" s="44" t="str">
        <f>IFERROR(__xludf.DUMMYFUNCTION("""COMPUTED_VALUE"""),"Transaction")</f>
        <v>Transaction</v>
      </c>
      <c r="E1" s="44" t="str">
        <f>IFERROR(__xludf.DUMMYFUNCTION("""COMPUTED_VALUE"""),"Quantity")</f>
        <v>Quantity</v>
      </c>
      <c r="F1" s="46" t="str">
        <f>IFERROR(__xludf.DUMMYFUNCTION("""COMPUTED_VALUE"""),"Price")</f>
        <v>Price</v>
      </c>
      <c r="G1" s="47" t="str">
        <f>IFERROR(__xludf.DUMMYFUNCTION("""COMPUTED_VALUE"""),"Value")</f>
        <v>Value</v>
      </c>
      <c r="H1" s="3" t="s">
        <v>83</v>
      </c>
    </row>
    <row r="2">
      <c r="A2" s="48">
        <f>IFERROR(__xludf.DUMMYFUNCTION("""COMPUTED_VALUE"""),43596.0)</f>
        <v>43596</v>
      </c>
      <c r="B2" t="str">
        <f>IFERROR(__xludf.DUMMYFUNCTION("""COMPUTED_VALUE"""),"")</f>
        <v/>
      </c>
      <c r="C2" s="49" t="str">
        <f>IFERROR(__xludf.DUMMYFUNCTION("""COMPUTED_VALUE"""),"")</f>
        <v/>
      </c>
      <c r="D2" s="50" t="str">
        <f>IFERROR(__xludf.DUMMYFUNCTION("""COMPUTED_VALUE"""),"APPROVISIONNEMENT")</f>
        <v>APPROVISIONNEMENT</v>
      </c>
      <c r="E2" s="51" t="str">
        <f>IFERROR(__xludf.DUMMYFUNCTION("""COMPUTED_VALUE"""),"")</f>
        <v/>
      </c>
      <c r="F2" s="52" t="str">
        <f>IFERROR(__xludf.DUMMYFUNCTION("""COMPUTED_VALUE"""),"")</f>
        <v/>
      </c>
      <c r="G2" s="53">
        <f>IFERROR(__xludf.DUMMYFUNCTION("""COMPUTED_VALUE"""),-500.0)</f>
        <v>-500</v>
      </c>
      <c r="H2" s="54" t="str">
        <f t="shared" ref="H2:H510" si="1">IF(D2&lt;&gt;"",C2 &amp; "@" &amp; D2 &amp; "@" &amp; E2 &amp; "@" &amp; G2,"")</f>
        <v>@APPROVISIONNEMENT@@-500</v>
      </c>
    </row>
    <row r="3">
      <c r="A3" s="48">
        <f>IFERROR(__xludf.DUMMYFUNCTION("""COMPUTED_VALUE"""),43593.0)</f>
        <v>43593</v>
      </c>
      <c r="B3" t="str">
        <f>IFERROR(__xludf.DUMMYFUNCTION("""COMPUTED_VALUE"""),"Long term US bonds (20-25 year)")</f>
        <v>Long term US bonds (20-25 year)</v>
      </c>
      <c r="C3" s="49" t="str">
        <f>IFERROR(__xludf.DUMMYFUNCTION("""COMPUTED_VALUE"""),"iShares USD Treasury Bond 20+yr UCITS ETF")</f>
        <v>iShares USD Treasury Bond 20+yr UCITS ETF</v>
      </c>
      <c r="D3" s="50" t="str">
        <f>IFERROR(__xludf.DUMMYFUNCTION("""COMPUTED_VALUE"""),"COST")</f>
        <v>COST</v>
      </c>
      <c r="E3" s="51" t="str">
        <f>IFERROR(__xludf.DUMMYFUNCTION("""COMPUTED_VALUE"""),"")</f>
        <v/>
      </c>
      <c r="F3" s="52" t="str">
        <f>IFERROR(__xludf.DUMMYFUNCTION("""COMPUTED_VALUE"""),"")</f>
        <v/>
      </c>
      <c r="G3" s="53">
        <f>IFERROR(__xludf.DUMMYFUNCTION("""COMPUTED_VALUE"""),-2.35)</f>
        <v>-2.35</v>
      </c>
      <c r="H3" s="54" t="str">
        <f t="shared" si="1"/>
        <v>iShares USD Treasury Bond 20+yr UCITS ETF@COST@@-2.35</v>
      </c>
    </row>
    <row r="4">
      <c r="A4" s="48">
        <f>IFERROR(__xludf.DUMMYFUNCTION("""COMPUTED_VALUE"""),43593.0)</f>
        <v>43593</v>
      </c>
      <c r="B4" t="str">
        <f>IFERROR(__xludf.DUMMYFUNCTION("""COMPUTED_VALUE"""),"Long term US bonds (20-25 year)")</f>
        <v>Long term US bonds (20-25 year)</v>
      </c>
      <c r="C4" s="49" t="str">
        <f>IFERROR(__xludf.DUMMYFUNCTION("""COMPUTED_VALUE"""),"iShares USD Treasury Bond 20+yr UCITS ETF")</f>
        <v>iShares USD Treasury Bond 20+yr UCITS ETF</v>
      </c>
      <c r="D4" s="50" t="str">
        <f>IFERROR(__xludf.DUMMYFUNCTION("""COMPUTED_VALUE"""),"SELL")</f>
        <v>SELL</v>
      </c>
      <c r="E4" s="51">
        <f>IFERROR(__xludf.DUMMYFUNCTION("""COMPUTED_VALUE"""),-412.0)</f>
        <v>-412</v>
      </c>
      <c r="F4" s="52">
        <f>IFERROR(__xludf.DUMMYFUNCTION("""COMPUTED_VALUE"""),4.220800970873786)</f>
        <v>4.220800971</v>
      </c>
      <c r="G4" s="53">
        <f>IFERROR(__xludf.DUMMYFUNCTION("""COMPUTED_VALUE"""),1738.97)</f>
        <v>1738.97</v>
      </c>
      <c r="H4" s="54" t="str">
        <f t="shared" si="1"/>
        <v>iShares USD Treasury Bond 20+yr UCITS ETF@SELL@-412@1738.97</v>
      </c>
    </row>
    <row r="5">
      <c r="A5" s="48">
        <f>IFERROR(__xludf.DUMMYFUNCTION("""COMPUTED_VALUE"""),43593.0)</f>
        <v>43593</v>
      </c>
      <c r="B5" t="str">
        <f>IFERROR(__xludf.DUMMYFUNCTION("""COMPUTED_VALUE"""),"Intermediate US bonds (7-10 year)")</f>
        <v>Intermediate US bonds (7-10 year)</v>
      </c>
      <c r="C5" s="49" t="str">
        <f>IFERROR(__xludf.DUMMYFUNCTION("""COMPUTED_VALUE"""),"iShares USD Treasury Bond 7-10yr UCITS ETF")</f>
        <v>iShares USD Treasury Bond 7-10yr UCITS ETF</v>
      </c>
      <c r="D5" s="50" t="str">
        <f>IFERROR(__xludf.DUMMYFUNCTION("""COMPUTED_VALUE"""),"SELL")</f>
        <v>SELL</v>
      </c>
      <c r="E5" s="51">
        <f>IFERROR(__xludf.DUMMYFUNCTION("""COMPUTED_VALUE"""),-7.0)</f>
        <v>-7</v>
      </c>
      <c r="F5" s="52">
        <f>IFERROR(__xludf.DUMMYFUNCTION("""COMPUTED_VALUE"""),176.20000000000002)</f>
        <v>176.2</v>
      </c>
      <c r="G5" s="53">
        <f>IFERROR(__xludf.DUMMYFUNCTION("""COMPUTED_VALUE"""),1233.4)</f>
        <v>1233.4</v>
      </c>
      <c r="H5" s="54" t="str">
        <f t="shared" si="1"/>
        <v>iShares USD Treasury Bond 7-10yr UCITS ETF@SELL@-7@1233.4</v>
      </c>
    </row>
    <row r="6">
      <c r="A6" s="48">
        <f>IFERROR(__xludf.DUMMYFUNCTION("""COMPUTED_VALUE"""),43593.0)</f>
        <v>43593</v>
      </c>
      <c r="B6" t="str">
        <f>IFERROR(__xludf.DUMMYFUNCTION("""COMPUTED_VALUE"""),"Long term US bonds (20-25 year)")</f>
        <v>Long term US bonds (20-25 year)</v>
      </c>
      <c r="C6" s="49" t="str">
        <f>IFERROR(__xludf.DUMMYFUNCTION("""COMPUTED_VALUE"""),"iShares USD Treasury Bond 20+yr UCITS ETF")</f>
        <v>iShares USD Treasury Bond 20+yr UCITS ETF</v>
      </c>
      <c r="D6" s="50" t="str">
        <f>IFERROR(__xludf.DUMMYFUNCTION("""COMPUTED_VALUE"""),"COST")</f>
        <v>COST</v>
      </c>
      <c r="E6" s="51" t="str">
        <f>IFERROR(__xludf.DUMMYFUNCTION("""COMPUTED_VALUE"""),"")</f>
        <v/>
      </c>
      <c r="F6" s="52" t="str">
        <f>IFERROR(__xludf.DUMMYFUNCTION("""COMPUTED_VALUE"""),"")</f>
        <v/>
      </c>
      <c r="G6" s="53">
        <f>IFERROR(__xludf.DUMMYFUNCTION("""COMPUTED_VALUE"""),-2.33)</f>
        <v>-2.33</v>
      </c>
      <c r="H6" s="54" t="str">
        <f t="shared" si="1"/>
        <v>iShares USD Treasury Bond 20+yr UCITS ETF@COST@@-2.33</v>
      </c>
    </row>
    <row r="7">
      <c r="A7" s="48">
        <f>IFERROR(__xludf.DUMMYFUNCTION("""COMPUTED_VALUE"""),43593.0)</f>
        <v>43593</v>
      </c>
      <c r="B7" t="str">
        <f>IFERROR(__xludf.DUMMYFUNCTION("""COMPUTED_VALUE"""),"Long term US bonds (20-25 year)")</f>
        <v>Long term US bonds (20-25 year)</v>
      </c>
      <c r="C7" s="49" t="str">
        <f>IFERROR(__xludf.DUMMYFUNCTION("""COMPUTED_VALUE"""),"iShares USD Treasury Bond 20+yr UCITS ETF")</f>
        <v>iShares USD Treasury Bond 20+yr UCITS ETF</v>
      </c>
      <c r="D7" s="50" t="str">
        <f>IFERROR(__xludf.DUMMYFUNCTION("""COMPUTED_VALUE"""),"SELL")</f>
        <v>SELL</v>
      </c>
      <c r="E7" s="51">
        <f>IFERROR(__xludf.DUMMYFUNCTION("""COMPUTED_VALUE"""),-388.0)</f>
        <v>-388</v>
      </c>
      <c r="F7" s="52">
        <f>IFERROR(__xludf.DUMMYFUNCTION("""COMPUTED_VALUE"""),4.211005154639175)</f>
        <v>4.211005155</v>
      </c>
      <c r="G7" s="53">
        <f>IFERROR(__xludf.DUMMYFUNCTION("""COMPUTED_VALUE"""),1633.87)</f>
        <v>1633.87</v>
      </c>
      <c r="H7" s="54" t="str">
        <f t="shared" si="1"/>
        <v>iShares USD Treasury Bond 20+yr UCITS ETF@SELL@-388@1633.87</v>
      </c>
    </row>
    <row r="8">
      <c r="A8" s="48">
        <f>IFERROR(__xludf.DUMMYFUNCTION("""COMPUTED_VALUE"""),43592.0)</f>
        <v>43592</v>
      </c>
      <c r="B8" t="str">
        <f>IFERROR(__xludf.DUMMYFUNCTION("""COMPUTED_VALUE"""),"Long term US bonds (20-25 year)")</f>
        <v>Long term US bonds (20-25 year)</v>
      </c>
      <c r="C8" s="49" t="str">
        <f>IFERROR(__xludf.DUMMYFUNCTION("""COMPUTED_VALUE"""),"iShares USD Treasury Bond 20+yr UCITS ETF")</f>
        <v>iShares USD Treasury Bond 20+yr UCITS ETF</v>
      </c>
      <c r="D8" s="50" t="str">
        <f>IFERROR(__xludf.DUMMYFUNCTION("""COMPUTED_VALUE"""),"COST")</f>
        <v>COST</v>
      </c>
      <c r="E8" s="51" t="str">
        <f>IFERROR(__xludf.DUMMYFUNCTION("""COMPUTED_VALUE"""),"")</f>
        <v/>
      </c>
      <c r="F8" s="52" t="str">
        <f>IFERROR(__xludf.DUMMYFUNCTION("""COMPUTED_VALUE"""),"")</f>
        <v/>
      </c>
      <c r="G8" s="53">
        <f>IFERROR(__xludf.DUMMYFUNCTION("""COMPUTED_VALUE"""),-2.23)</f>
        <v>-2.23</v>
      </c>
      <c r="H8" s="54" t="str">
        <f t="shared" si="1"/>
        <v>iShares USD Treasury Bond 20+yr UCITS ETF@COST@@-2.23</v>
      </c>
    </row>
    <row r="9">
      <c r="A9" s="48">
        <f>IFERROR(__xludf.DUMMYFUNCTION("""COMPUTED_VALUE"""),43592.0)</f>
        <v>43592</v>
      </c>
      <c r="B9" t="str">
        <f>IFERROR(__xludf.DUMMYFUNCTION("""COMPUTED_VALUE"""),"Long term US bonds (20-25 year)")</f>
        <v>Long term US bonds (20-25 year)</v>
      </c>
      <c r="C9" s="49" t="str">
        <f>IFERROR(__xludf.DUMMYFUNCTION("""COMPUTED_VALUE"""),"iShares USD Treasury Bond 20+yr UCITS ETF")</f>
        <v>iShares USD Treasury Bond 20+yr UCITS ETF</v>
      </c>
      <c r="D9" s="50" t="str">
        <f>IFERROR(__xludf.DUMMYFUNCTION("""COMPUTED_VALUE"""),"SELL")</f>
        <v>SELL</v>
      </c>
      <c r="E9" s="51">
        <f>IFERROR(__xludf.DUMMYFUNCTION("""COMPUTED_VALUE"""),-277.0)</f>
        <v>-277</v>
      </c>
      <c r="F9" s="52">
        <f>IFERROR(__xludf.DUMMYFUNCTION("""COMPUTED_VALUE"""),4.198014440433212)</f>
        <v>4.19801444</v>
      </c>
      <c r="G9" s="53">
        <f>IFERROR(__xludf.DUMMYFUNCTION("""COMPUTED_VALUE"""),1162.85)</f>
        <v>1162.85</v>
      </c>
      <c r="H9" s="54" t="str">
        <f t="shared" si="1"/>
        <v>iShares USD Treasury Bond 20+yr UCITS ETF@SELL@-277@1162.85</v>
      </c>
    </row>
    <row r="10">
      <c r="A10" s="48">
        <f>IFERROR(__xludf.DUMMYFUNCTION("""COMPUTED_VALUE"""),43591.0)</f>
        <v>43591</v>
      </c>
      <c r="B10" t="str">
        <f>IFERROR(__xludf.DUMMYFUNCTION("""COMPUTED_VALUE"""),"Intermediate US bonds (7-10 year)")</f>
        <v>Intermediate US bonds (7-10 year)</v>
      </c>
      <c r="C10" s="49" t="str">
        <f>IFERROR(__xludf.DUMMYFUNCTION("""COMPUTED_VALUE"""),"iShares USD Treasury Bond 7-10yr UCITS ETF")</f>
        <v>iShares USD Treasury Bond 7-10yr UCITS ETF</v>
      </c>
      <c r="D10" s="50" t="str">
        <f>IFERROR(__xludf.DUMMYFUNCTION("""COMPUTED_VALUE"""),"SELL")</f>
        <v>SELL</v>
      </c>
      <c r="E10" s="51">
        <f>IFERROR(__xludf.DUMMYFUNCTION("""COMPUTED_VALUE"""),-6.0)</f>
        <v>-6</v>
      </c>
      <c r="F10" s="52">
        <f>IFERROR(__xludf.DUMMYFUNCTION("""COMPUTED_VALUE"""),175.51)</f>
        <v>175.51</v>
      </c>
      <c r="G10" s="53">
        <f>IFERROR(__xludf.DUMMYFUNCTION("""COMPUTED_VALUE"""),1053.06)</f>
        <v>1053.06</v>
      </c>
      <c r="H10" s="54" t="str">
        <f t="shared" si="1"/>
        <v>iShares USD Treasury Bond 7-10yr UCITS ETF@SELL@-6@1053.06</v>
      </c>
    </row>
    <row r="11">
      <c r="A11" s="48">
        <f>IFERROR(__xludf.DUMMYFUNCTION("""COMPUTED_VALUE"""),43591.0)</f>
        <v>43591</v>
      </c>
      <c r="B11" t="str">
        <f>IFERROR(__xludf.DUMMYFUNCTION("""COMPUTED_VALUE"""),"Long term US bonds (20-25 year)")</f>
        <v>Long term US bonds (20-25 year)</v>
      </c>
      <c r="C11" s="49" t="str">
        <f>IFERROR(__xludf.DUMMYFUNCTION("""COMPUTED_VALUE"""),"iShares USD Treasury Bond 20+yr UCITS ETF")</f>
        <v>iShares USD Treasury Bond 20+yr UCITS ETF</v>
      </c>
      <c r="D11" s="50" t="str">
        <f>IFERROR(__xludf.DUMMYFUNCTION("""COMPUTED_VALUE"""),"COST")</f>
        <v>COST</v>
      </c>
      <c r="E11" s="51" t="str">
        <f>IFERROR(__xludf.DUMMYFUNCTION("""COMPUTED_VALUE"""),"")</f>
        <v/>
      </c>
      <c r="F11" s="52" t="str">
        <f>IFERROR(__xludf.DUMMYFUNCTION("""COMPUTED_VALUE"""),"")</f>
        <v/>
      </c>
      <c r="G11" s="53">
        <f>IFERROR(__xludf.DUMMYFUNCTION("""COMPUTED_VALUE"""),-2.77)</f>
        <v>-2.77</v>
      </c>
      <c r="H11" s="54" t="str">
        <f t="shared" si="1"/>
        <v>iShares USD Treasury Bond 20+yr UCITS ETF@COST@@-2.77</v>
      </c>
    </row>
    <row r="12">
      <c r="A12" s="48">
        <f>IFERROR(__xludf.DUMMYFUNCTION("""COMPUTED_VALUE"""),43591.0)</f>
        <v>43591</v>
      </c>
      <c r="B12" t="str">
        <f>IFERROR(__xludf.DUMMYFUNCTION("""COMPUTED_VALUE"""),"Long term US bonds (20-25 year)")</f>
        <v>Long term US bonds (20-25 year)</v>
      </c>
      <c r="C12" s="49" t="str">
        <f>IFERROR(__xludf.DUMMYFUNCTION("""COMPUTED_VALUE"""),"iShares USD Treasury Bond 20+yr UCITS ETF")</f>
        <v>iShares USD Treasury Bond 20+yr UCITS ETF</v>
      </c>
      <c r="D12" s="50" t="str">
        <f>IFERROR(__xludf.DUMMYFUNCTION("""COMPUTED_VALUE"""),"SELL")</f>
        <v>SELL</v>
      </c>
      <c r="E12" s="51">
        <f>IFERROR(__xludf.DUMMYFUNCTION("""COMPUTED_VALUE"""),-925.0)</f>
        <v>-925</v>
      </c>
      <c r="F12" s="52">
        <f>IFERROR(__xludf.DUMMYFUNCTION("""COMPUTED_VALUE"""),4.1872)</f>
        <v>4.1872</v>
      </c>
      <c r="G12" s="53">
        <f>IFERROR(__xludf.DUMMYFUNCTION("""COMPUTED_VALUE"""),3873.16)</f>
        <v>3873.16</v>
      </c>
      <c r="H12" s="54" t="str">
        <f t="shared" si="1"/>
        <v>iShares USD Treasury Bond 20+yr UCITS ETF@SELL@-925@3873.16</v>
      </c>
    </row>
    <row r="13">
      <c r="A13" s="48">
        <f>IFERROR(__xludf.DUMMYFUNCTION("""COMPUTED_VALUE"""),43588.0)</f>
        <v>43588</v>
      </c>
      <c r="B13" t="str">
        <f>IFERROR(__xludf.DUMMYFUNCTION("""COMPUTED_VALUE"""),"Long term US bonds (20-25 year)")</f>
        <v>Long term US bonds (20-25 year)</v>
      </c>
      <c r="C13" s="49" t="str">
        <f>IFERROR(__xludf.DUMMYFUNCTION("""COMPUTED_VALUE"""),"iShares USD Treasury Bond 20+yr UCITS ETF")</f>
        <v>iShares USD Treasury Bond 20+yr UCITS ETF</v>
      </c>
      <c r="D13" s="50" t="str">
        <f>IFERROR(__xludf.DUMMYFUNCTION("""COMPUTED_VALUE"""),"COST")</f>
        <v>COST</v>
      </c>
      <c r="E13" s="51" t="str">
        <f>IFERROR(__xludf.DUMMYFUNCTION("""COMPUTED_VALUE"""),"")</f>
        <v/>
      </c>
      <c r="F13" s="52" t="str">
        <f>IFERROR(__xludf.DUMMYFUNCTION("""COMPUTED_VALUE"""),"")</f>
        <v/>
      </c>
      <c r="G13" s="53">
        <f>IFERROR(__xludf.DUMMYFUNCTION("""COMPUTED_VALUE"""),-2.25)</f>
        <v>-2.25</v>
      </c>
      <c r="H13" s="54" t="str">
        <f t="shared" si="1"/>
        <v>iShares USD Treasury Bond 20+yr UCITS ETF@COST@@-2.25</v>
      </c>
    </row>
    <row r="14">
      <c r="A14" s="48">
        <f>IFERROR(__xludf.DUMMYFUNCTION("""COMPUTED_VALUE"""),43588.0)</f>
        <v>43588</v>
      </c>
      <c r="B14" t="str">
        <f>IFERROR(__xludf.DUMMYFUNCTION("""COMPUTED_VALUE"""),"Long term US bonds (20-25 year)")</f>
        <v>Long term US bonds (20-25 year)</v>
      </c>
      <c r="C14" s="49" t="str">
        <f>IFERROR(__xludf.DUMMYFUNCTION("""COMPUTED_VALUE"""),"iShares USD Treasury Bond 20+yr UCITS ETF")</f>
        <v>iShares USD Treasury Bond 20+yr UCITS ETF</v>
      </c>
      <c r="D14" s="50" t="str">
        <f>IFERROR(__xludf.DUMMYFUNCTION("""COMPUTED_VALUE"""),"SELL")</f>
        <v>SELL</v>
      </c>
      <c r="E14" s="51">
        <f>IFERROR(__xludf.DUMMYFUNCTION("""COMPUTED_VALUE"""),-295.0)</f>
        <v>-295</v>
      </c>
      <c r="F14" s="52">
        <f>IFERROR(__xludf.DUMMYFUNCTION("""COMPUTED_VALUE"""),4.168610169491526)</f>
        <v>4.168610169</v>
      </c>
      <c r="G14" s="53">
        <f>IFERROR(__xludf.DUMMYFUNCTION("""COMPUTED_VALUE"""),1229.74)</f>
        <v>1229.74</v>
      </c>
      <c r="H14" s="54" t="str">
        <f t="shared" si="1"/>
        <v>iShares USD Treasury Bond 20+yr UCITS ETF@SELL@-295@1229.74</v>
      </c>
    </row>
    <row r="15">
      <c r="A15" s="48">
        <f>IFERROR(__xludf.DUMMYFUNCTION("""COMPUTED_VALUE"""),43588.0)</f>
        <v>43588</v>
      </c>
      <c r="B15" t="str">
        <f>IFERROR(__xludf.DUMMYFUNCTION("""COMPUTED_VALUE"""),"")</f>
        <v/>
      </c>
      <c r="C15" s="49" t="str">
        <f>IFERROR(__xludf.DUMMYFUNCTION("""COMPUTED_VALUE"""),"")</f>
        <v/>
      </c>
      <c r="D15" s="50" t="str">
        <f>IFERROR(__xludf.DUMMYFUNCTION("""COMPUTED_VALUE"""),"COST")</f>
        <v>COST</v>
      </c>
      <c r="E15" s="51" t="str">
        <f>IFERROR(__xludf.DUMMYFUNCTION("""COMPUTED_VALUE"""),"")</f>
        <v/>
      </c>
      <c r="F15" s="52" t="str">
        <f>IFERROR(__xludf.DUMMYFUNCTION("""COMPUTED_VALUE"""),"")</f>
        <v/>
      </c>
      <c r="G15" s="53">
        <f>IFERROR(__xludf.DUMMYFUNCTION("""COMPUTED_VALUE"""),-2.5)</f>
        <v>-2.5</v>
      </c>
      <c r="H15" s="54" t="str">
        <f t="shared" si="1"/>
        <v>@COST@@-2.5</v>
      </c>
    </row>
    <row r="16">
      <c r="A16" s="48">
        <f>IFERROR(__xludf.DUMMYFUNCTION("""COMPUTED_VALUE"""),43588.0)</f>
        <v>43588</v>
      </c>
      <c r="B16" t="str">
        <f>IFERROR(__xludf.DUMMYFUNCTION("""COMPUTED_VALUE"""),"")</f>
        <v/>
      </c>
      <c r="C16" s="49" t="str">
        <f>IFERROR(__xludf.DUMMYFUNCTION("""COMPUTED_VALUE"""),"")</f>
        <v/>
      </c>
      <c r="D16" s="50" t="str">
        <f>IFERROR(__xludf.DUMMYFUNCTION("""COMPUTED_VALUE"""),"APPROVISIONNEMENT")</f>
        <v>APPROVISIONNEMENT</v>
      </c>
      <c r="E16" s="51" t="str">
        <f>IFERROR(__xludf.DUMMYFUNCTION("""COMPUTED_VALUE"""),"")</f>
        <v/>
      </c>
      <c r="F16" s="52" t="str">
        <f>IFERROR(__xludf.DUMMYFUNCTION("""COMPUTED_VALUE"""),"")</f>
        <v/>
      </c>
      <c r="G16" s="53">
        <f>IFERROR(__xludf.DUMMYFUNCTION("""COMPUTED_VALUE"""),-500.0)</f>
        <v>-500</v>
      </c>
      <c r="H16" s="54" t="str">
        <f t="shared" si="1"/>
        <v>@APPROVISIONNEMENT@@-500</v>
      </c>
    </row>
    <row r="17">
      <c r="A17" s="48">
        <f>IFERROR(__xludf.DUMMYFUNCTION("""COMPUTED_VALUE"""),43588.0)</f>
        <v>43588</v>
      </c>
      <c r="B17" t="str">
        <f>IFERROR(__xludf.DUMMYFUNCTION("""COMPUTED_VALUE"""),"")</f>
        <v/>
      </c>
      <c r="C17" s="49" t="str">
        <f>IFERROR(__xludf.DUMMYFUNCTION("""COMPUTED_VALUE"""),"")</f>
        <v/>
      </c>
      <c r="D17" s="50" t="str">
        <f>IFERROR(__xludf.DUMMYFUNCTION("""COMPUTED_VALUE"""),"COST")</f>
        <v>COST</v>
      </c>
      <c r="E17" s="51" t="str">
        <f>IFERROR(__xludf.DUMMYFUNCTION("""COMPUTED_VALUE"""),"")</f>
        <v/>
      </c>
      <c r="F17" s="52" t="str">
        <f>IFERROR(__xludf.DUMMYFUNCTION("""COMPUTED_VALUE"""),"")</f>
        <v/>
      </c>
      <c r="G17" s="53">
        <f>IFERROR(__xludf.DUMMYFUNCTION("""COMPUTED_VALUE"""),-547.92)</f>
        <v>-547.92</v>
      </c>
      <c r="H17" s="54" t="str">
        <f t="shared" si="1"/>
        <v>@COST@@-547.92</v>
      </c>
    </row>
    <row r="18">
      <c r="A18" s="48">
        <f>IFERROR(__xludf.DUMMYFUNCTION("""COMPUTED_VALUE"""),43584.0)</f>
        <v>43584</v>
      </c>
      <c r="B18" t="str">
        <f>IFERROR(__xludf.DUMMYFUNCTION("""COMPUTED_VALUE"""),"Stocks")</f>
        <v>Stocks</v>
      </c>
      <c r="C18" s="49" t="str">
        <f>IFERROR(__xludf.DUMMYFUNCTION("""COMPUTED_VALUE"""),"Vanguard S&amp;P 500 UCITS ETF")</f>
        <v>Vanguard S&amp;P 500 UCITS ETF</v>
      </c>
      <c r="D18" s="50" t="str">
        <f>IFERROR(__xludf.DUMMYFUNCTION("""COMPUTED_VALUE"""),"SELL")</f>
        <v>SELL</v>
      </c>
      <c r="E18" s="51">
        <f>IFERROR(__xludf.DUMMYFUNCTION("""COMPUTED_VALUE"""),-25.0)</f>
        <v>-25</v>
      </c>
      <c r="F18" s="52">
        <f>IFERROR(__xludf.DUMMYFUNCTION("""COMPUTED_VALUE"""),50.092)</f>
        <v>50.092</v>
      </c>
      <c r="G18" s="53">
        <f>IFERROR(__xludf.DUMMYFUNCTION("""COMPUTED_VALUE"""),1252.3)</f>
        <v>1252.3</v>
      </c>
      <c r="H18" s="54" t="str">
        <f t="shared" si="1"/>
        <v>Vanguard S&amp;P 500 UCITS ETF@SELL@-25@1252.3</v>
      </c>
    </row>
    <row r="19">
      <c r="A19" s="48">
        <f>IFERROR(__xludf.DUMMYFUNCTION("""COMPUTED_VALUE"""),43580.0)</f>
        <v>43580</v>
      </c>
      <c r="B19" t="str">
        <f>IFERROR(__xludf.DUMMYFUNCTION("""COMPUTED_VALUE"""),"Long term US bonds (20-25 year)")</f>
        <v>Long term US bonds (20-25 year)</v>
      </c>
      <c r="C19" s="49" t="str">
        <f>IFERROR(__xludf.DUMMYFUNCTION("""COMPUTED_VALUE"""),"iShares USD Treasury Bond 20+yr UCITS ETF")</f>
        <v>iShares USD Treasury Bond 20+yr UCITS ETF</v>
      </c>
      <c r="D19" s="50" t="str">
        <f>IFERROR(__xludf.DUMMYFUNCTION("""COMPUTED_VALUE"""),"COST")</f>
        <v>COST</v>
      </c>
      <c r="E19" s="51" t="str">
        <f>IFERROR(__xludf.DUMMYFUNCTION("""COMPUTED_VALUE"""),"")</f>
        <v/>
      </c>
      <c r="F19" s="52" t="str">
        <f>IFERROR(__xludf.DUMMYFUNCTION("""COMPUTED_VALUE"""),"")</f>
        <v/>
      </c>
      <c r="G19" s="53">
        <f>IFERROR(__xludf.DUMMYFUNCTION("""COMPUTED_VALUE"""),-2.45)</f>
        <v>-2.45</v>
      </c>
      <c r="H19" s="54" t="str">
        <f t="shared" si="1"/>
        <v>iShares USD Treasury Bond 20+yr UCITS ETF@COST@@-2.45</v>
      </c>
    </row>
    <row r="20">
      <c r="A20" s="48">
        <f>IFERROR(__xludf.DUMMYFUNCTION("""COMPUTED_VALUE"""),43580.0)</f>
        <v>43580</v>
      </c>
      <c r="B20" t="str">
        <f>IFERROR(__xludf.DUMMYFUNCTION("""COMPUTED_VALUE"""),"Long term US bonds (20-25 year)")</f>
        <v>Long term US bonds (20-25 year)</v>
      </c>
      <c r="C20" s="49" t="str">
        <f>IFERROR(__xludf.DUMMYFUNCTION("""COMPUTED_VALUE"""),"iShares USD Treasury Bond 20+yr UCITS ETF")</f>
        <v>iShares USD Treasury Bond 20+yr UCITS ETF</v>
      </c>
      <c r="D20" s="50" t="str">
        <f>IFERROR(__xludf.DUMMYFUNCTION("""COMPUTED_VALUE"""),"SELL")</f>
        <v>SELL</v>
      </c>
      <c r="E20" s="51">
        <f>IFERROR(__xludf.DUMMYFUNCTION("""COMPUTED_VALUE"""),-544.0)</f>
        <v>-544</v>
      </c>
      <c r="F20" s="52">
        <f>IFERROR(__xludf.DUMMYFUNCTION("""COMPUTED_VALUE"""),4.162996323529412)</f>
        <v>4.162996324</v>
      </c>
      <c r="G20" s="53">
        <f>IFERROR(__xludf.DUMMYFUNCTION("""COMPUTED_VALUE"""),2264.67)</f>
        <v>2264.67</v>
      </c>
      <c r="H20" s="54" t="str">
        <f t="shared" si="1"/>
        <v>iShares USD Treasury Bond 20+yr UCITS ETF@SELL@-544@2264.67</v>
      </c>
    </row>
    <row r="21">
      <c r="A21" s="48">
        <f>IFERROR(__xludf.DUMMYFUNCTION("""COMPUTED_VALUE"""),43579.0)</f>
        <v>43579</v>
      </c>
      <c r="B21" t="str">
        <f>IFERROR(__xludf.DUMMYFUNCTION("""COMPUTED_VALUE"""),"Intermediate US bonds (7-10 year)")</f>
        <v>Intermediate US bonds (7-10 year)</v>
      </c>
      <c r="C21" s="49" t="str">
        <f>IFERROR(__xludf.DUMMYFUNCTION("""COMPUTED_VALUE"""),"iShares USD Treasury Bond 7-10yr UCITS ETF")</f>
        <v>iShares USD Treasury Bond 7-10yr UCITS ETF</v>
      </c>
      <c r="D21" s="50" t="str">
        <f>IFERROR(__xludf.DUMMYFUNCTION("""COMPUTED_VALUE"""),"SELL")</f>
        <v>SELL</v>
      </c>
      <c r="E21" s="51">
        <f>IFERROR(__xludf.DUMMYFUNCTION("""COMPUTED_VALUE"""),-6.0)</f>
        <v>-6</v>
      </c>
      <c r="F21" s="52">
        <f>IFERROR(__xludf.DUMMYFUNCTION("""COMPUTED_VALUE"""),175.0)</f>
        <v>175</v>
      </c>
      <c r="G21" s="53">
        <f>IFERROR(__xludf.DUMMYFUNCTION("""COMPUTED_VALUE"""),1050.0)</f>
        <v>1050</v>
      </c>
      <c r="H21" s="54" t="str">
        <f t="shared" si="1"/>
        <v>iShares USD Treasury Bond 7-10yr UCITS ETF@SELL@-6@1050</v>
      </c>
    </row>
    <row r="22">
      <c r="A22" s="48">
        <f>IFERROR(__xludf.DUMMYFUNCTION("""COMPUTED_VALUE"""),43579.0)</f>
        <v>43579</v>
      </c>
      <c r="B22" t="str">
        <f>IFERROR(__xludf.DUMMYFUNCTION("""COMPUTED_VALUE"""),"Stocks")</f>
        <v>Stocks</v>
      </c>
      <c r="C22" s="49" t="str">
        <f>IFERROR(__xludf.DUMMYFUNCTION("""COMPUTED_VALUE"""),"Vanguard S&amp;P 500 UCITS ETF")</f>
        <v>Vanguard S&amp;P 500 UCITS ETF</v>
      </c>
      <c r="D22" s="50" t="str">
        <f>IFERROR(__xludf.DUMMYFUNCTION("""COMPUTED_VALUE"""),"SELL")</f>
        <v>SELL</v>
      </c>
      <c r="E22" s="51">
        <f>IFERROR(__xludf.DUMMYFUNCTION("""COMPUTED_VALUE"""),-21.0)</f>
        <v>-21</v>
      </c>
      <c r="F22" s="52">
        <f>IFERROR(__xludf.DUMMYFUNCTION("""COMPUTED_VALUE"""),49.72904761904762)</f>
        <v>49.72904762</v>
      </c>
      <c r="G22" s="53">
        <f>IFERROR(__xludf.DUMMYFUNCTION("""COMPUTED_VALUE"""),1044.31)</f>
        <v>1044.31</v>
      </c>
      <c r="H22" s="54" t="str">
        <f t="shared" si="1"/>
        <v>Vanguard S&amp;P 500 UCITS ETF@SELL@-21@1044.31</v>
      </c>
    </row>
    <row r="23">
      <c r="A23" s="48">
        <f>IFERROR(__xludf.DUMMYFUNCTION("""COMPUTED_VALUE"""),43579.0)</f>
        <v>43579</v>
      </c>
      <c r="B23" t="str">
        <f>IFERROR(__xludf.DUMMYFUNCTION("""COMPUTED_VALUE"""),"Long term US bonds (20-25 year)")</f>
        <v>Long term US bonds (20-25 year)</v>
      </c>
      <c r="C23" s="49" t="str">
        <f>IFERROR(__xludf.DUMMYFUNCTION("""COMPUTED_VALUE"""),"iShares USD Treasury Bond 20+yr UCITS ETF")</f>
        <v>iShares USD Treasury Bond 20+yr UCITS ETF</v>
      </c>
      <c r="D23" s="50" t="str">
        <f>IFERROR(__xludf.DUMMYFUNCTION("""COMPUTED_VALUE"""),"COST")</f>
        <v>COST</v>
      </c>
      <c r="E23" s="51" t="str">
        <f>IFERROR(__xludf.DUMMYFUNCTION("""COMPUTED_VALUE"""),"")</f>
        <v/>
      </c>
      <c r="F23" s="52" t="str">
        <f>IFERROR(__xludf.DUMMYFUNCTION("""COMPUTED_VALUE"""),"")</f>
        <v/>
      </c>
      <c r="G23" s="53">
        <f>IFERROR(__xludf.DUMMYFUNCTION("""COMPUTED_VALUE"""),-2.27)</f>
        <v>-2.27</v>
      </c>
      <c r="H23" s="54" t="str">
        <f t="shared" si="1"/>
        <v>iShares USD Treasury Bond 20+yr UCITS ETF@COST@@-2.27</v>
      </c>
    </row>
    <row r="24">
      <c r="A24" s="48">
        <f>IFERROR(__xludf.DUMMYFUNCTION("""COMPUTED_VALUE"""),43579.0)</f>
        <v>43579</v>
      </c>
      <c r="B24" t="str">
        <f>IFERROR(__xludf.DUMMYFUNCTION("""COMPUTED_VALUE"""),"Long term US bonds (20-25 year)")</f>
        <v>Long term US bonds (20-25 year)</v>
      </c>
      <c r="C24" s="49" t="str">
        <f>IFERROR(__xludf.DUMMYFUNCTION("""COMPUTED_VALUE"""),"iShares USD Treasury Bond 20+yr UCITS ETF")</f>
        <v>iShares USD Treasury Bond 20+yr UCITS ETF</v>
      </c>
      <c r="D24" s="50" t="str">
        <f>IFERROR(__xludf.DUMMYFUNCTION("""COMPUTED_VALUE"""),"SELL")</f>
        <v>SELL</v>
      </c>
      <c r="E24" s="51">
        <f>IFERROR(__xludf.DUMMYFUNCTION("""COMPUTED_VALUE"""),-330.0)</f>
        <v>-330</v>
      </c>
      <c r="F24" s="52">
        <f>IFERROR(__xludf.DUMMYFUNCTION("""COMPUTED_VALUE"""),4.141)</f>
        <v>4.141</v>
      </c>
      <c r="G24" s="53">
        <f>IFERROR(__xludf.DUMMYFUNCTION("""COMPUTED_VALUE"""),1366.53)</f>
        <v>1366.53</v>
      </c>
      <c r="H24" s="54" t="str">
        <f t="shared" si="1"/>
        <v>iShares USD Treasury Bond 20+yr UCITS ETF@SELL@-330@1366.53</v>
      </c>
    </row>
    <row r="25">
      <c r="A25" s="48">
        <f>IFERROR(__xludf.DUMMYFUNCTION("""COMPUTED_VALUE"""),43579.0)</f>
        <v>43579</v>
      </c>
      <c r="B25" t="str">
        <f>IFERROR(__xludf.DUMMYFUNCTION("""COMPUTED_VALUE"""),"Long term US bonds (20-25 year)")</f>
        <v>Long term US bonds (20-25 year)</v>
      </c>
      <c r="C25" s="49" t="str">
        <f>IFERROR(__xludf.DUMMYFUNCTION("""COMPUTED_VALUE"""),"iShares USD Treasury Bond 20+yr UCITS ETF")</f>
        <v>iShares USD Treasury Bond 20+yr UCITS ETF</v>
      </c>
      <c r="D25" s="50" t="str">
        <f>IFERROR(__xludf.DUMMYFUNCTION("""COMPUTED_VALUE"""),"COST")</f>
        <v>COST</v>
      </c>
      <c r="E25" s="51" t="str">
        <f>IFERROR(__xludf.DUMMYFUNCTION("""COMPUTED_VALUE"""),"")</f>
        <v/>
      </c>
      <c r="F25" s="52" t="str">
        <f>IFERROR(__xludf.DUMMYFUNCTION("""COMPUTED_VALUE"""),"")</f>
        <v/>
      </c>
      <c r="G25" s="53">
        <f>IFERROR(__xludf.DUMMYFUNCTION("""COMPUTED_VALUE"""),-2.26)</f>
        <v>-2.26</v>
      </c>
      <c r="H25" s="54" t="str">
        <f t="shared" si="1"/>
        <v>iShares USD Treasury Bond 20+yr UCITS ETF@COST@@-2.26</v>
      </c>
    </row>
    <row r="26">
      <c r="A26" s="48">
        <f>IFERROR(__xludf.DUMMYFUNCTION("""COMPUTED_VALUE"""),43579.0)</f>
        <v>43579</v>
      </c>
      <c r="B26" t="str">
        <f>IFERROR(__xludf.DUMMYFUNCTION("""COMPUTED_VALUE"""),"Long term US bonds (20-25 year)")</f>
        <v>Long term US bonds (20-25 year)</v>
      </c>
      <c r="C26" s="49" t="str">
        <f>IFERROR(__xludf.DUMMYFUNCTION("""COMPUTED_VALUE"""),"iShares USD Treasury Bond 20+yr UCITS ETF")</f>
        <v>iShares USD Treasury Bond 20+yr UCITS ETF</v>
      </c>
      <c r="D26" s="50" t="str">
        <f>IFERROR(__xludf.DUMMYFUNCTION("""COMPUTED_VALUE"""),"SELL")</f>
        <v>SELL</v>
      </c>
      <c r="E26" s="51">
        <f>IFERROR(__xludf.DUMMYFUNCTION("""COMPUTED_VALUE"""),-320.0)</f>
        <v>-320</v>
      </c>
      <c r="F26" s="52">
        <f>IFERROR(__xludf.DUMMYFUNCTION("""COMPUTED_VALUE"""),4.1356875)</f>
        <v>4.1356875</v>
      </c>
      <c r="G26" s="53">
        <f>IFERROR(__xludf.DUMMYFUNCTION("""COMPUTED_VALUE"""),1323.42)</f>
        <v>1323.42</v>
      </c>
      <c r="H26" s="54" t="str">
        <f t="shared" si="1"/>
        <v>iShares USD Treasury Bond 20+yr UCITS ETF@SELL@-320@1323.42</v>
      </c>
    </row>
    <row r="27">
      <c r="A27" s="48">
        <f>IFERROR(__xludf.DUMMYFUNCTION("""COMPUTED_VALUE"""),43579.0)</f>
        <v>43579</v>
      </c>
      <c r="B27" t="str">
        <f>IFERROR(__xludf.DUMMYFUNCTION("""COMPUTED_VALUE"""),"Stocks")</f>
        <v>Stocks</v>
      </c>
      <c r="C27" s="49" t="str">
        <f>IFERROR(__xludf.DUMMYFUNCTION("""COMPUTED_VALUE"""),"Vanguard S&amp;P 500 UCITS ETF")</f>
        <v>Vanguard S&amp;P 500 UCITS ETF</v>
      </c>
      <c r="D27" s="50" t="str">
        <f>IFERROR(__xludf.DUMMYFUNCTION("""COMPUTED_VALUE"""),"SELL")</f>
        <v>SELL</v>
      </c>
      <c r="E27" s="51">
        <f>IFERROR(__xludf.DUMMYFUNCTION("""COMPUTED_VALUE"""),-23.0)</f>
        <v>-23</v>
      </c>
      <c r="F27" s="52">
        <f>IFERROR(__xludf.DUMMYFUNCTION("""COMPUTED_VALUE"""),49.699999999999996)</f>
        <v>49.7</v>
      </c>
      <c r="G27" s="53">
        <f>IFERROR(__xludf.DUMMYFUNCTION("""COMPUTED_VALUE"""),1143.1)</f>
        <v>1143.1</v>
      </c>
      <c r="H27" s="54" t="str">
        <f t="shared" si="1"/>
        <v>Vanguard S&amp;P 500 UCITS ETF@SELL@-23@1143.1</v>
      </c>
    </row>
    <row r="28">
      <c r="A28" s="48">
        <f>IFERROR(__xludf.DUMMYFUNCTION("""COMPUTED_VALUE"""),43579.0)</f>
        <v>43579</v>
      </c>
      <c r="B28" t="str">
        <f>IFERROR(__xludf.DUMMYFUNCTION("""COMPUTED_VALUE"""),"Intermediate US bonds (7-10 year)")</f>
        <v>Intermediate US bonds (7-10 year)</v>
      </c>
      <c r="C28" s="49" t="str">
        <f>IFERROR(__xludf.DUMMYFUNCTION("""COMPUTED_VALUE"""),"iShares USD Treasury Bond 7-10yr UCITS ETF")</f>
        <v>iShares USD Treasury Bond 7-10yr UCITS ETF</v>
      </c>
      <c r="D28" s="50" t="str">
        <f>IFERROR(__xludf.DUMMYFUNCTION("""COMPUTED_VALUE"""),"SELL")</f>
        <v>SELL</v>
      </c>
      <c r="E28" s="51">
        <f>IFERROR(__xludf.DUMMYFUNCTION("""COMPUTED_VALUE"""),-6.0)</f>
        <v>-6</v>
      </c>
      <c r="F28" s="52">
        <f>IFERROR(__xludf.DUMMYFUNCTION("""COMPUTED_VALUE"""),174.67)</f>
        <v>174.67</v>
      </c>
      <c r="G28" s="53">
        <f>IFERROR(__xludf.DUMMYFUNCTION("""COMPUTED_VALUE"""),1048.02)</f>
        <v>1048.02</v>
      </c>
      <c r="H28" s="54" t="str">
        <f t="shared" si="1"/>
        <v>iShares USD Treasury Bond 7-10yr UCITS ETF@SELL@-6@1048.02</v>
      </c>
    </row>
    <row r="29">
      <c r="A29" s="48">
        <f>IFERROR(__xludf.DUMMYFUNCTION("""COMPUTED_VALUE"""),43579.0)</f>
        <v>43579</v>
      </c>
      <c r="B29" t="str">
        <f>IFERROR(__xludf.DUMMYFUNCTION("""COMPUTED_VALUE"""),"Long term US bonds (20-25 year)")</f>
        <v>Long term US bonds (20-25 year)</v>
      </c>
      <c r="C29" s="49" t="str">
        <f>IFERROR(__xludf.DUMMYFUNCTION("""COMPUTED_VALUE"""),"iShares USD Treasury Bond 20+yr UCITS ETF")</f>
        <v>iShares USD Treasury Bond 20+yr UCITS ETF</v>
      </c>
      <c r="D29" s="50" t="str">
        <f>IFERROR(__xludf.DUMMYFUNCTION("""COMPUTED_VALUE"""),"COST")</f>
        <v>COST</v>
      </c>
      <c r="E29" s="51" t="str">
        <f>IFERROR(__xludf.DUMMYFUNCTION("""COMPUTED_VALUE"""),"")</f>
        <v/>
      </c>
      <c r="F29" s="52" t="str">
        <f>IFERROR(__xludf.DUMMYFUNCTION("""COMPUTED_VALUE"""),"")</f>
        <v/>
      </c>
      <c r="G29" s="53">
        <f>IFERROR(__xludf.DUMMYFUNCTION("""COMPUTED_VALUE"""),-2.23)</f>
        <v>-2.23</v>
      </c>
      <c r="H29" s="54" t="str">
        <f t="shared" si="1"/>
        <v>iShares USD Treasury Bond 20+yr UCITS ETF@COST@@-2.23</v>
      </c>
    </row>
    <row r="30">
      <c r="A30" s="48">
        <f>IFERROR(__xludf.DUMMYFUNCTION("""COMPUTED_VALUE"""),43579.0)</f>
        <v>43579</v>
      </c>
      <c r="B30" t="str">
        <f>IFERROR(__xludf.DUMMYFUNCTION("""COMPUTED_VALUE"""),"Long term US bonds (20-25 year)")</f>
        <v>Long term US bonds (20-25 year)</v>
      </c>
      <c r="C30" s="49" t="str">
        <f>IFERROR(__xludf.DUMMYFUNCTION("""COMPUTED_VALUE"""),"iShares USD Treasury Bond 20+yr UCITS ETF")</f>
        <v>iShares USD Treasury Bond 20+yr UCITS ETF</v>
      </c>
      <c r="D30" s="50" t="str">
        <f>IFERROR(__xludf.DUMMYFUNCTION("""COMPUTED_VALUE"""),"SELL")</f>
        <v>SELL</v>
      </c>
      <c r="E30" s="51">
        <f>IFERROR(__xludf.DUMMYFUNCTION("""COMPUTED_VALUE"""),-285.0)</f>
        <v>-285</v>
      </c>
      <c r="F30" s="52">
        <f>IFERROR(__xludf.DUMMYFUNCTION("""COMPUTED_VALUE"""),4.121789473684211)</f>
        <v>4.121789474</v>
      </c>
      <c r="G30" s="53">
        <f>IFERROR(__xludf.DUMMYFUNCTION("""COMPUTED_VALUE"""),1174.71)</f>
        <v>1174.71</v>
      </c>
      <c r="H30" s="54" t="str">
        <f t="shared" si="1"/>
        <v>iShares USD Treasury Bond 20+yr UCITS ETF@SELL@-285@1174.71</v>
      </c>
    </row>
    <row r="31">
      <c r="A31" s="48">
        <f>IFERROR(__xludf.DUMMYFUNCTION("""COMPUTED_VALUE"""),43579.0)</f>
        <v>43579</v>
      </c>
      <c r="B31" t="str">
        <f>IFERROR(__xludf.DUMMYFUNCTION("""COMPUTED_VALUE"""),"Stocks")</f>
        <v>Stocks</v>
      </c>
      <c r="C31" s="49" t="str">
        <f>IFERROR(__xludf.DUMMYFUNCTION("""COMPUTED_VALUE"""),"Vanguard S&amp;P 500 UCITS ETF")</f>
        <v>Vanguard S&amp;P 500 UCITS ETF</v>
      </c>
      <c r="D31" s="50" t="str">
        <f>IFERROR(__xludf.DUMMYFUNCTION("""COMPUTED_VALUE"""),"SELL")</f>
        <v>SELL</v>
      </c>
      <c r="E31" s="51">
        <f>IFERROR(__xludf.DUMMYFUNCTION("""COMPUTED_VALUE"""),-25.0)</f>
        <v>-25</v>
      </c>
      <c r="F31" s="52">
        <f>IFERROR(__xludf.DUMMYFUNCTION("""COMPUTED_VALUE"""),49.62)</f>
        <v>49.62</v>
      </c>
      <c r="G31" s="53">
        <f>IFERROR(__xludf.DUMMYFUNCTION("""COMPUTED_VALUE"""),1240.5)</f>
        <v>1240.5</v>
      </c>
      <c r="H31" s="54" t="str">
        <f t="shared" si="1"/>
        <v>Vanguard S&amp;P 500 UCITS ETF@SELL@-25@1240.5</v>
      </c>
    </row>
    <row r="32">
      <c r="A32" s="48">
        <f>IFERROR(__xludf.DUMMYFUNCTION("""COMPUTED_VALUE"""),43578.0)</f>
        <v>43578</v>
      </c>
      <c r="B32" t="str">
        <f>IFERROR(__xludf.DUMMYFUNCTION("""COMPUTED_VALUE"""),"Stocks")</f>
        <v>Stocks</v>
      </c>
      <c r="C32" s="49" t="str">
        <f>IFERROR(__xludf.DUMMYFUNCTION("""COMPUTED_VALUE"""),"Vanguard S&amp;P 500 UCITS ETF")</f>
        <v>Vanguard S&amp;P 500 UCITS ETF</v>
      </c>
      <c r="D32" s="50" t="str">
        <f>IFERROR(__xludf.DUMMYFUNCTION("""COMPUTED_VALUE"""),"SELL")</f>
        <v>SELL</v>
      </c>
      <c r="E32" s="51">
        <f>IFERROR(__xludf.DUMMYFUNCTION("""COMPUTED_VALUE"""),-25.0)</f>
        <v>-25</v>
      </c>
      <c r="F32" s="52">
        <f>IFERROR(__xludf.DUMMYFUNCTION("""COMPUTED_VALUE"""),49.2048)</f>
        <v>49.2048</v>
      </c>
      <c r="G32" s="53">
        <f>IFERROR(__xludf.DUMMYFUNCTION("""COMPUTED_VALUE"""),1230.12)</f>
        <v>1230.12</v>
      </c>
      <c r="H32" s="54" t="str">
        <f t="shared" si="1"/>
        <v>Vanguard S&amp;P 500 UCITS ETF@SELL@-25@1230.12</v>
      </c>
    </row>
    <row r="33">
      <c r="A33" s="48">
        <f>IFERROR(__xludf.DUMMYFUNCTION("""COMPUTED_VALUE"""),43578.0)</f>
        <v>43578</v>
      </c>
      <c r="B33" t="str">
        <f>IFERROR(__xludf.DUMMYFUNCTION("""COMPUTED_VALUE"""),"Commodities")</f>
        <v>Commodities</v>
      </c>
      <c r="C33" s="49" t="str">
        <f>IFERROR(__xludf.DUMMYFUNCTION("""COMPUTED_VALUE"""),"ETFS All Commodities")</f>
        <v>ETFS All Commodities</v>
      </c>
      <c r="D33" s="50" t="str">
        <f>IFERROR(__xludf.DUMMYFUNCTION("""COMPUTED_VALUE"""),"SELL")</f>
        <v>SELL</v>
      </c>
      <c r="E33" s="51">
        <f>IFERROR(__xludf.DUMMYFUNCTION("""COMPUTED_VALUE"""),-150.0)</f>
        <v>-150</v>
      </c>
      <c r="F33" s="52">
        <f>IFERROR(__xludf.DUMMYFUNCTION("""COMPUTED_VALUE"""),7.43)</f>
        <v>7.43</v>
      </c>
      <c r="G33" s="53">
        <f>IFERROR(__xludf.DUMMYFUNCTION("""COMPUTED_VALUE"""),1114.5)</f>
        <v>1114.5</v>
      </c>
      <c r="H33" s="54" t="str">
        <f t="shared" si="1"/>
        <v>ETFS All Commodities@SELL@-150@1114.5</v>
      </c>
    </row>
    <row r="34">
      <c r="A34" s="48">
        <f>IFERROR(__xludf.DUMMYFUNCTION("""COMPUTED_VALUE"""),43573.0)</f>
        <v>43573</v>
      </c>
      <c r="B34" t="str">
        <f>IFERROR(__xludf.DUMMYFUNCTION("""COMPUTED_VALUE"""),"Stocks")</f>
        <v>Stocks</v>
      </c>
      <c r="C34" s="49" t="str">
        <f>IFERROR(__xludf.DUMMYFUNCTION("""COMPUTED_VALUE"""),"Vanguard S&amp;P 500 UCITS ETF")</f>
        <v>Vanguard S&amp;P 500 UCITS ETF</v>
      </c>
      <c r="D34" s="50" t="str">
        <f>IFERROR(__xludf.DUMMYFUNCTION("""COMPUTED_VALUE"""),"SELL")</f>
        <v>SELL</v>
      </c>
      <c r="E34" s="51">
        <f>IFERROR(__xludf.DUMMYFUNCTION("""COMPUTED_VALUE"""),-25.0)</f>
        <v>-25</v>
      </c>
      <c r="F34" s="52">
        <f>IFERROR(__xludf.DUMMYFUNCTION("""COMPUTED_VALUE"""),49.03)</f>
        <v>49.03</v>
      </c>
      <c r="G34" s="53">
        <f>IFERROR(__xludf.DUMMYFUNCTION("""COMPUTED_VALUE"""),1225.75)</f>
        <v>1225.75</v>
      </c>
      <c r="H34" s="54" t="str">
        <f t="shared" si="1"/>
        <v>Vanguard S&amp;P 500 UCITS ETF@SELL@-25@1225.75</v>
      </c>
    </row>
    <row r="35">
      <c r="A35" s="48">
        <f>IFERROR(__xludf.DUMMYFUNCTION("""COMPUTED_VALUE"""),43573.0)</f>
        <v>43573</v>
      </c>
      <c r="B35" t="str">
        <f>IFERROR(__xludf.DUMMYFUNCTION("""COMPUTED_VALUE"""),"Long term US bonds (20-25 year)")</f>
        <v>Long term US bonds (20-25 year)</v>
      </c>
      <c r="C35" s="49" t="str">
        <f>IFERROR(__xludf.DUMMYFUNCTION("""COMPUTED_VALUE"""),"iShares USD Treasury Bond 20+yr UCITS ETF")</f>
        <v>iShares USD Treasury Bond 20+yr UCITS ETF</v>
      </c>
      <c r="D35" s="50" t="str">
        <f>IFERROR(__xludf.DUMMYFUNCTION("""COMPUTED_VALUE"""),"COST")</f>
        <v>COST</v>
      </c>
      <c r="E35" s="51" t="str">
        <f>IFERROR(__xludf.DUMMYFUNCTION("""COMPUTED_VALUE"""),"")</f>
        <v/>
      </c>
      <c r="F35" s="52" t="str">
        <f>IFERROR(__xludf.DUMMYFUNCTION("""COMPUTED_VALUE"""),"")</f>
        <v/>
      </c>
      <c r="G35" s="53">
        <f>IFERROR(__xludf.DUMMYFUNCTION("""COMPUTED_VALUE"""),-2.7199999999999998)</f>
        <v>-2.72</v>
      </c>
      <c r="H35" s="54" t="str">
        <f t="shared" si="1"/>
        <v>iShares USD Treasury Bond 20+yr UCITS ETF@COST@@-2.72</v>
      </c>
    </row>
    <row r="36">
      <c r="A36" s="48">
        <f>IFERROR(__xludf.DUMMYFUNCTION("""COMPUTED_VALUE"""),43573.0)</f>
        <v>43573</v>
      </c>
      <c r="B36" t="str">
        <f>IFERROR(__xludf.DUMMYFUNCTION("""COMPUTED_VALUE"""),"Long term US bonds (20-25 year)")</f>
        <v>Long term US bonds (20-25 year)</v>
      </c>
      <c r="C36" s="49" t="str">
        <f>IFERROR(__xludf.DUMMYFUNCTION("""COMPUTED_VALUE"""),"iShares USD Treasury Bond 20+yr UCITS ETF")</f>
        <v>iShares USD Treasury Bond 20+yr UCITS ETF</v>
      </c>
      <c r="D36" s="50" t="str">
        <f>IFERROR(__xludf.DUMMYFUNCTION("""COMPUTED_VALUE"""),"SELL")</f>
        <v>SELL</v>
      </c>
      <c r="E36" s="51">
        <f>IFERROR(__xludf.DUMMYFUNCTION("""COMPUTED_VALUE"""),-879.0)</f>
        <v>-879</v>
      </c>
      <c r="F36" s="52">
        <f>IFERROR(__xludf.DUMMYFUNCTION("""COMPUTED_VALUE"""),4.099203640500568)</f>
        <v>4.099203641</v>
      </c>
      <c r="G36" s="53">
        <f>IFERROR(__xludf.DUMMYFUNCTION("""COMPUTED_VALUE"""),3603.2)</f>
        <v>3603.2</v>
      </c>
      <c r="H36" s="54" t="str">
        <f t="shared" si="1"/>
        <v>iShares USD Treasury Bond 20+yr UCITS ETF@SELL@-879@3603.2</v>
      </c>
    </row>
    <row r="37">
      <c r="A37" s="48">
        <f>IFERROR(__xludf.DUMMYFUNCTION("""COMPUTED_VALUE"""),43571.0)</f>
        <v>43571</v>
      </c>
      <c r="B37" t="str">
        <f>IFERROR(__xludf.DUMMYFUNCTION("""COMPUTED_VALUE"""),"Stocks")</f>
        <v>Stocks</v>
      </c>
      <c r="C37" s="49" t="str">
        <f>IFERROR(__xludf.DUMMYFUNCTION("""COMPUTED_VALUE"""),"Vanguard S&amp;P 500 UCITS ETF")</f>
        <v>Vanguard S&amp;P 500 UCITS ETF</v>
      </c>
      <c r="D37" s="50" t="str">
        <f>IFERROR(__xludf.DUMMYFUNCTION("""COMPUTED_VALUE"""),"SELL")</f>
        <v>SELL</v>
      </c>
      <c r="E37" s="51">
        <f>IFERROR(__xludf.DUMMYFUNCTION("""COMPUTED_VALUE"""),-25.0)</f>
        <v>-25</v>
      </c>
      <c r="F37" s="52">
        <f>IFERROR(__xludf.DUMMYFUNCTION("""COMPUTED_VALUE"""),48.99)</f>
        <v>48.99</v>
      </c>
      <c r="G37" s="53">
        <f>IFERROR(__xludf.DUMMYFUNCTION("""COMPUTED_VALUE"""),1224.75)</f>
        <v>1224.75</v>
      </c>
      <c r="H37" s="54" t="str">
        <f t="shared" si="1"/>
        <v>Vanguard S&amp;P 500 UCITS ETF@SELL@-25@1224.75</v>
      </c>
    </row>
    <row r="38">
      <c r="A38" s="48">
        <f>IFERROR(__xludf.DUMMYFUNCTION("""COMPUTED_VALUE"""),43570.0)</f>
        <v>43570</v>
      </c>
      <c r="B38" t="str">
        <f>IFERROR(__xludf.DUMMYFUNCTION("""COMPUTED_VALUE"""),"Stocks")</f>
        <v>Stocks</v>
      </c>
      <c r="C38" s="49" t="str">
        <f>IFERROR(__xludf.DUMMYFUNCTION("""COMPUTED_VALUE"""),"Vanguard S&amp;P 500 UCITS ETF")</f>
        <v>Vanguard S&amp;P 500 UCITS ETF</v>
      </c>
      <c r="D38" s="50" t="str">
        <f>IFERROR(__xludf.DUMMYFUNCTION("""COMPUTED_VALUE"""),"SELL")</f>
        <v>SELL</v>
      </c>
      <c r="E38" s="51">
        <f>IFERROR(__xludf.DUMMYFUNCTION("""COMPUTED_VALUE"""),-25.0)</f>
        <v>-25</v>
      </c>
      <c r="F38" s="52">
        <f>IFERROR(__xludf.DUMMYFUNCTION("""COMPUTED_VALUE"""),48.7952)</f>
        <v>48.7952</v>
      </c>
      <c r="G38" s="53">
        <f>IFERROR(__xludf.DUMMYFUNCTION("""COMPUTED_VALUE"""),1219.88)</f>
        <v>1219.88</v>
      </c>
      <c r="H38" s="54" t="str">
        <f t="shared" si="1"/>
        <v>Vanguard S&amp;P 500 UCITS ETF@SELL@-25@1219.88</v>
      </c>
    </row>
    <row r="39">
      <c r="A39" s="48">
        <f>IFERROR(__xludf.DUMMYFUNCTION("""COMPUTED_VALUE"""),43567.0)</f>
        <v>43567</v>
      </c>
      <c r="B39" t="str">
        <f>IFERROR(__xludf.DUMMYFUNCTION("""COMPUTED_VALUE"""),"Stocks")</f>
        <v>Stocks</v>
      </c>
      <c r="C39" s="49" t="str">
        <f>IFERROR(__xludf.DUMMYFUNCTION("""COMPUTED_VALUE"""),"Vanguard S&amp;P 500 UCITS ETF")</f>
        <v>Vanguard S&amp;P 500 UCITS ETF</v>
      </c>
      <c r="D39" s="50" t="str">
        <f>IFERROR(__xludf.DUMMYFUNCTION("""COMPUTED_VALUE"""),"SELL")</f>
        <v>SELL</v>
      </c>
      <c r="E39" s="51">
        <f>IFERROR(__xludf.DUMMYFUNCTION("""COMPUTED_VALUE"""),-26.0)</f>
        <v>-26</v>
      </c>
      <c r="F39" s="52">
        <f>IFERROR(__xludf.DUMMYFUNCTION("""COMPUTED_VALUE"""),48.690000000000005)</f>
        <v>48.69</v>
      </c>
      <c r="G39" s="53">
        <f>IFERROR(__xludf.DUMMYFUNCTION("""COMPUTED_VALUE"""),1265.94)</f>
        <v>1265.94</v>
      </c>
      <c r="H39" s="54" t="str">
        <f t="shared" si="1"/>
        <v>Vanguard S&amp;P 500 UCITS ETF@SELL@-26@1265.94</v>
      </c>
    </row>
    <row r="40">
      <c r="A40" s="48">
        <f>IFERROR(__xludf.DUMMYFUNCTION("""COMPUTED_VALUE"""),43567.0)</f>
        <v>43567</v>
      </c>
      <c r="B40" t="str">
        <f>IFERROR(__xludf.DUMMYFUNCTION("""COMPUTED_VALUE"""),"Long term US bonds (20-25 year)")</f>
        <v>Long term US bonds (20-25 year)</v>
      </c>
      <c r="C40" s="49" t="str">
        <f>IFERROR(__xludf.DUMMYFUNCTION("""COMPUTED_VALUE"""),"iShares USD Treasury Bond 20+yr UCITS ETF")</f>
        <v>iShares USD Treasury Bond 20+yr UCITS ETF</v>
      </c>
      <c r="D40" s="50" t="str">
        <f>IFERROR(__xludf.DUMMYFUNCTION("""COMPUTED_VALUE"""),"COST")</f>
        <v>COST</v>
      </c>
      <c r="E40" s="51" t="str">
        <f>IFERROR(__xludf.DUMMYFUNCTION("""COMPUTED_VALUE"""),"")</f>
        <v/>
      </c>
      <c r="F40" s="52" t="str">
        <f>IFERROR(__xludf.DUMMYFUNCTION("""COMPUTED_VALUE"""),"")</f>
        <v/>
      </c>
      <c r="G40" s="53">
        <f>IFERROR(__xludf.DUMMYFUNCTION("""COMPUTED_VALUE"""),-12.469999999999999)</f>
        <v>-12.47</v>
      </c>
      <c r="H40" s="54" t="str">
        <f t="shared" si="1"/>
        <v>iShares USD Treasury Bond 20+yr UCITS ETF@COST@@-12.47</v>
      </c>
    </row>
    <row r="41">
      <c r="A41" s="48">
        <f>IFERROR(__xludf.DUMMYFUNCTION("""COMPUTED_VALUE"""),43567.0)</f>
        <v>43567</v>
      </c>
      <c r="B41" t="str">
        <f>IFERROR(__xludf.DUMMYFUNCTION("""COMPUTED_VALUE"""),"Long term US bonds (20-25 year)")</f>
        <v>Long term US bonds (20-25 year)</v>
      </c>
      <c r="C41" s="49" t="str">
        <f>IFERROR(__xludf.DUMMYFUNCTION("""COMPUTED_VALUE"""),"iShares USD Treasury Bond 20+yr UCITS ETF")</f>
        <v>iShares USD Treasury Bond 20+yr UCITS ETF</v>
      </c>
      <c r="D41" s="50" t="str">
        <f>IFERROR(__xludf.DUMMYFUNCTION("""COMPUTED_VALUE"""),"BUY")</f>
        <v>BUY</v>
      </c>
      <c r="E41" s="51">
        <f>IFERROR(__xludf.DUMMYFUNCTION("""COMPUTED_VALUE"""),12775.0)</f>
        <v>12775</v>
      </c>
      <c r="F41" s="52">
        <f>IFERROR(__xludf.DUMMYFUNCTION("""COMPUTED_VALUE"""),4.097969471624266)</f>
        <v>4.097969472</v>
      </c>
      <c r="G41" s="53">
        <f>IFERROR(__xludf.DUMMYFUNCTION("""COMPUTED_VALUE"""),-52351.56)</f>
        <v>-52351.56</v>
      </c>
      <c r="H41" s="54" t="str">
        <f t="shared" si="1"/>
        <v>iShares USD Treasury Bond 20+yr UCITS ETF@BUY@12775@-52351.56</v>
      </c>
    </row>
    <row r="42">
      <c r="A42" s="48">
        <f>IFERROR(__xludf.DUMMYFUNCTION("""COMPUTED_VALUE"""),43567.0)</f>
        <v>43567</v>
      </c>
      <c r="B42" t="str">
        <f>IFERROR(__xludf.DUMMYFUNCTION("""COMPUTED_VALUE"""),"Long term US bonds (20-25 year)")</f>
        <v>Long term US bonds (20-25 year)</v>
      </c>
      <c r="C42" s="49" t="str">
        <f>IFERROR(__xludf.DUMMYFUNCTION("""COMPUTED_VALUE"""),"iShares USD Treasury Bond 20+yr UCITS ETF")</f>
        <v>iShares USD Treasury Bond 20+yr UCITS ETF</v>
      </c>
      <c r="D42" s="50" t="str">
        <f>IFERROR(__xludf.DUMMYFUNCTION("""COMPUTED_VALUE"""),"COST")</f>
        <v>COST</v>
      </c>
      <c r="E42" s="51" t="str">
        <f>IFERROR(__xludf.DUMMYFUNCTION("""COMPUTED_VALUE"""),"")</f>
        <v/>
      </c>
      <c r="F42" s="52" t="str">
        <f>IFERROR(__xludf.DUMMYFUNCTION("""COMPUTED_VALUE"""),"")</f>
        <v/>
      </c>
      <c r="G42" s="53">
        <f>IFERROR(__xludf.DUMMYFUNCTION("""COMPUTED_VALUE"""),-51.650000000000006)</f>
        <v>-51.65</v>
      </c>
      <c r="H42" s="54" t="str">
        <f t="shared" si="1"/>
        <v>iShares USD Treasury Bond 20+yr UCITS ETF@COST@@-51.65</v>
      </c>
    </row>
    <row r="43">
      <c r="A43" s="48">
        <f>IFERROR(__xludf.DUMMYFUNCTION("""COMPUTED_VALUE"""),43567.0)</f>
        <v>43567</v>
      </c>
      <c r="B43" t="str">
        <f>IFERROR(__xludf.DUMMYFUNCTION("""COMPUTED_VALUE"""),"Long term US bonds (20-25 year)")</f>
        <v>Long term US bonds (20-25 year)</v>
      </c>
      <c r="C43" s="49" t="str">
        <f>IFERROR(__xludf.DUMMYFUNCTION("""COMPUTED_VALUE"""),"iShares USD Treasury Bond 20+yr UCITS ETF")</f>
        <v>iShares USD Treasury Bond 20+yr UCITS ETF</v>
      </c>
      <c r="D43" s="50" t="str">
        <f>IFERROR(__xludf.DUMMYFUNCTION("""COMPUTED_VALUE"""),"BUY")</f>
        <v>BUY</v>
      </c>
      <c r="E43" s="51">
        <f>IFERROR(__xludf.DUMMYFUNCTION("""COMPUTED_VALUE"""),60580.0)</f>
        <v>60580</v>
      </c>
      <c r="F43" s="52">
        <f>IFERROR(__xludf.DUMMYFUNCTION("""COMPUTED_VALUE"""),4.098)</f>
        <v>4.098</v>
      </c>
      <c r="G43" s="53">
        <f>IFERROR(__xludf.DUMMYFUNCTION("""COMPUTED_VALUE"""),-248256.83999999997)</f>
        <v>-248256.84</v>
      </c>
      <c r="H43" s="54" t="str">
        <f t="shared" si="1"/>
        <v>iShares USD Treasury Bond 20+yr UCITS ETF@BUY@60580@-248256.84</v>
      </c>
    </row>
    <row r="44">
      <c r="A44" s="48">
        <f>IFERROR(__xludf.DUMMYFUNCTION("""COMPUTED_VALUE"""),43566.0)</f>
        <v>43566</v>
      </c>
      <c r="B44" t="str">
        <f>IFERROR(__xludf.DUMMYFUNCTION("""COMPUTED_VALUE"""),"")</f>
        <v/>
      </c>
      <c r="C44" s="49" t="str">
        <f>IFERROR(__xludf.DUMMYFUNCTION("""COMPUTED_VALUE"""),"#N/A")</f>
        <v>#N/A</v>
      </c>
      <c r="D44" s="50" t="str">
        <f>IFERROR(__xludf.DUMMYFUNCTION("""COMPUTED_VALUE"""),"#N/A")</f>
        <v>#N/A</v>
      </c>
      <c r="E44" s="51" t="str">
        <f>IFERROR(__xludf.DUMMYFUNCTION("""COMPUTED_VALUE"""),"")</f>
        <v/>
      </c>
      <c r="F44" s="52" t="str">
        <f>IFERROR(__xludf.DUMMYFUNCTION("""COMPUTED_VALUE"""),"")</f>
        <v/>
      </c>
      <c r="G44" s="53" t="str">
        <f>IFERROR(__xludf.DUMMYFUNCTION("""COMPUTED_VALUE"""),"#N/A")</f>
        <v>#N/A</v>
      </c>
      <c r="H44" s="54" t="str">
        <f t="shared" si="1"/>
        <v>#N/A</v>
      </c>
    </row>
    <row r="45">
      <c r="A45" s="48" t="str">
        <f>IFERROR(__xludf.DUMMYFUNCTION("""COMPUTED_VALUE"""),"")</f>
        <v/>
      </c>
      <c r="B45" t="str">
        <f>IFERROR(__xludf.DUMMYFUNCTION("""COMPUTED_VALUE"""),"")</f>
        <v/>
      </c>
      <c r="C45" s="49" t="str">
        <f>IFERROR(__xludf.DUMMYFUNCTION("""COMPUTED_VALUE"""),"")</f>
        <v/>
      </c>
      <c r="D45" s="50" t="str">
        <f>IFERROR(__xludf.DUMMYFUNCTION("""COMPUTED_VALUE"""),"")</f>
        <v/>
      </c>
      <c r="E45" s="51" t="str">
        <f>IFERROR(__xludf.DUMMYFUNCTION("""COMPUTED_VALUE"""),"")</f>
        <v/>
      </c>
      <c r="F45" s="52" t="str">
        <f>IFERROR(__xludf.DUMMYFUNCTION("""COMPUTED_VALUE"""),"")</f>
        <v/>
      </c>
      <c r="G45" s="53" t="str">
        <f>IFERROR(__xludf.DUMMYFUNCTION("""COMPUTED_VALUE"""),"")</f>
        <v/>
      </c>
      <c r="H45" s="54" t="str">
        <f t="shared" si="1"/>
        <v/>
      </c>
    </row>
    <row r="46">
      <c r="A46" s="48"/>
      <c r="C46" s="49"/>
      <c r="D46" s="50"/>
      <c r="E46" s="51"/>
      <c r="F46" s="52"/>
      <c r="G46" s="53"/>
      <c r="H46" s="54" t="str">
        <f t="shared" si="1"/>
        <v/>
      </c>
    </row>
    <row r="47">
      <c r="A47" s="48"/>
      <c r="C47" s="49"/>
      <c r="D47" s="50"/>
      <c r="E47" s="51"/>
      <c r="F47" s="52"/>
      <c r="G47" s="53"/>
      <c r="H47" s="54" t="str">
        <f t="shared" si="1"/>
        <v/>
      </c>
    </row>
    <row r="48">
      <c r="A48" s="48"/>
      <c r="C48" s="49"/>
      <c r="D48" s="50"/>
      <c r="E48" s="51"/>
      <c r="F48" s="52"/>
      <c r="G48" s="53"/>
      <c r="H48" s="54" t="str">
        <f t="shared" si="1"/>
        <v/>
      </c>
    </row>
    <row r="49">
      <c r="A49" s="48"/>
      <c r="C49" s="49"/>
      <c r="D49" s="50"/>
      <c r="E49" s="51"/>
      <c r="F49" s="52"/>
      <c r="G49" s="53"/>
      <c r="H49" s="54" t="str">
        <f t="shared" si="1"/>
        <v/>
      </c>
    </row>
    <row r="50">
      <c r="A50" s="48"/>
      <c r="C50" s="49"/>
      <c r="D50" s="50"/>
      <c r="E50" s="51"/>
      <c r="F50" s="52"/>
      <c r="G50" s="53"/>
      <c r="H50" s="54" t="str">
        <f t="shared" si="1"/>
        <v/>
      </c>
    </row>
    <row r="51">
      <c r="A51" s="48"/>
      <c r="C51" s="49"/>
      <c r="D51" s="50"/>
      <c r="E51" s="51"/>
      <c r="F51" s="52"/>
      <c r="G51" s="53"/>
      <c r="H51" s="54" t="str">
        <f t="shared" si="1"/>
        <v/>
      </c>
    </row>
    <row r="52">
      <c r="A52" s="48"/>
      <c r="C52" s="49"/>
      <c r="D52" s="50"/>
      <c r="E52" s="51"/>
      <c r="F52" s="52"/>
      <c r="G52" s="53"/>
      <c r="H52" s="54" t="str">
        <f t="shared" si="1"/>
        <v/>
      </c>
    </row>
    <row r="53">
      <c r="A53" s="48"/>
      <c r="C53" s="49"/>
      <c r="D53" s="50"/>
      <c r="E53" s="51"/>
      <c r="F53" s="52"/>
      <c r="G53" s="53"/>
      <c r="H53" s="54" t="str">
        <f t="shared" si="1"/>
        <v/>
      </c>
    </row>
    <row r="54">
      <c r="A54" s="48"/>
      <c r="C54" s="49"/>
      <c r="D54" s="50"/>
      <c r="E54" s="51"/>
      <c r="F54" s="52"/>
      <c r="G54" s="53"/>
      <c r="H54" s="54" t="str">
        <f t="shared" si="1"/>
        <v/>
      </c>
    </row>
    <row r="55">
      <c r="A55" s="48"/>
      <c r="C55" s="49"/>
      <c r="D55" s="50"/>
      <c r="E55" s="51"/>
      <c r="F55" s="52"/>
      <c r="G55" s="53"/>
      <c r="H55" s="54" t="str">
        <f t="shared" si="1"/>
        <v/>
      </c>
    </row>
    <row r="56">
      <c r="A56" s="48"/>
      <c r="C56" s="49"/>
      <c r="D56" s="50"/>
      <c r="E56" s="51"/>
      <c r="F56" s="52"/>
      <c r="G56" s="53"/>
      <c r="H56" s="54" t="str">
        <f t="shared" si="1"/>
        <v/>
      </c>
    </row>
    <row r="57">
      <c r="A57" s="48"/>
      <c r="C57" s="49"/>
      <c r="D57" s="50"/>
      <c r="E57" s="51"/>
      <c r="F57" s="52"/>
      <c r="G57" s="53"/>
      <c r="H57" s="54" t="str">
        <f t="shared" si="1"/>
        <v/>
      </c>
    </row>
    <row r="58">
      <c r="A58" s="48"/>
      <c r="C58" s="49"/>
      <c r="D58" s="50"/>
      <c r="E58" s="51"/>
      <c r="F58" s="52"/>
      <c r="G58" s="53"/>
      <c r="H58" s="54" t="str">
        <f t="shared" si="1"/>
        <v/>
      </c>
    </row>
    <row r="59">
      <c r="A59" s="48"/>
      <c r="C59" s="49"/>
      <c r="D59" s="50"/>
      <c r="E59" s="51"/>
      <c r="F59" s="52"/>
      <c r="G59" s="53"/>
      <c r="H59" s="54" t="str">
        <f t="shared" si="1"/>
        <v/>
      </c>
    </row>
    <row r="60">
      <c r="A60" s="48"/>
      <c r="C60" s="49"/>
      <c r="D60" s="50"/>
      <c r="E60" s="51"/>
      <c r="F60" s="52"/>
      <c r="G60" s="53"/>
      <c r="H60" s="54" t="str">
        <f t="shared" si="1"/>
        <v/>
      </c>
    </row>
    <row r="61">
      <c r="A61" s="48"/>
      <c r="C61" s="49"/>
      <c r="D61" s="50"/>
      <c r="E61" s="51"/>
      <c r="F61" s="52"/>
      <c r="G61" s="53"/>
      <c r="H61" s="54" t="str">
        <f t="shared" si="1"/>
        <v/>
      </c>
    </row>
    <row r="62">
      <c r="A62" s="48"/>
      <c r="C62" s="49"/>
      <c r="D62" s="50"/>
      <c r="E62" s="51"/>
      <c r="F62" s="52"/>
      <c r="G62" s="53"/>
      <c r="H62" s="54" t="str">
        <f t="shared" si="1"/>
        <v/>
      </c>
    </row>
    <row r="63">
      <c r="A63" s="48"/>
      <c r="C63" s="49"/>
      <c r="D63" s="50"/>
      <c r="E63" s="51"/>
      <c r="F63" s="52"/>
      <c r="G63" s="53"/>
      <c r="H63" s="54" t="str">
        <f t="shared" si="1"/>
        <v/>
      </c>
    </row>
    <row r="64">
      <c r="A64" s="48"/>
      <c r="C64" s="49"/>
      <c r="D64" s="50"/>
      <c r="E64" s="51"/>
      <c r="F64" s="52"/>
      <c r="G64" s="53"/>
      <c r="H64" s="54" t="str">
        <f t="shared" si="1"/>
        <v/>
      </c>
    </row>
    <row r="65">
      <c r="A65" s="48"/>
      <c r="C65" s="49"/>
      <c r="D65" s="50"/>
      <c r="E65" s="51"/>
      <c r="F65" s="52"/>
      <c r="G65" s="53"/>
      <c r="H65" s="54" t="str">
        <f t="shared" si="1"/>
        <v/>
      </c>
    </row>
    <row r="66">
      <c r="A66" s="48"/>
      <c r="C66" s="49"/>
      <c r="D66" s="50"/>
      <c r="E66" s="51"/>
      <c r="F66" s="52"/>
      <c r="G66" s="53"/>
      <c r="H66" s="54" t="str">
        <f t="shared" si="1"/>
        <v/>
      </c>
    </row>
    <row r="67">
      <c r="A67" s="48"/>
      <c r="C67" s="49"/>
      <c r="D67" s="50"/>
      <c r="E67" s="51"/>
      <c r="F67" s="52"/>
      <c r="G67" s="53"/>
      <c r="H67" s="54" t="str">
        <f t="shared" si="1"/>
        <v/>
      </c>
    </row>
    <row r="68">
      <c r="A68" s="48"/>
      <c r="C68" s="49"/>
      <c r="D68" s="50"/>
      <c r="E68" s="51"/>
      <c r="F68" s="52"/>
      <c r="G68" s="53"/>
      <c r="H68" s="54" t="str">
        <f t="shared" si="1"/>
        <v/>
      </c>
    </row>
    <row r="69">
      <c r="A69" s="48"/>
      <c r="C69" s="49"/>
      <c r="D69" s="50"/>
      <c r="E69" s="51"/>
      <c r="F69" s="52"/>
      <c r="G69" s="53"/>
      <c r="H69" s="54" t="str">
        <f t="shared" si="1"/>
        <v/>
      </c>
    </row>
    <row r="70">
      <c r="A70" s="48"/>
      <c r="C70" s="49"/>
      <c r="D70" s="50"/>
      <c r="E70" s="51"/>
      <c r="F70" s="52"/>
      <c r="G70" s="53"/>
      <c r="H70" s="54" t="str">
        <f t="shared" si="1"/>
        <v/>
      </c>
    </row>
    <row r="71">
      <c r="A71" s="48"/>
      <c r="C71" s="49"/>
      <c r="D71" s="50"/>
      <c r="E71" s="51"/>
      <c r="F71" s="52"/>
      <c r="G71" s="53"/>
      <c r="H71" s="54" t="str">
        <f t="shared" si="1"/>
        <v/>
      </c>
    </row>
    <row r="72">
      <c r="A72" s="48"/>
      <c r="C72" s="49"/>
      <c r="D72" s="50"/>
      <c r="E72" s="51"/>
      <c r="F72" s="52"/>
      <c r="G72" s="53"/>
      <c r="H72" s="54" t="str">
        <f t="shared" si="1"/>
        <v/>
      </c>
    </row>
    <row r="73">
      <c r="A73" s="48"/>
      <c r="C73" s="49"/>
      <c r="D73" s="50"/>
      <c r="E73" s="51"/>
      <c r="F73" s="52"/>
      <c r="G73" s="53"/>
      <c r="H73" s="54" t="str">
        <f t="shared" si="1"/>
        <v/>
      </c>
    </row>
    <row r="74">
      <c r="A74" s="48"/>
      <c r="C74" s="49"/>
      <c r="D74" s="50"/>
      <c r="E74" s="51"/>
      <c r="F74" s="52"/>
      <c r="G74" s="53"/>
      <c r="H74" s="54" t="str">
        <f t="shared" si="1"/>
        <v/>
      </c>
    </row>
    <row r="75">
      <c r="A75" s="48"/>
      <c r="C75" s="49"/>
      <c r="D75" s="50"/>
      <c r="E75" s="51"/>
      <c r="F75" s="52"/>
      <c r="G75" s="53"/>
      <c r="H75" s="54" t="str">
        <f t="shared" si="1"/>
        <v/>
      </c>
    </row>
    <row r="76">
      <c r="A76" s="48"/>
      <c r="C76" s="49"/>
      <c r="D76" s="50"/>
      <c r="E76" s="51"/>
      <c r="F76" s="52"/>
      <c r="G76" s="53"/>
      <c r="H76" s="54" t="str">
        <f t="shared" si="1"/>
        <v/>
      </c>
    </row>
    <row r="77">
      <c r="A77" s="48"/>
      <c r="C77" s="49"/>
      <c r="D77" s="50"/>
      <c r="E77" s="51"/>
      <c r="F77" s="52"/>
      <c r="G77" s="53"/>
      <c r="H77" s="54" t="str">
        <f t="shared" si="1"/>
        <v/>
      </c>
    </row>
    <row r="78">
      <c r="A78" s="48"/>
      <c r="C78" s="49"/>
      <c r="D78" s="50"/>
      <c r="E78" s="51"/>
      <c r="F78" s="52"/>
      <c r="G78" s="53"/>
      <c r="H78" s="54" t="str">
        <f t="shared" si="1"/>
        <v/>
      </c>
    </row>
    <row r="79">
      <c r="A79" s="48"/>
      <c r="C79" s="49"/>
      <c r="D79" s="50"/>
      <c r="E79" s="51"/>
      <c r="F79" s="52"/>
      <c r="G79" s="53"/>
      <c r="H79" s="54" t="str">
        <f t="shared" si="1"/>
        <v/>
      </c>
    </row>
    <row r="80">
      <c r="A80" s="48"/>
      <c r="C80" s="49"/>
      <c r="D80" s="50"/>
      <c r="E80" s="51"/>
      <c r="F80" s="52"/>
      <c r="G80" s="53"/>
      <c r="H80" s="54" t="str">
        <f t="shared" si="1"/>
        <v/>
      </c>
    </row>
    <row r="81">
      <c r="A81" s="48"/>
      <c r="C81" s="49"/>
      <c r="D81" s="50"/>
      <c r="E81" s="51"/>
      <c r="F81" s="52"/>
      <c r="G81" s="53"/>
      <c r="H81" s="54" t="str">
        <f t="shared" si="1"/>
        <v/>
      </c>
    </row>
    <row r="82">
      <c r="A82" s="48"/>
      <c r="C82" s="49"/>
      <c r="D82" s="50"/>
      <c r="E82" s="51"/>
      <c r="F82" s="52"/>
      <c r="G82" s="53"/>
      <c r="H82" s="54" t="str">
        <f t="shared" si="1"/>
        <v/>
      </c>
    </row>
    <row r="83">
      <c r="A83" s="48"/>
      <c r="C83" s="49"/>
      <c r="D83" s="50"/>
      <c r="E83" s="51"/>
      <c r="F83" s="52"/>
      <c r="G83" s="53"/>
      <c r="H83" s="54" t="str">
        <f t="shared" si="1"/>
        <v/>
      </c>
    </row>
    <row r="84">
      <c r="A84" s="48"/>
      <c r="C84" s="49"/>
      <c r="D84" s="50"/>
      <c r="E84" s="51"/>
      <c r="F84" s="52"/>
      <c r="G84" s="53"/>
      <c r="H84" s="54" t="str">
        <f t="shared" si="1"/>
        <v/>
      </c>
    </row>
    <row r="85">
      <c r="A85" s="48"/>
      <c r="C85" s="49"/>
      <c r="D85" s="50"/>
      <c r="E85" s="51"/>
      <c r="F85" s="52"/>
      <c r="G85" s="53"/>
      <c r="H85" s="54" t="str">
        <f t="shared" si="1"/>
        <v/>
      </c>
    </row>
    <row r="86">
      <c r="A86" s="48"/>
      <c r="C86" s="49"/>
      <c r="D86" s="50"/>
      <c r="E86" s="51"/>
      <c r="F86" s="52"/>
      <c r="G86" s="53"/>
      <c r="H86" s="54" t="str">
        <f t="shared" si="1"/>
        <v/>
      </c>
    </row>
    <row r="87">
      <c r="A87" s="48"/>
      <c r="C87" s="49"/>
      <c r="D87" s="50"/>
      <c r="E87" s="51"/>
      <c r="F87" s="52"/>
      <c r="G87" s="53"/>
      <c r="H87" s="54" t="str">
        <f t="shared" si="1"/>
        <v/>
      </c>
    </row>
    <row r="88">
      <c r="A88" s="48"/>
      <c r="C88" s="49"/>
      <c r="D88" s="50"/>
      <c r="E88" s="51"/>
      <c r="F88" s="52"/>
      <c r="G88" s="53"/>
      <c r="H88" s="54" t="str">
        <f t="shared" si="1"/>
        <v/>
      </c>
    </row>
    <row r="89">
      <c r="A89" s="48"/>
      <c r="C89" s="49"/>
      <c r="D89" s="50"/>
      <c r="E89" s="51"/>
      <c r="F89" s="52"/>
      <c r="G89" s="53"/>
      <c r="H89" s="54" t="str">
        <f t="shared" si="1"/>
        <v/>
      </c>
    </row>
    <row r="90">
      <c r="A90" s="48"/>
      <c r="C90" s="49"/>
      <c r="D90" s="50"/>
      <c r="E90" s="51"/>
      <c r="F90" s="52"/>
      <c r="G90" s="53"/>
      <c r="H90" s="54" t="str">
        <f t="shared" si="1"/>
        <v/>
      </c>
    </row>
    <row r="91">
      <c r="A91" s="48"/>
      <c r="C91" s="49"/>
      <c r="D91" s="50"/>
      <c r="E91" s="51"/>
      <c r="F91" s="52"/>
      <c r="G91" s="53"/>
      <c r="H91" s="54" t="str">
        <f t="shared" si="1"/>
        <v/>
      </c>
    </row>
    <row r="92">
      <c r="A92" s="48"/>
      <c r="C92" s="49"/>
      <c r="D92" s="50"/>
      <c r="E92" s="51"/>
      <c r="F92" s="52"/>
      <c r="G92" s="53"/>
      <c r="H92" s="54" t="str">
        <f t="shared" si="1"/>
        <v/>
      </c>
    </row>
    <row r="93">
      <c r="A93" s="48"/>
      <c r="C93" s="49"/>
      <c r="D93" s="50"/>
      <c r="E93" s="51"/>
      <c r="F93" s="52"/>
      <c r="G93" s="53"/>
      <c r="H93" s="54" t="str">
        <f t="shared" si="1"/>
        <v/>
      </c>
    </row>
    <row r="94">
      <c r="A94" s="48"/>
      <c r="C94" s="49"/>
      <c r="D94" s="50"/>
      <c r="E94" s="51"/>
      <c r="F94" s="52"/>
      <c r="G94" s="53"/>
      <c r="H94" s="54" t="str">
        <f t="shared" si="1"/>
        <v/>
      </c>
    </row>
    <row r="95">
      <c r="A95" s="48"/>
      <c r="C95" s="49"/>
      <c r="D95" s="50"/>
      <c r="E95" s="51"/>
      <c r="F95" s="52"/>
      <c r="G95" s="53"/>
      <c r="H95" s="54" t="str">
        <f t="shared" si="1"/>
        <v/>
      </c>
    </row>
    <row r="96">
      <c r="A96" s="48"/>
      <c r="C96" s="49"/>
      <c r="D96" s="50"/>
      <c r="E96" s="51"/>
      <c r="F96" s="52"/>
      <c r="G96" s="53"/>
      <c r="H96" s="54" t="str">
        <f t="shared" si="1"/>
        <v/>
      </c>
    </row>
    <row r="97">
      <c r="A97" s="48"/>
      <c r="C97" s="49"/>
      <c r="D97" s="50"/>
      <c r="E97" s="51"/>
      <c r="F97" s="52"/>
      <c r="G97" s="53"/>
      <c r="H97" s="54" t="str">
        <f t="shared" si="1"/>
        <v/>
      </c>
    </row>
    <row r="98">
      <c r="A98" s="48"/>
      <c r="C98" s="49"/>
      <c r="D98" s="50"/>
      <c r="E98" s="51"/>
      <c r="F98" s="52"/>
      <c r="G98" s="53"/>
      <c r="H98" s="54" t="str">
        <f t="shared" si="1"/>
        <v/>
      </c>
    </row>
    <row r="99">
      <c r="A99" s="48"/>
      <c r="C99" s="49"/>
      <c r="D99" s="50"/>
      <c r="E99" s="51"/>
      <c r="F99" s="52"/>
      <c r="G99" s="53"/>
      <c r="H99" s="54" t="str">
        <f t="shared" si="1"/>
        <v/>
      </c>
    </row>
    <row r="100">
      <c r="A100" s="48"/>
      <c r="C100" s="49"/>
      <c r="D100" s="50"/>
      <c r="E100" s="51"/>
      <c r="F100" s="52"/>
      <c r="G100" s="53"/>
      <c r="H100" s="54" t="str">
        <f t="shared" si="1"/>
        <v/>
      </c>
    </row>
    <row r="101">
      <c r="A101" s="48"/>
      <c r="C101" s="49"/>
      <c r="D101" s="50"/>
      <c r="E101" s="51"/>
      <c r="F101" s="52"/>
      <c r="G101" s="53"/>
      <c r="H101" s="54" t="str">
        <f t="shared" si="1"/>
        <v/>
      </c>
    </row>
    <row r="102">
      <c r="A102" s="48"/>
      <c r="C102" s="49"/>
      <c r="D102" s="50"/>
      <c r="E102" s="51"/>
      <c r="F102" s="52"/>
      <c r="G102" s="53"/>
      <c r="H102" s="54" t="str">
        <f t="shared" si="1"/>
        <v/>
      </c>
    </row>
    <row r="103">
      <c r="A103" s="48"/>
      <c r="C103" s="49"/>
      <c r="D103" s="50"/>
      <c r="E103" s="51"/>
      <c r="F103" s="52"/>
      <c r="G103" s="53"/>
      <c r="H103" s="54" t="str">
        <f t="shared" si="1"/>
        <v/>
      </c>
    </row>
    <row r="104">
      <c r="A104" s="48"/>
      <c r="C104" s="49"/>
      <c r="D104" s="50"/>
      <c r="E104" s="51"/>
      <c r="F104" s="52"/>
      <c r="G104" s="53"/>
      <c r="H104" s="54" t="str">
        <f t="shared" si="1"/>
        <v/>
      </c>
    </row>
    <row r="105">
      <c r="A105" s="48"/>
      <c r="C105" s="49"/>
      <c r="D105" s="50"/>
      <c r="E105" s="51"/>
      <c r="F105" s="52"/>
      <c r="G105" s="53"/>
      <c r="H105" s="54" t="str">
        <f t="shared" si="1"/>
        <v/>
      </c>
    </row>
    <row r="106">
      <c r="A106" s="48"/>
      <c r="C106" s="49"/>
      <c r="D106" s="50"/>
      <c r="E106" s="51"/>
      <c r="F106" s="52"/>
      <c r="G106" s="53"/>
      <c r="H106" s="54" t="str">
        <f t="shared" si="1"/>
        <v/>
      </c>
    </row>
    <row r="107">
      <c r="A107" s="48"/>
      <c r="C107" s="49"/>
      <c r="D107" s="50"/>
      <c r="E107" s="51"/>
      <c r="F107" s="52"/>
      <c r="G107" s="53"/>
      <c r="H107" s="54" t="str">
        <f t="shared" si="1"/>
        <v/>
      </c>
    </row>
    <row r="108">
      <c r="A108" s="48"/>
      <c r="C108" s="49"/>
      <c r="D108" s="50"/>
      <c r="E108" s="51"/>
      <c r="F108" s="52"/>
      <c r="G108" s="53"/>
      <c r="H108" s="54" t="str">
        <f t="shared" si="1"/>
        <v/>
      </c>
    </row>
    <row r="109">
      <c r="A109" s="48"/>
      <c r="C109" s="49"/>
      <c r="D109" s="50"/>
      <c r="E109" s="51"/>
      <c r="F109" s="52"/>
      <c r="G109" s="53"/>
      <c r="H109" s="54" t="str">
        <f t="shared" si="1"/>
        <v/>
      </c>
    </row>
    <row r="110">
      <c r="A110" s="48"/>
      <c r="C110" s="49"/>
      <c r="D110" s="50"/>
      <c r="E110" s="51"/>
      <c r="F110" s="52"/>
      <c r="G110" s="53"/>
      <c r="H110" s="54" t="str">
        <f t="shared" si="1"/>
        <v/>
      </c>
    </row>
    <row r="111">
      <c r="A111" s="48"/>
      <c r="C111" s="49"/>
      <c r="D111" s="50"/>
      <c r="E111" s="51"/>
      <c r="F111" s="52"/>
      <c r="G111" s="53"/>
      <c r="H111" s="54" t="str">
        <f t="shared" si="1"/>
        <v/>
      </c>
    </row>
    <row r="112">
      <c r="A112" s="48"/>
      <c r="C112" s="49"/>
      <c r="D112" s="50"/>
      <c r="E112" s="51"/>
      <c r="F112" s="52"/>
      <c r="G112" s="53"/>
      <c r="H112" s="54" t="str">
        <f t="shared" si="1"/>
        <v/>
      </c>
    </row>
    <row r="113">
      <c r="A113" s="48"/>
      <c r="C113" s="49"/>
      <c r="D113" s="50"/>
      <c r="E113" s="51"/>
      <c r="F113" s="52"/>
      <c r="G113" s="53"/>
      <c r="H113" s="54" t="str">
        <f t="shared" si="1"/>
        <v/>
      </c>
    </row>
    <row r="114">
      <c r="A114" s="48"/>
      <c r="C114" s="49"/>
      <c r="D114" s="50"/>
      <c r="E114" s="51"/>
      <c r="F114" s="52"/>
      <c r="G114" s="53"/>
      <c r="H114" s="54" t="str">
        <f t="shared" si="1"/>
        <v/>
      </c>
    </row>
    <row r="115">
      <c r="A115" s="48"/>
      <c r="C115" s="49"/>
      <c r="D115" s="50"/>
      <c r="E115" s="51"/>
      <c r="F115" s="52"/>
      <c r="G115" s="53"/>
      <c r="H115" s="54" t="str">
        <f t="shared" si="1"/>
        <v/>
      </c>
    </row>
    <row r="116">
      <c r="A116" s="48"/>
      <c r="C116" s="49"/>
      <c r="D116" s="50"/>
      <c r="E116" s="51"/>
      <c r="F116" s="52"/>
      <c r="G116" s="53"/>
      <c r="H116" s="54" t="str">
        <f t="shared" si="1"/>
        <v/>
      </c>
    </row>
    <row r="117">
      <c r="A117" s="48"/>
      <c r="C117" s="49"/>
      <c r="D117" s="50"/>
      <c r="E117" s="51"/>
      <c r="F117" s="52"/>
      <c r="G117" s="53"/>
      <c r="H117" s="54" t="str">
        <f t="shared" si="1"/>
        <v/>
      </c>
    </row>
    <row r="118">
      <c r="A118" s="48"/>
      <c r="C118" s="49"/>
      <c r="D118" s="50"/>
      <c r="E118" s="51"/>
      <c r="F118" s="52"/>
      <c r="G118" s="53"/>
      <c r="H118" s="54" t="str">
        <f t="shared" si="1"/>
        <v/>
      </c>
    </row>
    <row r="119">
      <c r="A119" s="48"/>
      <c r="C119" s="49"/>
      <c r="D119" s="50"/>
      <c r="E119" s="51"/>
      <c r="F119" s="52"/>
      <c r="G119" s="53"/>
      <c r="H119" s="54" t="str">
        <f t="shared" si="1"/>
        <v/>
      </c>
    </row>
    <row r="120">
      <c r="A120" s="48"/>
      <c r="C120" s="49"/>
      <c r="D120" s="50"/>
      <c r="E120" s="51"/>
      <c r="F120" s="52"/>
      <c r="G120" s="53"/>
      <c r="H120" s="54" t="str">
        <f t="shared" si="1"/>
        <v/>
      </c>
    </row>
    <row r="121">
      <c r="A121" s="48"/>
      <c r="C121" s="49"/>
      <c r="D121" s="50"/>
      <c r="E121" s="51"/>
      <c r="F121" s="52"/>
      <c r="G121" s="53"/>
      <c r="H121" s="54" t="str">
        <f t="shared" si="1"/>
        <v/>
      </c>
    </row>
    <row r="122">
      <c r="A122" s="48"/>
      <c r="C122" s="49"/>
      <c r="D122" s="50"/>
      <c r="E122" s="51"/>
      <c r="F122" s="52"/>
      <c r="G122" s="53"/>
      <c r="H122" s="54" t="str">
        <f t="shared" si="1"/>
        <v/>
      </c>
    </row>
    <row r="123">
      <c r="A123" s="48"/>
      <c r="C123" s="49"/>
      <c r="D123" s="50"/>
      <c r="E123" s="51"/>
      <c r="F123" s="52"/>
      <c r="G123" s="53"/>
      <c r="H123" s="54" t="str">
        <f t="shared" si="1"/>
        <v/>
      </c>
    </row>
    <row r="124">
      <c r="A124" s="48"/>
      <c r="C124" s="49"/>
      <c r="D124" s="50"/>
      <c r="E124" s="51"/>
      <c r="F124" s="52"/>
      <c r="G124" s="53"/>
      <c r="H124" s="54" t="str">
        <f t="shared" si="1"/>
        <v/>
      </c>
    </row>
    <row r="125">
      <c r="A125" s="48"/>
      <c r="C125" s="49"/>
      <c r="D125" s="50"/>
      <c r="E125" s="51"/>
      <c r="F125" s="52"/>
      <c r="G125" s="53"/>
      <c r="H125" s="54" t="str">
        <f t="shared" si="1"/>
        <v/>
      </c>
    </row>
    <row r="126">
      <c r="A126" s="48"/>
      <c r="C126" s="49"/>
      <c r="D126" s="50"/>
      <c r="E126" s="51"/>
      <c r="F126" s="52"/>
      <c r="G126" s="53"/>
      <c r="H126" s="54" t="str">
        <f t="shared" si="1"/>
        <v/>
      </c>
    </row>
    <row r="127">
      <c r="A127" s="48"/>
      <c r="C127" s="49"/>
      <c r="D127" s="50"/>
      <c r="E127" s="51"/>
      <c r="F127" s="52"/>
      <c r="G127" s="53"/>
      <c r="H127" s="54" t="str">
        <f t="shared" si="1"/>
        <v/>
      </c>
    </row>
    <row r="128">
      <c r="A128" s="48"/>
      <c r="C128" s="49"/>
      <c r="D128" s="50"/>
      <c r="E128" s="51"/>
      <c r="F128" s="52"/>
      <c r="G128" s="53"/>
      <c r="H128" s="54" t="str">
        <f t="shared" si="1"/>
        <v/>
      </c>
    </row>
    <row r="129">
      <c r="A129" s="48"/>
      <c r="C129" s="49"/>
      <c r="D129" s="50"/>
      <c r="E129" s="51"/>
      <c r="F129" s="52"/>
      <c r="G129" s="53"/>
      <c r="H129" s="54" t="str">
        <f t="shared" si="1"/>
        <v/>
      </c>
    </row>
    <row r="130">
      <c r="A130" s="48"/>
      <c r="C130" s="49"/>
      <c r="D130" s="50"/>
      <c r="E130" s="51"/>
      <c r="F130" s="52"/>
      <c r="G130" s="53"/>
      <c r="H130" s="54" t="str">
        <f t="shared" si="1"/>
        <v/>
      </c>
    </row>
    <row r="131">
      <c r="A131" s="48"/>
      <c r="C131" s="49"/>
      <c r="D131" s="50"/>
      <c r="E131" s="51"/>
      <c r="F131" s="52"/>
      <c r="G131" s="53"/>
      <c r="H131" s="54" t="str">
        <f t="shared" si="1"/>
        <v/>
      </c>
    </row>
    <row r="132">
      <c r="A132" s="48"/>
      <c r="C132" s="49"/>
      <c r="D132" s="50"/>
      <c r="E132" s="51"/>
      <c r="F132" s="52"/>
      <c r="G132" s="53"/>
      <c r="H132" s="54" t="str">
        <f t="shared" si="1"/>
        <v/>
      </c>
    </row>
    <row r="133">
      <c r="A133" s="48"/>
      <c r="C133" s="49"/>
      <c r="D133" s="50"/>
      <c r="E133" s="51"/>
      <c r="F133" s="52"/>
      <c r="G133" s="53"/>
      <c r="H133" s="54" t="str">
        <f t="shared" si="1"/>
        <v/>
      </c>
    </row>
    <row r="134">
      <c r="A134" s="48"/>
      <c r="C134" s="49"/>
      <c r="D134" s="50"/>
      <c r="E134" s="51"/>
      <c r="F134" s="52"/>
      <c r="G134" s="53"/>
      <c r="H134" s="54" t="str">
        <f t="shared" si="1"/>
        <v/>
      </c>
    </row>
    <row r="135">
      <c r="A135" s="48"/>
      <c r="C135" s="49"/>
      <c r="D135" s="50"/>
      <c r="E135" s="51"/>
      <c r="F135" s="52"/>
      <c r="G135" s="53"/>
      <c r="H135" s="54" t="str">
        <f t="shared" si="1"/>
        <v/>
      </c>
    </row>
    <row r="136">
      <c r="A136" s="48"/>
      <c r="C136" s="49"/>
      <c r="D136" s="50"/>
      <c r="E136" s="51"/>
      <c r="F136" s="52"/>
      <c r="G136" s="53"/>
      <c r="H136" s="54" t="str">
        <f t="shared" si="1"/>
        <v/>
      </c>
    </row>
    <row r="137">
      <c r="A137" s="48"/>
      <c r="C137" s="49"/>
      <c r="D137" s="50"/>
      <c r="E137" s="51"/>
      <c r="F137" s="52"/>
      <c r="G137" s="53"/>
      <c r="H137" s="54" t="str">
        <f t="shared" si="1"/>
        <v/>
      </c>
    </row>
    <row r="138">
      <c r="A138" s="48"/>
      <c r="C138" s="49"/>
      <c r="D138" s="50"/>
      <c r="E138" s="51"/>
      <c r="F138" s="52"/>
      <c r="G138" s="53"/>
      <c r="H138" s="54" t="str">
        <f t="shared" si="1"/>
        <v/>
      </c>
    </row>
    <row r="139">
      <c r="A139" s="48"/>
      <c r="C139" s="49"/>
      <c r="D139" s="50"/>
      <c r="E139" s="51"/>
      <c r="F139" s="52"/>
      <c r="G139" s="53"/>
      <c r="H139" s="54" t="str">
        <f t="shared" si="1"/>
        <v/>
      </c>
    </row>
    <row r="140">
      <c r="A140" s="48"/>
      <c r="C140" s="49"/>
      <c r="D140" s="50"/>
      <c r="E140" s="51"/>
      <c r="F140" s="52"/>
      <c r="G140" s="53"/>
      <c r="H140" s="54" t="str">
        <f t="shared" si="1"/>
        <v/>
      </c>
    </row>
    <row r="141">
      <c r="A141" s="48"/>
      <c r="C141" s="49"/>
      <c r="D141" s="50"/>
      <c r="E141" s="51"/>
      <c r="F141" s="52"/>
      <c r="G141" s="53"/>
      <c r="H141" s="54" t="str">
        <f t="shared" si="1"/>
        <v/>
      </c>
    </row>
    <row r="142">
      <c r="A142" s="48"/>
      <c r="C142" s="49"/>
      <c r="D142" s="50"/>
      <c r="E142" s="51"/>
      <c r="F142" s="52"/>
      <c r="G142" s="53"/>
      <c r="H142" s="54" t="str">
        <f t="shared" si="1"/>
        <v/>
      </c>
    </row>
    <row r="143">
      <c r="A143" s="48"/>
      <c r="C143" s="49"/>
      <c r="D143" s="50"/>
      <c r="E143" s="51"/>
      <c r="F143" s="52"/>
      <c r="G143" s="53"/>
      <c r="H143" s="54" t="str">
        <f t="shared" si="1"/>
        <v/>
      </c>
    </row>
    <row r="144">
      <c r="A144" s="48"/>
      <c r="C144" s="49"/>
      <c r="D144" s="50"/>
      <c r="E144" s="51"/>
      <c r="F144" s="52"/>
      <c r="G144" s="53"/>
      <c r="H144" s="54" t="str">
        <f t="shared" si="1"/>
        <v/>
      </c>
    </row>
    <row r="145">
      <c r="A145" s="48"/>
      <c r="C145" s="49"/>
      <c r="D145" s="50"/>
      <c r="E145" s="51"/>
      <c r="F145" s="52"/>
      <c r="G145" s="53"/>
      <c r="H145" s="54" t="str">
        <f t="shared" si="1"/>
        <v/>
      </c>
    </row>
    <row r="146">
      <c r="A146" s="48"/>
      <c r="C146" s="49"/>
      <c r="D146" s="50"/>
      <c r="E146" s="51"/>
      <c r="F146" s="52"/>
      <c r="G146" s="53"/>
      <c r="H146" s="54" t="str">
        <f t="shared" si="1"/>
        <v/>
      </c>
    </row>
    <row r="147">
      <c r="A147" s="48"/>
      <c r="C147" s="49"/>
      <c r="D147" s="50"/>
      <c r="E147" s="51"/>
      <c r="F147" s="52"/>
      <c r="G147" s="53"/>
      <c r="H147" s="54" t="str">
        <f t="shared" si="1"/>
        <v/>
      </c>
    </row>
    <row r="148">
      <c r="A148" s="48"/>
      <c r="C148" s="49"/>
      <c r="D148" s="50"/>
      <c r="E148" s="51"/>
      <c r="F148" s="52"/>
      <c r="G148" s="53"/>
      <c r="H148" s="54" t="str">
        <f t="shared" si="1"/>
        <v/>
      </c>
    </row>
    <row r="149">
      <c r="A149" s="48"/>
      <c r="C149" s="49"/>
      <c r="D149" s="50"/>
      <c r="E149" s="51"/>
      <c r="F149" s="52"/>
      <c r="G149" s="53"/>
      <c r="H149" s="54" t="str">
        <f t="shared" si="1"/>
        <v/>
      </c>
    </row>
    <row r="150">
      <c r="A150" s="48"/>
      <c r="C150" s="49"/>
      <c r="D150" s="50"/>
      <c r="E150" s="51"/>
      <c r="F150" s="52"/>
      <c r="G150" s="53"/>
      <c r="H150" s="54" t="str">
        <f t="shared" si="1"/>
        <v/>
      </c>
    </row>
    <row r="151">
      <c r="A151" s="48"/>
      <c r="C151" s="49"/>
      <c r="D151" s="50"/>
      <c r="E151" s="51"/>
      <c r="F151" s="52"/>
      <c r="G151" s="53"/>
      <c r="H151" s="54" t="str">
        <f t="shared" si="1"/>
        <v/>
      </c>
    </row>
    <row r="152">
      <c r="A152" s="48"/>
      <c r="C152" s="49"/>
      <c r="D152" s="50"/>
      <c r="E152" s="51"/>
      <c r="F152" s="52"/>
      <c r="G152" s="53"/>
      <c r="H152" s="54" t="str">
        <f t="shared" si="1"/>
        <v/>
      </c>
    </row>
    <row r="153">
      <c r="A153" s="48"/>
      <c r="C153" s="49"/>
      <c r="D153" s="50"/>
      <c r="E153" s="51"/>
      <c r="F153" s="52"/>
      <c r="G153" s="53"/>
      <c r="H153" s="54" t="str">
        <f t="shared" si="1"/>
        <v/>
      </c>
    </row>
    <row r="154">
      <c r="A154" s="48"/>
      <c r="C154" s="49"/>
      <c r="D154" s="50"/>
      <c r="E154" s="51"/>
      <c r="F154" s="52"/>
      <c r="G154" s="53"/>
      <c r="H154" s="54" t="str">
        <f t="shared" si="1"/>
        <v/>
      </c>
    </row>
    <row r="155">
      <c r="A155" s="48"/>
      <c r="C155" s="49"/>
      <c r="D155" s="50"/>
      <c r="E155" s="51"/>
      <c r="F155" s="52"/>
      <c r="G155" s="53"/>
      <c r="H155" s="54" t="str">
        <f t="shared" si="1"/>
        <v/>
      </c>
    </row>
    <row r="156">
      <c r="A156" s="48"/>
      <c r="C156" s="49"/>
      <c r="D156" s="50"/>
      <c r="E156" s="51"/>
      <c r="F156" s="52"/>
      <c r="G156" s="53"/>
      <c r="H156" s="54" t="str">
        <f t="shared" si="1"/>
        <v/>
      </c>
    </row>
    <row r="157">
      <c r="A157" s="48"/>
      <c r="C157" s="49"/>
      <c r="D157" s="50"/>
      <c r="E157" s="51"/>
      <c r="F157" s="52"/>
      <c r="G157" s="53"/>
      <c r="H157" s="54" t="str">
        <f t="shared" si="1"/>
        <v/>
      </c>
    </row>
    <row r="158">
      <c r="A158" s="48"/>
      <c r="C158" s="49"/>
      <c r="D158" s="50"/>
      <c r="E158" s="51"/>
      <c r="F158" s="52"/>
      <c r="G158" s="53"/>
      <c r="H158" s="54" t="str">
        <f t="shared" si="1"/>
        <v/>
      </c>
    </row>
    <row r="159">
      <c r="A159" s="48"/>
      <c r="C159" s="49"/>
      <c r="D159" s="50"/>
      <c r="E159" s="51"/>
      <c r="F159" s="52"/>
      <c r="G159" s="53"/>
      <c r="H159" s="54" t="str">
        <f t="shared" si="1"/>
        <v/>
      </c>
    </row>
    <row r="160">
      <c r="A160" s="48"/>
      <c r="C160" s="49"/>
      <c r="D160" s="50"/>
      <c r="E160" s="51"/>
      <c r="F160" s="52"/>
      <c r="G160" s="53"/>
      <c r="H160" s="54" t="str">
        <f t="shared" si="1"/>
        <v/>
      </c>
    </row>
    <row r="161">
      <c r="A161" s="48"/>
      <c r="C161" s="49"/>
      <c r="D161" s="50"/>
      <c r="E161" s="51"/>
      <c r="F161" s="52"/>
      <c r="G161" s="53"/>
      <c r="H161" s="54" t="str">
        <f t="shared" si="1"/>
        <v/>
      </c>
    </row>
    <row r="162">
      <c r="A162" s="48"/>
      <c r="C162" s="49"/>
      <c r="D162" s="50"/>
      <c r="E162" s="51"/>
      <c r="F162" s="52"/>
      <c r="G162" s="53"/>
      <c r="H162" s="54" t="str">
        <f t="shared" si="1"/>
        <v/>
      </c>
    </row>
    <row r="163">
      <c r="A163" s="48"/>
      <c r="C163" s="49"/>
      <c r="D163" s="50"/>
      <c r="E163" s="51"/>
      <c r="F163" s="52"/>
      <c r="G163" s="53"/>
      <c r="H163" s="54" t="str">
        <f t="shared" si="1"/>
        <v/>
      </c>
    </row>
    <row r="164">
      <c r="A164" s="48"/>
      <c r="C164" s="49"/>
      <c r="D164" s="50"/>
      <c r="E164" s="51"/>
      <c r="F164" s="52"/>
      <c r="G164" s="53"/>
      <c r="H164" s="54" t="str">
        <f t="shared" si="1"/>
        <v/>
      </c>
    </row>
    <row r="165">
      <c r="A165" s="48"/>
      <c r="C165" s="49"/>
      <c r="D165" s="50"/>
      <c r="E165" s="51"/>
      <c r="F165" s="52"/>
      <c r="G165" s="53"/>
      <c r="H165" s="54" t="str">
        <f t="shared" si="1"/>
        <v/>
      </c>
    </row>
    <row r="166">
      <c r="A166" s="48"/>
      <c r="C166" s="49"/>
      <c r="D166" s="50"/>
      <c r="E166" s="51"/>
      <c r="F166" s="52"/>
      <c r="G166" s="53"/>
      <c r="H166" s="54" t="str">
        <f t="shared" si="1"/>
        <v/>
      </c>
    </row>
    <row r="167">
      <c r="A167" s="48"/>
      <c r="C167" s="49"/>
      <c r="D167" s="50"/>
      <c r="E167" s="51"/>
      <c r="F167" s="52"/>
      <c r="G167" s="53"/>
      <c r="H167" s="54" t="str">
        <f t="shared" si="1"/>
        <v/>
      </c>
    </row>
    <row r="168">
      <c r="A168" s="48"/>
      <c r="C168" s="49"/>
      <c r="D168" s="50"/>
      <c r="E168" s="51"/>
      <c r="F168" s="52"/>
      <c r="G168" s="53"/>
      <c r="H168" s="54" t="str">
        <f t="shared" si="1"/>
        <v/>
      </c>
    </row>
    <row r="169">
      <c r="A169" s="48"/>
      <c r="C169" s="49"/>
      <c r="D169" s="50"/>
      <c r="E169" s="51"/>
      <c r="F169" s="52"/>
      <c r="G169" s="53"/>
      <c r="H169" s="54" t="str">
        <f t="shared" si="1"/>
        <v/>
      </c>
    </row>
    <row r="170">
      <c r="A170" s="48"/>
      <c r="C170" s="49"/>
      <c r="D170" s="50"/>
      <c r="E170" s="51"/>
      <c r="F170" s="52"/>
      <c r="G170" s="53"/>
      <c r="H170" s="54" t="str">
        <f t="shared" si="1"/>
        <v/>
      </c>
    </row>
    <row r="171">
      <c r="A171" s="48"/>
      <c r="C171" s="49"/>
      <c r="D171" s="50"/>
      <c r="E171" s="51"/>
      <c r="F171" s="52"/>
      <c r="G171" s="53"/>
      <c r="H171" s="54" t="str">
        <f t="shared" si="1"/>
        <v/>
      </c>
    </row>
    <row r="172">
      <c r="A172" s="48"/>
      <c r="C172" s="49"/>
      <c r="D172" s="50"/>
      <c r="E172" s="51"/>
      <c r="F172" s="52"/>
      <c r="G172" s="53"/>
      <c r="H172" s="54" t="str">
        <f t="shared" si="1"/>
        <v/>
      </c>
    </row>
    <row r="173">
      <c r="A173" s="48"/>
      <c r="C173" s="49"/>
      <c r="D173" s="50"/>
      <c r="E173" s="51"/>
      <c r="F173" s="52"/>
      <c r="G173" s="53"/>
      <c r="H173" s="54" t="str">
        <f t="shared" si="1"/>
        <v/>
      </c>
    </row>
    <row r="174">
      <c r="A174" s="48"/>
      <c r="C174" s="49"/>
      <c r="D174" s="50"/>
      <c r="E174" s="51"/>
      <c r="F174" s="52"/>
      <c r="G174" s="53"/>
      <c r="H174" s="54" t="str">
        <f t="shared" si="1"/>
        <v/>
      </c>
    </row>
    <row r="175">
      <c r="A175" s="48"/>
      <c r="C175" s="49"/>
      <c r="D175" s="50"/>
      <c r="E175" s="51"/>
      <c r="F175" s="52"/>
      <c r="G175" s="53"/>
      <c r="H175" s="54" t="str">
        <f t="shared" si="1"/>
        <v/>
      </c>
    </row>
    <row r="176">
      <c r="A176" s="48"/>
      <c r="C176" s="49"/>
      <c r="D176" s="50"/>
      <c r="E176" s="51"/>
      <c r="F176" s="52"/>
      <c r="G176" s="53"/>
      <c r="H176" s="54" t="str">
        <f t="shared" si="1"/>
        <v/>
      </c>
    </row>
    <row r="177">
      <c r="A177" s="48"/>
      <c r="C177" s="49"/>
      <c r="D177" s="50"/>
      <c r="E177" s="51"/>
      <c r="F177" s="52"/>
      <c r="G177" s="53"/>
      <c r="H177" s="54" t="str">
        <f t="shared" si="1"/>
        <v/>
      </c>
    </row>
    <row r="178">
      <c r="A178" s="48"/>
      <c r="C178" s="49"/>
      <c r="D178" s="50"/>
      <c r="E178" s="51"/>
      <c r="F178" s="52"/>
      <c r="G178" s="53"/>
      <c r="H178" s="54" t="str">
        <f t="shared" si="1"/>
        <v/>
      </c>
    </row>
    <row r="179">
      <c r="A179" s="48"/>
      <c r="C179" s="49"/>
      <c r="D179" s="50"/>
      <c r="E179" s="51"/>
      <c r="F179" s="52"/>
      <c r="G179" s="53"/>
      <c r="H179" s="54" t="str">
        <f t="shared" si="1"/>
        <v/>
      </c>
    </row>
    <row r="180">
      <c r="A180" s="48"/>
      <c r="C180" s="49"/>
      <c r="D180" s="50"/>
      <c r="E180" s="51"/>
      <c r="F180" s="52"/>
      <c r="G180" s="53"/>
      <c r="H180" s="54" t="str">
        <f t="shared" si="1"/>
        <v/>
      </c>
    </row>
    <row r="181">
      <c r="A181" s="48"/>
      <c r="C181" s="49"/>
      <c r="D181" s="50"/>
      <c r="E181" s="51"/>
      <c r="F181" s="52"/>
      <c r="G181" s="53"/>
      <c r="H181" s="54" t="str">
        <f t="shared" si="1"/>
        <v/>
      </c>
    </row>
    <row r="182">
      <c r="A182" s="48"/>
      <c r="C182" s="49"/>
      <c r="D182" s="50"/>
      <c r="E182" s="51"/>
      <c r="F182" s="52"/>
      <c r="G182" s="53"/>
      <c r="H182" s="54" t="str">
        <f t="shared" si="1"/>
        <v/>
      </c>
    </row>
    <row r="183">
      <c r="A183" s="48"/>
      <c r="C183" s="49"/>
      <c r="D183" s="50"/>
      <c r="E183" s="51"/>
      <c r="F183" s="52"/>
      <c r="G183" s="53"/>
      <c r="H183" s="54" t="str">
        <f t="shared" si="1"/>
        <v/>
      </c>
    </row>
    <row r="184">
      <c r="A184" s="48"/>
      <c r="C184" s="49"/>
      <c r="D184" s="50"/>
      <c r="E184" s="51"/>
      <c r="F184" s="52"/>
      <c r="G184" s="53"/>
      <c r="H184" s="54" t="str">
        <f t="shared" si="1"/>
        <v/>
      </c>
    </row>
    <row r="185">
      <c r="A185" s="48"/>
      <c r="C185" s="49"/>
      <c r="D185" s="50"/>
      <c r="E185" s="51"/>
      <c r="F185" s="52"/>
      <c r="G185" s="53"/>
      <c r="H185" s="54" t="str">
        <f t="shared" si="1"/>
        <v/>
      </c>
    </row>
    <row r="186">
      <c r="A186" s="48"/>
      <c r="C186" s="49"/>
      <c r="D186" s="50"/>
      <c r="E186" s="51"/>
      <c r="F186" s="52"/>
      <c r="G186" s="53"/>
      <c r="H186" s="54" t="str">
        <f t="shared" si="1"/>
        <v/>
      </c>
    </row>
    <row r="187">
      <c r="A187" s="48"/>
      <c r="C187" s="49"/>
      <c r="D187" s="50"/>
      <c r="E187" s="51"/>
      <c r="F187" s="52"/>
      <c r="G187" s="53"/>
      <c r="H187" s="54" t="str">
        <f t="shared" si="1"/>
        <v/>
      </c>
    </row>
    <row r="188">
      <c r="A188" s="48"/>
      <c r="C188" s="49"/>
      <c r="D188" s="50"/>
      <c r="E188" s="51"/>
      <c r="F188" s="52"/>
      <c r="G188" s="53"/>
      <c r="H188" s="54" t="str">
        <f t="shared" si="1"/>
        <v/>
      </c>
    </row>
    <row r="189">
      <c r="A189" s="48"/>
      <c r="C189" s="49"/>
      <c r="D189" s="50"/>
      <c r="E189" s="51"/>
      <c r="F189" s="52"/>
      <c r="G189" s="53"/>
      <c r="H189" s="54" t="str">
        <f t="shared" si="1"/>
        <v/>
      </c>
    </row>
    <row r="190">
      <c r="A190" s="48"/>
      <c r="C190" s="49"/>
      <c r="D190" s="50"/>
      <c r="E190" s="51"/>
      <c r="F190" s="52"/>
      <c r="G190" s="53"/>
      <c r="H190" s="54" t="str">
        <f t="shared" si="1"/>
        <v/>
      </c>
    </row>
    <row r="191">
      <c r="A191" s="48"/>
      <c r="C191" s="49"/>
      <c r="D191" s="50"/>
      <c r="E191" s="51"/>
      <c r="F191" s="52"/>
      <c r="G191" s="53"/>
      <c r="H191" s="54" t="str">
        <f t="shared" si="1"/>
        <v/>
      </c>
    </row>
    <row r="192">
      <c r="A192" s="48"/>
      <c r="C192" s="49"/>
      <c r="D192" s="50"/>
      <c r="E192" s="51"/>
      <c r="F192" s="52"/>
      <c r="G192" s="53"/>
      <c r="H192" s="54" t="str">
        <f t="shared" si="1"/>
        <v/>
      </c>
    </row>
    <row r="193">
      <c r="A193" s="48"/>
      <c r="C193" s="49"/>
      <c r="D193" s="50"/>
      <c r="E193" s="51"/>
      <c r="F193" s="52"/>
      <c r="G193" s="53"/>
      <c r="H193" s="54" t="str">
        <f t="shared" si="1"/>
        <v/>
      </c>
    </row>
    <row r="194">
      <c r="A194" s="48"/>
      <c r="C194" s="49"/>
      <c r="D194" s="50"/>
      <c r="E194" s="51"/>
      <c r="F194" s="52"/>
      <c r="G194" s="53"/>
      <c r="H194" s="54" t="str">
        <f t="shared" si="1"/>
        <v/>
      </c>
    </row>
    <row r="195">
      <c r="A195" s="48"/>
      <c r="C195" s="49"/>
      <c r="D195" s="50"/>
      <c r="E195" s="51"/>
      <c r="F195" s="52"/>
      <c r="G195" s="53"/>
      <c r="H195" s="54" t="str">
        <f t="shared" si="1"/>
        <v/>
      </c>
    </row>
    <row r="196">
      <c r="A196" s="48"/>
      <c r="C196" s="49"/>
      <c r="D196" s="50"/>
      <c r="E196" s="51"/>
      <c r="F196" s="52"/>
      <c r="G196" s="53"/>
      <c r="H196" s="54" t="str">
        <f t="shared" si="1"/>
        <v/>
      </c>
    </row>
    <row r="197">
      <c r="A197" s="48"/>
      <c r="C197" s="49"/>
      <c r="D197" s="50"/>
      <c r="E197" s="51"/>
      <c r="F197" s="52"/>
      <c r="G197" s="53"/>
      <c r="H197" s="54" t="str">
        <f t="shared" si="1"/>
        <v/>
      </c>
    </row>
    <row r="198">
      <c r="A198" s="48"/>
      <c r="C198" s="49"/>
      <c r="D198" s="50"/>
      <c r="E198" s="51"/>
      <c r="F198" s="52"/>
      <c r="G198" s="53"/>
      <c r="H198" s="54" t="str">
        <f t="shared" si="1"/>
        <v/>
      </c>
    </row>
    <row r="199">
      <c r="A199" s="48"/>
      <c r="C199" s="49"/>
      <c r="D199" s="50"/>
      <c r="E199" s="51"/>
      <c r="F199" s="52"/>
      <c r="G199" s="53"/>
      <c r="H199" s="54" t="str">
        <f t="shared" si="1"/>
        <v/>
      </c>
    </row>
    <row r="200">
      <c r="A200" s="48"/>
      <c r="C200" s="49"/>
      <c r="D200" s="50"/>
      <c r="E200" s="51"/>
      <c r="F200" s="52"/>
      <c r="G200" s="53"/>
      <c r="H200" s="54" t="str">
        <f t="shared" si="1"/>
        <v/>
      </c>
    </row>
    <row r="201">
      <c r="A201" s="48"/>
      <c r="C201" s="49"/>
      <c r="D201" s="50"/>
      <c r="E201" s="51"/>
      <c r="F201" s="52"/>
      <c r="G201" s="53"/>
      <c r="H201" s="54" t="str">
        <f t="shared" si="1"/>
        <v/>
      </c>
    </row>
    <row r="202">
      <c r="A202" s="48"/>
      <c r="C202" s="49"/>
      <c r="D202" s="50"/>
      <c r="E202" s="51"/>
      <c r="F202" s="52"/>
      <c r="G202" s="53"/>
      <c r="H202" s="54" t="str">
        <f t="shared" si="1"/>
        <v/>
      </c>
    </row>
    <row r="203">
      <c r="A203" s="48"/>
      <c r="C203" s="49"/>
      <c r="D203" s="50"/>
      <c r="E203" s="51"/>
      <c r="F203" s="52"/>
      <c r="G203" s="53"/>
      <c r="H203" s="54" t="str">
        <f t="shared" si="1"/>
        <v/>
      </c>
    </row>
    <row r="204">
      <c r="A204" s="48"/>
      <c r="C204" s="49"/>
      <c r="D204" s="50"/>
      <c r="E204" s="51"/>
      <c r="F204" s="52"/>
      <c r="G204" s="53"/>
      <c r="H204" s="54" t="str">
        <f t="shared" si="1"/>
        <v/>
      </c>
    </row>
    <row r="205">
      <c r="A205" s="48"/>
      <c r="C205" s="49"/>
      <c r="D205" s="50"/>
      <c r="E205" s="51"/>
      <c r="F205" s="52"/>
      <c r="G205" s="53"/>
      <c r="H205" s="54" t="str">
        <f t="shared" si="1"/>
        <v/>
      </c>
    </row>
    <row r="206">
      <c r="A206" s="48"/>
      <c r="C206" s="49"/>
      <c r="D206" s="50"/>
      <c r="E206" s="51"/>
      <c r="F206" s="52"/>
      <c r="G206" s="53"/>
      <c r="H206" s="54" t="str">
        <f t="shared" si="1"/>
        <v/>
      </c>
    </row>
    <row r="207">
      <c r="A207" s="48"/>
      <c r="C207" s="49"/>
      <c r="D207" s="50"/>
      <c r="E207" s="51"/>
      <c r="F207" s="52"/>
      <c r="G207" s="53"/>
      <c r="H207" s="54" t="str">
        <f t="shared" si="1"/>
        <v/>
      </c>
    </row>
    <row r="208">
      <c r="A208" s="48"/>
      <c r="C208" s="49"/>
      <c r="D208" s="50"/>
      <c r="E208" s="51"/>
      <c r="F208" s="52"/>
      <c r="G208" s="53"/>
      <c r="H208" s="54" t="str">
        <f t="shared" si="1"/>
        <v/>
      </c>
    </row>
    <row r="209">
      <c r="A209" s="48"/>
      <c r="C209" s="49"/>
      <c r="D209" s="50"/>
      <c r="E209" s="51"/>
      <c r="F209" s="52"/>
      <c r="G209" s="53"/>
      <c r="H209" s="54" t="str">
        <f t="shared" si="1"/>
        <v/>
      </c>
    </row>
    <row r="210">
      <c r="A210" s="48"/>
      <c r="C210" s="49"/>
      <c r="D210" s="50"/>
      <c r="E210" s="51"/>
      <c r="F210" s="52"/>
      <c r="G210" s="53"/>
      <c r="H210" s="54" t="str">
        <f t="shared" si="1"/>
        <v/>
      </c>
    </row>
    <row r="211">
      <c r="A211" s="48"/>
      <c r="C211" s="49"/>
      <c r="D211" s="50"/>
      <c r="E211" s="51"/>
      <c r="F211" s="52"/>
      <c r="G211" s="53"/>
      <c r="H211" s="54" t="str">
        <f t="shared" si="1"/>
        <v/>
      </c>
    </row>
    <row r="212">
      <c r="A212" s="48"/>
      <c r="C212" s="49"/>
      <c r="D212" s="50"/>
      <c r="E212" s="51"/>
      <c r="F212" s="52"/>
      <c r="G212" s="53"/>
      <c r="H212" s="54" t="str">
        <f t="shared" si="1"/>
        <v/>
      </c>
    </row>
    <row r="213">
      <c r="A213" s="48"/>
      <c r="C213" s="49"/>
      <c r="D213" s="50"/>
      <c r="E213" s="51"/>
      <c r="F213" s="52"/>
      <c r="G213" s="53"/>
      <c r="H213" s="54" t="str">
        <f t="shared" si="1"/>
        <v/>
      </c>
    </row>
    <row r="214">
      <c r="A214" s="48"/>
      <c r="C214" s="49"/>
      <c r="D214" s="50"/>
      <c r="E214" s="51"/>
      <c r="F214" s="52"/>
      <c r="G214" s="53"/>
      <c r="H214" s="54" t="str">
        <f t="shared" si="1"/>
        <v/>
      </c>
    </row>
    <row r="215">
      <c r="A215" s="48"/>
      <c r="C215" s="49"/>
      <c r="D215" s="50"/>
      <c r="E215" s="51"/>
      <c r="F215" s="52"/>
      <c r="G215" s="53"/>
      <c r="H215" s="54" t="str">
        <f t="shared" si="1"/>
        <v/>
      </c>
    </row>
    <row r="216">
      <c r="A216" s="48"/>
      <c r="C216" s="49"/>
      <c r="D216" s="50"/>
      <c r="E216" s="51"/>
      <c r="F216" s="52"/>
      <c r="G216" s="53"/>
      <c r="H216" s="54" t="str">
        <f t="shared" si="1"/>
        <v/>
      </c>
    </row>
    <row r="217">
      <c r="A217" s="48"/>
      <c r="C217" s="49"/>
      <c r="D217" s="50"/>
      <c r="E217" s="51"/>
      <c r="F217" s="52"/>
      <c r="G217" s="53"/>
      <c r="H217" s="54" t="str">
        <f t="shared" si="1"/>
        <v/>
      </c>
    </row>
    <row r="218">
      <c r="A218" s="48"/>
      <c r="C218" s="49"/>
      <c r="D218" s="50"/>
      <c r="E218" s="51"/>
      <c r="F218" s="52"/>
      <c r="G218" s="53"/>
      <c r="H218" s="54" t="str">
        <f t="shared" si="1"/>
        <v/>
      </c>
    </row>
    <row r="219">
      <c r="A219" s="48"/>
      <c r="C219" s="49"/>
      <c r="D219" s="50"/>
      <c r="E219" s="51"/>
      <c r="F219" s="52"/>
      <c r="G219" s="53"/>
      <c r="H219" s="54" t="str">
        <f t="shared" si="1"/>
        <v/>
      </c>
    </row>
    <row r="220">
      <c r="A220" s="48"/>
      <c r="C220" s="49"/>
      <c r="D220" s="50"/>
      <c r="E220" s="51"/>
      <c r="F220" s="52"/>
      <c r="G220" s="53"/>
      <c r="H220" s="54" t="str">
        <f t="shared" si="1"/>
        <v/>
      </c>
    </row>
    <row r="221">
      <c r="A221" s="48"/>
      <c r="C221" s="49"/>
      <c r="D221" s="50"/>
      <c r="E221" s="51"/>
      <c r="F221" s="52"/>
      <c r="G221" s="53"/>
      <c r="H221" s="54" t="str">
        <f t="shared" si="1"/>
        <v/>
      </c>
    </row>
    <row r="222">
      <c r="A222" s="48"/>
      <c r="C222" s="49"/>
      <c r="D222" s="50"/>
      <c r="E222" s="51"/>
      <c r="F222" s="52"/>
      <c r="G222" s="53"/>
      <c r="H222" s="54" t="str">
        <f t="shared" si="1"/>
        <v/>
      </c>
    </row>
    <row r="223">
      <c r="A223" s="48"/>
      <c r="C223" s="49"/>
      <c r="D223" s="50"/>
      <c r="E223" s="51"/>
      <c r="F223" s="52"/>
      <c r="G223" s="53"/>
      <c r="H223" s="54" t="str">
        <f t="shared" si="1"/>
        <v/>
      </c>
    </row>
    <row r="224">
      <c r="A224" s="48"/>
      <c r="C224" s="49"/>
      <c r="D224" s="50"/>
      <c r="E224" s="51"/>
      <c r="F224" s="52"/>
      <c r="G224" s="53"/>
      <c r="H224" s="54" t="str">
        <f t="shared" si="1"/>
        <v/>
      </c>
    </row>
    <row r="225">
      <c r="A225" s="48"/>
      <c r="C225" s="49"/>
      <c r="D225" s="50"/>
      <c r="E225" s="51"/>
      <c r="F225" s="52"/>
      <c r="G225" s="53"/>
      <c r="H225" s="54" t="str">
        <f t="shared" si="1"/>
        <v/>
      </c>
    </row>
    <row r="226">
      <c r="A226" s="48"/>
      <c r="C226" s="49"/>
      <c r="D226" s="50"/>
      <c r="E226" s="51"/>
      <c r="F226" s="52"/>
      <c r="G226" s="53"/>
      <c r="H226" s="54" t="str">
        <f t="shared" si="1"/>
        <v/>
      </c>
    </row>
    <row r="227">
      <c r="A227" s="48"/>
      <c r="C227" s="49"/>
      <c r="D227" s="50"/>
      <c r="E227" s="51"/>
      <c r="F227" s="52"/>
      <c r="G227" s="53"/>
      <c r="H227" s="54" t="str">
        <f t="shared" si="1"/>
        <v/>
      </c>
    </row>
    <row r="228">
      <c r="A228" s="48"/>
      <c r="C228" s="49"/>
      <c r="D228" s="50"/>
      <c r="E228" s="51"/>
      <c r="F228" s="52"/>
      <c r="G228" s="53"/>
      <c r="H228" s="54" t="str">
        <f t="shared" si="1"/>
        <v/>
      </c>
    </row>
    <row r="229">
      <c r="A229" s="48"/>
      <c r="C229" s="49"/>
      <c r="D229" s="50"/>
      <c r="E229" s="51"/>
      <c r="F229" s="52"/>
      <c r="G229" s="53"/>
      <c r="H229" s="54" t="str">
        <f t="shared" si="1"/>
        <v/>
      </c>
    </row>
    <row r="230">
      <c r="A230" s="48"/>
      <c r="C230" s="49"/>
      <c r="D230" s="50"/>
      <c r="E230" s="51"/>
      <c r="F230" s="52"/>
      <c r="G230" s="53"/>
      <c r="H230" s="54" t="str">
        <f t="shared" si="1"/>
        <v/>
      </c>
    </row>
    <row r="231">
      <c r="A231" s="48"/>
      <c r="C231" s="49"/>
      <c r="D231" s="50"/>
      <c r="E231" s="51"/>
      <c r="F231" s="52"/>
      <c r="G231" s="53"/>
      <c r="H231" s="54" t="str">
        <f t="shared" si="1"/>
        <v/>
      </c>
    </row>
    <row r="232">
      <c r="A232" s="48"/>
      <c r="C232" s="49"/>
      <c r="D232" s="50"/>
      <c r="E232" s="51"/>
      <c r="F232" s="52"/>
      <c r="G232" s="53"/>
      <c r="H232" s="54" t="str">
        <f t="shared" si="1"/>
        <v/>
      </c>
    </row>
    <row r="233">
      <c r="A233" s="48"/>
      <c r="C233" s="49"/>
      <c r="D233" s="50"/>
      <c r="E233" s="51"/>
      <c r="F233" s="52"/>
      <c r="G233" s="53"/>
      <c r="H233" s="54" t="str">
        <f t="shared" si="1"/>
        <v/>
      </c>
    </row>
    <row r="234">
      <c r="A234" s="48"/>
      <c r="C234" s="49"/>
      <c r="D234" s="50"/>
      <c r="E234" s="51"/>
      <c r="F234" s="52"/>
      <c r="G234" s="53"/>
      <c r="H234" s="54" t="str">
        <f t="shared" si="1"/>
        <v/>
      </c>
    </row>
    <row r="235">
      <c r="A235" s="48"/>
      <c r="C235" s="49"/>
      <c r="D235" s="50"/>
      <c r="E235" s="51"/>
      <c r="F235" s="52"/>
      <c r="G235" s="53"/>
      <c r="H235" s="54" t="str">
        <f t="shared" si="1"/>
        <v/>
      </c>
    </row>
    <row r="236">
      <c r="A236" s="48"/>
      <c r="C236" s="49"/>
      <c r="D236" s="50"/>
      <c r="E236" s="51"/>
      <c r="F236" s="52"/>
      <c r="G236" s="53"/>
      <c r="H236" s="54" t="str">
        <f t="shared" si="1"/>
        <v/>
      </c>
    </row>
    <row r="237">
      <c r="A237" s="48"/>
      <c r="C237" s="49"/>
      <c r="D237" s="50"/>
      <c r="E237" s="51"/>
      <c r="F237" s="52"/>
      <c r="G237" s="53"/>
      <c r="H237" s="54" t="str">
        <f t="shared" si="1"/>
        <v/>
      </c>
    </row>
    <row r="238">
      <c r="A238" s="48"/>
      <c r="C238" s="49"/>
      <c r="D238" s="50"/>
      <c r="E238" s="51"/>
      <c r="F238" s="52"/>
      <c r="G238" s="53"/>
      <c r="H238" s="54" t="str">
        <f t="shared" si="1"/>
        <v/>
      </c>
    </row>
    <row r="239">
      <c r="A239" s="48"/>
      <c r="C239" s="49"/>
      <c r="D239" s="50"/>
      <c r="E239" s="51"/>
      <c r="F239" s="52"/>
      <c r="G239" s="53"/>
      <c r="H239" s="54" t="str">
        <f t="shared" si="1"/>
        <v/>
      </c>
    </row>
    <row r="240">
      <c r="A240" s="48"/>
      <c r="C240" s="49"/>
      <c r="D240" s="50"/>
      <c r="E240" s="51"/>
      <c r="F240" s="52"/>
      <c r="G240" s="53"/>
      <c r="H240" s="54" t="str">
        <f t="shared" si="1"/>
        <v/>
      </c>
    </row>
    <row r="241">
      <c r="A241" s="48"/>
      <c r="C241" s="49"/>
      <c r="D241" s="50"/>
      <c r="E241" s="51"/>
      <c r="F241" s="52"/>
      <c r="G241" s="53"/>
      <c r="H241" s="54" t="str">
        <f t="shared" si="1"/>
        <v/>
      </c>
    </row>
    <row r="242">
      <c r="A242" s="48"/>
      <c r="C242" s="49"/>
      <c r="D242" s="50"/>
      <c r="E242" s="51"/>
      <c r="F242" s="52"/>
      <c r="G242" s="53"/>
      <c r="H242" s="54" t="str">
        <f t="shared" si="1"/>
        <v/>
      </c>
    </row>
    <row r="243">
      <c r="A243" s="48"/>
      <c r="C243" s="49"/>
      <c r="D243" s="50"/>
      <c r="E243" s="51"/>
      <c r="F243" s="52"/>
      <c r="G243" s="53"/>
      <c r="H243" s="54" t="str">
        <f t="shared" si="1"/>
        <v/>
      </c>
    </row>
    <row r="244">
      <c r="A244" s="48"/>
      <c r="C244" s="49"/>
      <c r="D244" s="50"/>
      <c r="E244" s="51"/>
      <c r="F244" s="52"/>
      <c r="G244" s="53"/>
      <c r="H244" s="54" t="str">
        <f t="shared" si="1"/>
        <v/>
      </c>
    </row>
    <row r="245">
      <c r="A245" s="48"/>
      <c r="C245" s="49"/>
      <c r="D245" s="50"/>
      <c r="E245" s="51"/>
      <c r="F245" s="52"/>
      <c r="G245" s="53"/>
      <c r="H245" s="54" t="str">
        <f t="shared" si="1"/>
        <v/>
      </c>
    </row>
    <row r="246">
      <c r="A246" s="48"/>
      <c r="C246" s="49"/>
      <c r="D246" s="50"/>
      <c r="E246" s="51"/>
      <c r="F246" s="52"/>
      <c r="G246" s="53"/>
      <c r="H246" s="54" t="str">
        <f t="shared" si="1"/>
        <v/>
      </c>
    </row>
    <row r="247">
      <c r="A247" s="48"/>
      <c r="C247" s="49"/>
      <c r="D247" s="50"/>
      <c r="E247" s="51"/>
      <c r="F247" s="52"/>
      <c r="G247" s="53"/>
      <c r="H247" s="54" t="str">
        <f t="shared" si="1"/>
        <v/>
      </c>
    </row>
    <row r="248">
      <c r="A248" s="48"/>
      <c r="C248" s="49"/>
      <c r="D248" s="50"/>
      <c r="E248" s="51"/>
      <c r="F248" s="52"/>
      <c r="G248" s="53"/>
      <c r="H248" s="54" t="str">
        <f t="shared" si="1"/>
        <v/>
      </c>
    </row>
    <row r="249">
      <c r="A249" s="48"/>
      <c r="C249" s="49"/>
      <c r="D249" s="50"/>
      <c r="E249" s="51"/>
      <c r="F249" s="52"/>
      <c r="G249" s="53"/>
      <c r="H249" s="54" t="str">
        <f t="shared" si="1"/>
        <v/>
      </c>
    </row>
    <row r="250">
      <c r="A250" s="48"/>
      <c r="C250" s="49"/>
      <c r="D250" s="50"/>
      <c r="E250" s="51"/>
      <c r="F250" s="52"/>
      <c r="G250" s="53"/>
      <c r="H250" s="54" t="str">
        <f t="shared" si="1"/>
        <v/>
      </c>
    </row>
    <row r="251">
      <c r="A251" s="48"/>
      <c r="C251" s="49"/>
      <c r="D251" s="50"/>
      <c r="E251" s="51"/>
      <c r="F251" s="52"/>
      <c r="G251" s="53"/>
      <c r="H251" s="54" t="str">
        <f t="shared" si="1"/>
        <v/>
      </c>
    </row>
    <row r="252">
      <c r="A252" s="48"/>
      <c r="C252" s="49"/>
      <c r="D252" s="50"/>
      <c r="E252" s="51"/>
      <c r="F252" s="52"/>
      <c r="G252" s="53"/>
      <c r="H252" s="54" t="str">
        <f t="shared" si="1"/>
        <v/>
      </c>
    </row>
    <row r="253">
      <c r="A253" s="48"/>
      <c r="C253" s="49"/>
      <c r="D253" s="50"/>
      <c r="E253" s="51"/>
      <c r="F253" s="52"/>
      <c r="G253" s="53"/>
      <c r="H253" s="54" t="str">
        <f t="shared" si="1"/>
        <v/>
      </c>
    </row>
    <row r="254">
      <c r="A254" s="48"/>
      <c r="C254" s="49"/>
      <c r="D254" s="50"/>
      <c r="E254" s="51"/>
      <c r="F254" s="52"/>
      <c r="G254" s="53"/>
      <c r="H254" s="54" t="str">
        <f t="shared" si="1"/>
        <v/>
      </c>
    </row>
    <row r="255">
      <c r="A255" s="48"/>
      <c r="C255" s="49"/>
      <c r="D255" s="50"/>
      <c r="E255" s="51"/>
      <c r="F255" s="52"/>
      <c r="G255" s="53"/>
      <c r="H255" s="54" t="str">
        <f t="shared" si="1"/>
        <v/>
      </c>
    </row>
    <row r="256">
      <c r="A256" s="48"/>
      <c r="C256" s="49"/>
      <c r="D256" s="50"/>
      <c r="E256" s="51"/>
      <c r="F256" s="52"/>
      <c r="G256" s="53"/>
      <c r="H256" s="54" t="str">
        <f t="shared" si="1"/>
        <v/>
      </c>
    </row>
    <row r="257">
      <c r="A257" s="48"/>
      <c r="C257" s="49"/>
      <c r="D257" s="50"/>
      <c r="E257" s="51"/>
      <c r="F257" s="52"/>
      <c r="G257" s="53"/>
      <c r="H257" s="54" t="str">
        <f t="shared" si="1"/>
        <v/>
      </c>
    </row>
    <row r="258">
      <c r="A258" s="48"/>
      <c r="C258" s="49"/>
      <c r="D258" s="50"/>
      <c r="E258" s="51"/>
      <c r="F258" s="52"/>
      <c r="G258" s="53"/>
      <c r="H258" s="54" t="str">
        <f t="shared" si="1"/>
        <v/>
      </c>
    </row>
    <row r="259">
      <c r="A259" s="48"/>
      <c r="C259" s="49"/>
      <c r="D259" s="50"/>
      <c r="E259" s="51"/>
      <c r="F259" s="52"/>
      <c r="G259" s="53"/>
      <c r="H259" s="54" t="str">
        <f t="shared" si="1"/>
        <v/>
      </c>
    </row>
    <row r="260">
      <c r="A260" s="48"/>
      <c r="C260" s="49"/>
      <c r="D260" s="50"/>
      <c r="E260" s="51"/>
      <c r="F260" s="52"/>
      <c r="G260" s="53"/>
      <c r="H260" s="54" t="str">
        <f t="shared" si="1"/>
        <v/>
      </c>
    </row>
    <row r="261">
      <c r="A261" s="48"/>
      <c r="C261" s="49"/>
      <c r="D261" s="50"/>
      <c r="E261" s="51"/>
      <c r="F261" s="52"/>
      <c r="G261" s="53"/>
      <c r="H261" s="54" t="str">
        <f t="shared" si="1"/>
        <v/>
      </c>
    </row>
    <row r="262">
      <c r="A262" s="48"/>
      <c r="C262" s="49"/>
      <c r="D262" s="50"/>
      <c r="E262" s="51"/>
      <c r="F262" s="52"/>
      <c r="G262" s="53"/>
      <c r="H262" s="54" t="str">
        <f t="shared" si="1"/>
        <v/>
      </c>
    </row>
    <row r="263">
      <c r="A263" s="48"/>
      <c r="C263" s="49"/>
      <c r="D263" s="50"/>
      <c r="E263" s="51"/>
      <c r="F263" s="52"/>
      <c r="G263" s="53"/>
      <c r="H263" s="54" t="str">
        <f t="shared" si="1"/>
        <v/>
      </c>
    </row>
    <row r="264">
      <c r="A264" s="48"/>
      <c r="C264" s="49"/>
      <c r="D264" s="50"/>
      <c r="E264" s="51"/>
      <c r="F264" s="52"/>
      <c r="G264" s="53"/>
      <c r="H264" s="54" t="str">
        <f t="shared" si="1"/>
        <v/>
      </c>
    </row>
    <row r="265">
      <c r="A265" s="48"/>
      <c r="C265" s="49"/>
      <c r="D265" s="50"/>
      <c r="E265" s="51"/>
      <c r="F265" s="52"/>
      <c r="G265" s="53"/>
      <c r="H265" s="54" t="str">
        <f t="shared" si="1"/>
        <v/>
      </c>
    </row>
    <row r="266">
      <c r="A266" s="48"/>
      <c r="C266" s="49"/>
      <c r="D266" s="50"/>
      <c r="E266" s="51"/>
      <c r="F266" s="52"/>
      <c r="G266" s="53"/>
      <c r="H266" s="54" t="str">
        <f t="shared" si="1"/>
        <v/>
      </c>
    </row>
    <row r="267">
      <c r="A267" s="48"/>
      <c r="C267" s="49"/>
      <c r="D267" s="50"/>
      <c r="E267" s="51"/>
      <c r="F267" s="52"/>
      <c r="G267" s="53"/>
      <c r="H267" s="54" t="str">
        <f t="shared" si="1"/>
        <v/>
      </c>
    </row>
    <row r="268">
      <c r="A268" s="48"/>
      <c r="C268" s="49"/>
      <c r="D268" s="50"/>
      <c r="E268" s="51"/>
      <c r="F268" s="52"/>
      <c r="G268" s="53"/>
      <c r="H268" s="54" t="str">
        <f t="shared" si="1"/>
        <v/>
      </c>
    </row>
    <row r="269">
      <c r="A269" s="48"/>
      <c r="C269" s="49"/>
      <c r="D269" s="50"/>
      <c r="E269" s="51"/>
      <c r="F269" s="52"/>
      <c r="G269" s="53"/>
      <c r="H269" s="54" t="str">
        <f t="shared" si="1"/>
        <v/>
      </c>
    </row>
    <row r="270">
      <c r="A270" s="48"/>
      <c r="C270" s="49"/>
      <c r="D270" s="50"/>
      <c r="E270" s="51"/>
      <c r="F270" s="52"/>
      <c r="G270" s="53"/>
      <c r="H270" s="54" t="str">
        <f t="shared" si="1"/>
        <v/>
      </c>
    </row>
    <row r="271">
      <c r="A271" s="48"/>
      <c r="C271" s="49"/>
      <c r="D271" s="50"/>
      <c r="E271" s="51"/>
      <c r="F271" s="52"/>
      <c r="G271" s="53"/>
      <c r="H271" s="54" t="str">
        <f t="shared" si="1"/>
        <v/>
      </c>
    </row>
    <row r="272">
      <c r="A272" s="48"/>
      <c r="C272" s="49"/>
      <c r="D272" s="50"/>
      <c r="E272" s="51"/>
      <c r="F272" s="52"/>
      <c r="G272" s="53"/>
      <c r="H272" s="54" t="str">
        <f t="shared" si="1"/>
        <v/>
      </c>
    </row>
    <row r="273">
      <c r="A273" s="48"/>
      <c r="C273" s="49"/>
      <c r="D273" s="50"/>
      <c r="E273" s="51"/>
      <c r="F273" s="52"/>
      <c r="G273" s="53"/>
      <c r="H273" s="54" t="str">
        <f t="shared" si="1"/>
        <v/>
      </c>
    </row>
    <row r="274">
      <c r="A274" s="48"/>
      <c r="C274" s="49"/>
      <c r="D274" s="50"/>
      <c r="E274" s="51"/>
      <c r="F274" s="52"/>
      <c r="G274" s="53"/>
      <c r="H274" s="54" t="str">
        <f t="shared" si="1"/>
        <v/>
      </c>
    </row>
    <row r="275">
      <c r="A275" s="48"/>
      <c r="C275" s="49"/>
      <c r="D275" s="50"/>
      <c r="E275" s="51"/>
      <c r="F275" s="52"/>
      <c r="G275" s="53"/>
      <c r="H275" s="54" t="str">
        <f t="shared" si="1"/>
        <v/>
      </c>
    </row>
    <row r="276">
      <c r="A276" s="48"/>
      <c r="C276" s="49"/>
      <c r="D276" s="50"/>
      <c r="E276" s="51"/>
      <c r="F276" s="52"/>
      <c r="G276" s="53"/>
      <c r="H276" s="54" t="str">
        <f t="shared" si="1"/>
        <v/>
      </c>
    </row>
    <row r="277">
      <c r="A277" s="48"/>
      <c r="C277" s="49"/>
      <c r="D277" s="50"/>
      <c r="E277" s="51"/>
      <c r="F277" s="52"/>
      <c r="G277" s="53"/>
      <c r="H277" s="54" t="str">
        <f t="shared" si="1"/>
        <v/>
      </c>
    </row>
    <row r="278">
      <c r="A278" s="48"/>
      <c r="C278" s="49"/>
      <c r="D278" s="50"/>
      <c r="E278" s="51"/>
      <c r="F278" s="52"/>
      <c r="G278" s="53"/>
      <c r="H278" s="54" t="str">
        <f t="shared" si="1"/>
        <v/>
      </c>
    </row>
    <row r="279">
      <c r="A279" s="48"/>
      <c r="C279" s="49"/>
      <c r="D279" s="50"/>
      <c r="E279" s="51"/>
      <c r="F279" s="52"/>
      <c r="G279" s="53"/>
      <c r="H279" s="54" t="str">
        <f t="shared" si="1"/>
        <v/>
      </c>
    </row>
    <row r="280">
      <c r="A280" s="48"/>
      <c r="C280" s="49"/>
      <c r="D280" s="50"/>
      <c r="E280" s="51"/>
      <c r="F280" s="52"/>
      <c r="G280" s="53"/>
      <c r="H280" s="54" t="str">
        <f t="shared" si="1"/>
        <v/>
      </c>
    </row>
    <row r="281">
      <c r="A281" s="48"/>
      <c r="C281" s="49"/>
      <c r="D281" s="50"/>
      <c r="E281" s="51"/>
      <c r="F281" s="52"/>
      <c r="G281" s="53"/>
      <c r="H281" s="54" t="str">
        <f t="shared" si="1"/>
        <v/>
      </c>
    </row>
    <row r="282">
      <c r="A282" s="48"/>
      <c r="C282" s="49"/>
      <c r="D282" s="50"/>
      <c r="E282" s="51"/>
      <c r="F282" s="52"/>
      <c r="G282" s="53"/>
      <c r="H282" s="54" t="str">
        <f t="shared" si="1"/>
        <v/>
      </c>
    </row>
    <row r="283">
      <c r="A283" s="48"/>
      <c r="C283" s="49"/>
      <c r="D283" s="50"/>
      <c r="E283" s="51"/>
      <c r="F283" s="52"/>
      <c r="G283" s="53"/>
      <c r="H283" s="54" t="str">
        <f t="shared" si="1"/>
        <v/>
      </c>
    </row>
    <row r="284">
      <c r="A284" s="48"/>
      <c r="C284" s="49"/>
      <c r="D284" s="50"/>
      <c r="E284" s="51"/>
      <c r="F284" s="52"/>
      <c r="G284" s="53"/>
      <c r="H284" s="54" t="str">
        <f t="shared" si="1"/>
        <v/>
      </c>
    </row>
    <row r="285">
      <c r="A285" s="48"/>
      <c r="C285" s="49"/>
      <c r="D285" s="50"/>
      <c r="E285" s="51"/>
      <c r="F285" s="52"/>
      <c r="G285" s="53"/>
      <c r="H285" s="54" t="str">
        <f t="shared" si="1"/>
        <v/>
      </c>
    </row>
    <row r="286">
      <c r="A286" s="48"/>
      <c r="C286" s="49"/>
      <c r="D286" s="50"/>
      <c r="E286" s="51"/>
      <c r="F286" s="52"/>
      <c r="G286" s="53"/>
      <c r="H286" s="54" t="str">
        <f t="shared" si="1"/>
        <v/>
      </c>
    </row>
    <row r="287">
      <c r="A287" s="48"/>
      <c r="C287" s="49"/>
      <c r="D287" s="50"/>
      <c r="E287" s="51"/>
      <c r="F287" s="52"/>
      <c r="G287" s="53"/>
      <c r="H287" s="54" t="str">
        <f t="shared" si="1"/>
        <v/>
      </c>
    </row>
    <row r="288">
      <c r="A288" s="48"/>
      <c r="C288" s="49"/>
      <c r="D288" s="50"/>
      <c r="E288" s="51"/>
      <c r="F288" s="52"/>
      <c r="G288" s="53"/>
      <c r="H288" s="54" t="str">
        <f t="shared" si="1"/>
        <v/>
      </c>
    </row>
    <row r="289">
      <c r="A289" s="48"/>
      <c r="C289" s="49"/>
      <c r="D289" s="50"/>
      <c r="E289" s="51"/>
      <c r="F289" s="52"/>
      <c r="G289" s="53"/>
      <c r="H289" s="54" t="str">
        <f t="shared" si="1"/>
        <v/>
      </c>
    </row>
    <row r="290">
      <c r="A290" s="48"/>
      <c r="C290" s="49"/>
      <c r="D290" s="50"/>
      <c r="E290" s="51"/>
      <c r="F290" s="52"/>
      <c r="G290" s="53"/>
      <c r="H290" s="54" t="str">
        <f t="shared" si="1"/>
        <v/>
      </c>
    </row>
    <row r="291">
      <c r="A291" s="48"/>
      <c r="C291" s="49"/>
      <c r="D291" s="50"/>
      <c r="E291" s="51"/>
      <c r="F291" s="52"/>
      <c r="G291" s="53"/>
      <c r="H291" s="54" t="str">
        <f t="shared" si="1"/>
        <v/>
      </c>
    </row>
    <row r="292">
      <c r="A292" s="48"/>
      <c r="C292" s="49"/>
      <c r="D292" s="50"/>
      <c r="E292" s="51"/>
      <c r="F292" s="52"/>
      <c r="G292" s="53"/>
      <c r="H292" s="54" t="str">
        <f t="shared" si="1"/>
        <v/>
      </c>
    </row>
    <row r="293">
      <c r="A293" s="48"/>
      <c r="C293" s="49"/>
      <c r="D293" s="50"/>
      <c r="E293" s="51"/>
      <c r="F293" s="52"/>
      <c r="G293" s="53"/>
      <c r="H293" s="54" t="str">
        <f t="shared" si="1"/>
        <v/>
      </c>
    </row>
    <row r="294">
      <c r="A294" s="48"/>
      <c r="C294" s="49"/>
      <c r="D294" s="50"/>
      <c r="E294" s="51"/>
      <c r="F294" s="52"/>
      <c r="G294" s="53"/>
      <c r="H294" s="54" t="str">
        <f t="shared" si="1"/>
        <v/>
      </c>
    </row>
    <row r="295">
      <c r="A295" s="48"/>
      <c r="C295" s="49"/>
      <c r="D295" s="50"/>
      <c r="E295" s="51"/>
      <c r="F295" s="52"/>
      <c r="G295" s="53"/>
      <c r="H295" s="54" t="str">
        <f t="shared" si="1"/>
        <v/>
      </c>
    </row>
    <row r="296">
      <c r="A296" s="48"/>
      <c r="C296" s="49"/>
      <c r="D296" s="50"/>
      <c r="E296" s="51"/>
      <c r="F296" s="52"/>
      <c r="G296" s="53"/>
      <c r="H296" s="54" t="str">
        <f t="shared" si="1"/>
        <v/>
      </c>
    </row>
    <row r="297">
      <c r="A297" s="48"/>
      <c r="C297" s="49"/>
      <c r="D297" s="50"/>
      <c r="E297" s="51"/>
      <c r="F297" s="52"/>
      <c r="G297" s="53"/>
      <c r="H297" s="54" t="str">
        <f t="shared" si="1"/>
        <v/>
      </c>
    </row>
    <row r="298">
      <c r="A298" s="48"/>
      <c r="C298" s="49"/>
      <c r="D298" s="50"/>
      <c r="E298" s="51"/>
      <c r="F298" s="52"/>
      <c r="G298" s="53"/>
      <c r="H298" s="54" t="str">
        <f t="shared" si="1"/>
        <v/>
      </c>
    </row>
    <row r="299">
      <c r="A299" s="48"/>
      <c r="C299" s="49"/>
      <c r="D299" s="50"/>
      <c r="E299" s="51"/>
      <c r="F299" s="52"/>
      <c r="G299" s="53"/>
      <c r="H299" s="54" t="str">
        <f t="shared" si="1"/>
        <v/>
      </c>
    </row>
    <row r="300">
      <c r="A300" s="48"/>
      <c r="C300" s="49"/>
      <c r="D300" s="50"/>
      <c r="E300" s="51"/>
      <c r="F300" s="52"/>
      <c r="G300" s="53"/>
      <c r="H300" s="54" t="str">
        <f t="shared" si="1"/>
        <v/>
      </c>
    </row>
    <row r="301">
      <c r="A301" s="48"/>
      <c r="C301" s="49"/>
      <c r="D301" s="50"/>
      <c r="E301" s="51"/>
      <c r="F301" s="52"/>
      <c r="G301" s="53"/>
      <c r="H301" s="54" t="str">
        <f t="shared" si="1"/>
        <v/>
      </c>
    </row>
    <row r="302">
      <c r="A302" s="48"/>
      <c r="C302" s="49"/>
      <c r="D302" s="50"/>
      <c r="E302" s="51"/>
      <c r="F302" s="52"/>
      <c r="G302" s="53"/>
      <c r="H302" s="54" t="str">
        <f t="shared" si="1"/>
        <v/>
      </c>
    </row>
    <row r="303">
      <c r="A303" s="48"/>
      <c r="C303" s="49"/>
      <c r="D303" s="50"/>
      <c r="E303" s="51"/>
      <c r="F303" s="52"/>
      <c r="G303" s="53"/>
      <c r="H303" s="54" t="str">
        <f t="shared" si="1"/>
        <v/>
      </c>
    </row>
    <row r="304">
      <c r="A304" s="48"/>
      <c r="C304" s="49"/>
      <c r="D304" s="50"/>
      <c r="E304" s="51"/>
      <c r="F304" s="52"/>
      <c r="G304" s="53"/>
      <c r="H304" s="54" t="str">
        <f t="shared" si="1"/>
        <v/>
      </c>
    </row>
    <row r="305">
      <c r="A305" s="48"/>
      <c r="C305" s="49"/>
      <c r="D305" s="50"/>
      <c r="E305" s="51"/>
      <c r="F305" s="52"/>
      <c r="G305" s="53"/>
      <c r="H305" s="54" t="str">
        <f t="shared" si="1"/>
        <v/>
      </c>
    </row>
    <row r="306">
      <c r="A306" s="48"/>
      <c r="C306" s="49"/>
      <c r="D306" s="50"/>
      <c r="E306" s="51"/>
      <c r="F306" s="52"/>
      <c r="G306" s="53"/>
      <c r="H306" s="54" t="str">
        <f t="shared" si="1"/>
        <v/>
      </c>
    </row>
    <row r="307">
      <c r="A307" s="48"/>
      <c r="C307" s="49"/>
      <c r="D307" s="50"/>
      <c r="E307" s="51"/>
      <c r="F307" s="52"/>
      <c r="G307" s="53"/>
      <c r="H307" s="54" t="str">
        <f t="shared" si="1"/>
        <v/>
      </c>
    </row>
    <row r="308">
      <c r="A308" s="48"/>
      <c r="C308" s="49"/>
      <c r="D308" s="50"/>
      <c r="E308" s="51"/>
      <c r="F308" s="52"/>
      <c r="G308" s="53"/>
      <c r="H308" s="54" t="str">
        <f t="shared" si="1"/>
        <v/>
      </c>
    </row>
    <row r="309">
      <c r="A309" s="48"/>
      <c r="C309" s="49"/>
      <c r="D309" s="50"/>
      <c r="E309" s="51"/>
      <c r="F309" s="52"/>
      <c r="G309" s="53"/>
      <c r="H309" s="54" t="str">
        <f t="shared" si="1"/>
        <v/>
      </c>
    </row>
    <row r="310">
      <c r="A310" s="48"/>
      <c r="C310" s="49"/>
      <c r="D310" s="50"/>
      <c r="E310" s="51"/>
      <c r="F310" s="52"/>
      <c r="G310" s="53"/>
      <c r="H310" s="54" t="str">
        <f t="shared" si="1"/>
        <v/>
      </c>
    </row>
    <row r="311">
      <c r="A311" s="48"/>
      <c r="C311" s="49"/>
      <c r="D311" s="50"/>
      <c r="E311" s="51"/>
      <c r="F311" s="52"/>
      <c r="G311" s="53"/>
      <c r="H311" s="54" t="str">
        <f t="shared" si="1"/>
        <v/>
      </c>
    </row>
    <row r="312">
      <c r="A312" s="48"/>
      <c r="C312" s="49"/>
      <c r="D312" s="50"/>
      <c r="E312" s="51"/>
      <c r="F312" s="52"/>
      <c r="G312" s="53"/>
      <c r="H312" s="54" t="str">
        <f t="shared" si="1"/>
        <v/>
      </c>
    </row>
    <row r="313">
      <c r="A313" s="48"/>
      <c r="C313" s="49"/>
      <c r="D313" s="50"/>
      <c r="E313" s="51"/>
      <c r="F313" s="52"/>
      <c r="G313" s="53"/>
      <c r="H313" s="54" t="str">
        <f t="shared" si="1"/>
        <v/>
      </c>
    </row>
    <row r="314">
      <c r="A314" s="48"/>
      <c r="C314" s="49"/>
      <c r="D314" s="50"/>
      <c r="E314" s="51"/>
      <c r="F314" s="52"/>
      <c r="G314" s="53"/>
      <c r="H314" s="54" t="str">
        <f t="shared" si="1"/>
        <v/>
      </c>
    </row>
    <row r="315">
      <c r="A315" s="48"/>
      <c r="C315" s="49"/>
      <c r="D315" s="50"/>
      <c r="E315" s="51"/>
      <c r="F315" s="52"/>
      <c r="G315" s="53"/>
      <c r="H315" s="54" t="str">
        <f t="shared" si="1"/>
        <v/>
      </c>
    </row>
    <row r="316">
      <c r="A316" s="48"/>
      <c r="C316" s="49"/>
      <c r="D316" s="50"/>
      <c r="E316" s="51"/>
      <c r="F316" s="52"/>
      <c r="G316" s="53"/>
      <c r="H316" s="54" t="str">
        <f t="shared" si="1"/>
        <v/>
      </c>
    </row>
    <row r="317">
      <c r="A317" s="48"/>
      <c r="C317" s="49"/>
      <c r="D317" s="50"/>
      <c r="E317" s="51"/>
      <c r="F317" s="52"/>
      <c r="G317" s="53"/>
      <c r="H317" s="54" t="str">
        <f t="shared" si="1"/>
        <v/>
      </c>
    </row>
    <row r="318">
      <c r="A318" s="48"/>
      <c r="C318" s="49"/>
      <c r="D318" s="50"/>
      <c r="E318" s="51"/>
      <c r="F318" s="52"/>
      <c r="G318" s="53"/>
      <c r="H318" s="54" t="str">
        <f t="shared" si="1"/>
        <v/>
      </c>
    </row>
    <row r="319">
      <c r="A319" s="48"/>
      <c r="C319" s="49"/>
      <c r="D319" s="50"/>
      <c r="E319" s="51"/>
      <c r="F319" s="52"/>
      <c r="G319" s="53"/>
      <c r="H319" s="54" t="str">
        <f t="shared" si="1"/>
        <v/>
      </c>
    </row>
    <row r="320">
      <c r="A320" s="48"/>
      <c r="C320" s="49"/>
      <c r="D320" s="50"/>
      <c r="E320" s="51"/>
      <c r="F320" s="52"/>
      <c r="G320" s="53"/>
      <c r="H320" s="54" t="str">
        <f t="shared" si="1"/>
        <v/>
      </c>
    </row>
    <row r="321">
      <c r="A321" s="48"/>
      <c r="C321" s="49"/>
      <c r="D321" s="50"/>
      <c r="E321" s="51"/>
      <c r="F321" s="52"/>
      <c r="G321" s="53"/>
      <c r="H321" s="54" t="str">
        <f t="shared" si="1"/>
        <v/>
      </c>
    </row>
    <row r="322">
      <c r="A322" s="48"/>
      <c r="C322" s="49"/>
      <c r="D322" s="50"/>
      <c r="E322" s="51"/>
      <c r="F322" s="52"/>
      <c r="G322" s="53"/>
      <c r="H322" s="54" t="str">
        <f t="shared" si="1"/>
        <v/>
      </c>
    </row>
    <row r="323">
      <c r="A323" s="48"/>
      <c r="C323" s="49"/>
      <c r="D323" s="50"/>
      <c r="E323" s="51"/>
      <c r="F323" s="52"/>
      <c r="G323" s="53"/>
      <c r="H323" s="54" t="str">
        <f t="shared" si="1"/>
        <v/>
      </c>
    </row>
    <row r="324">
      <c r="A324" s="48"/>
      <c r="C324" s="49"/>
      <c r="D324" s="50"/>
      <c r="E324" s="51"/>
      <c r="F324" s="52"/>
      <c r="G324" s="53"/>
      <c r="H324" s="54" t="str">
        <f t="shared" si="1"/>
        <v/>
      </c>
    </row>
    <row r="325">
      <c r="A325" s="48"/>
      <c r="C325" s="49"/>
      <c r="D325" s="50"/>
      <c r="E325" s="51"/>
      <c r="F325" s="52"/>
      <c r="G325" s="53"/>
      <c r="H325" s="54" t="str">
        <f t="shared" si="1"/>
        <v/>
      </c>
    </row>
    <row r="326">
      <c r="A326" s="48"/>
      <c r="C326" s="49"/>
      <c r="D326" s="50"/>
      <c r="E326" s="51"/>
      <c r="F326" s="52"/>
      <c r="G326" s="53"/>
      <c r="H326" s="54" t="str">
        <f t="shared" si="1"/>
        <v/>
      </c>
    </row>
    <row r="327">
      <c r="A327" s="48"/>
      <c r="C327" s="49"/>
      <c r="D327" s="50"/>
      <c r="E327" s="51"/>
      <c r="F327" s="52"/>
      <c r="G327" s="53"/>
      <c r="H327" s="54" t="str">
        <f t="shared" si="1"/>
        <v/>
      </c>
    </row>
    <row r="328">
      <c r="A328" s="48"/>
      <c r="C328" s="49"/>
      <c r="D328" s="50"/>
      <c r="E328" s="51"/>
      <c r="F328" s="52"/>
      <c r="G328" s="53"/>
      <c r="H328" s="54" t="str">
        <f t="shared" si="1"/>
        <v/>
      </c>
    </row>
    <row r="329">
      <c r="A329" s="48"/>
      <c r="C329" s="49"/>
      <c r="D329" s="50"/>
      <c r="E329" s="51"/>
      <c r="F329" s="52"/>
      <c r="G329" s="53"/>
      <c r="H329" s="54" t="str">
        <f t="shared" si="1"/>
        <v/>
      </c>
    </row>
    <row r="330">
      <c r="A330" s="48"/>
      <c r="C330" s="49"/>
      <c r="D330" s="50"/>
      <c r="E330" s="51"/>
      <c r="F330" s="52"/>
      <c r="G330" s="53"/>
      <c r="H330" s="54" t="str">
        <f t="shared" si="1"/>
        <v/>
      </c>
    </row>
    <row r="331">
      <c r="A331" s="48"/>
      <c r="C331" s="49"/>
      <c r="D331" s="50"/>
      <c r="E331" s="51"/>
      <c r="F331" s="52"/>
      <c r="G331" s="53"/>
      <c r="H331" s="54" t="str">
        <f t="shared" si="1"/>
        <v/>
      </c>
    </row>
    <row r="332">
      <c r="A332" s="48"/>
      <c r="C332" s="49"/>
      <c r="D332" s="50"/>
      <c r="E332" s="51"/>
      <c r="F332" s="52"/>
      <c r="G332" s="53"/>
      <c r="H332" s="54" t="str">
        <f t="shared" si="1"/>
        <v/>
      </c>
    </row>
    <row r="333">
      <c r="A333" s="48"/>
      <c r="C333" s="49"/>
      <c r="D333" s="50"/>
      <c r="E333" s="51"/>
      <c r="F333" s="52"/>
      <c r="G333" s="53"/>
      <c r="H333" s="54" t="str">
        <f t="shared" si="1"/>
        <v/>
      </c>
    </row>
    <row r="334">
      <c r="A334" s="48"/>
      <c r="C334" s="49"/>
      <c r="D334" s="50"/>
      <c r="E334" s="51"/>
      <c r="F334" s="52"/>
      <c r="G334" s="53"/>
      <c r="H334" s="54" t="str">
        <f t="shared" si="1"/>
        <v/>
      </c>
    </row>
    <row r="335">
      <c r="A335" s="48"/>
      <c r="C335" s="49"/>
      <c r="D335" s="50"/>
      <c r="E335" s="51"/>
      <c r="F335" s="52"/>
      <c r="G335" s="53"/>
      <c r="H335" s="54" t="str">
        <f t="shared" si="1"/>
        <v/>
      </c>
    </row>
    <row r="336">
      <c r="A336" s="48"/>
      <c r="C336" s="49"/>
      <c r="D336" s="50"/>
      <c r="E336" s="51"/>
      <c r="F336" s="52"/>
      <c r="G336" s="53"/>
      <c r="H336" s="54" t="str">
        <f t="shared" si="1"/>
        <v/>
      </c>
    </row>
    <row r="337">
      <c r="A337" s="48"/>
      <c r="C337" s="49"/>
      <c r="D337" s="50"/>
      <c r="E337" s="51"/>
      <c r="F337" s="52"/>
      <c r="G337" s="53"/>
      <c r="H337" s="54" t="str">
        <f t="shared" si="1"/>
        <v/>
      </c>
    </row>
    <row r="338">
      <c r="A338" s="48"/>
      <c r="C338" s="49"/>
      <c r="D338" s="50"/>
      <c r="E338" s="51"/>
      <c r="F338" s="52"/>
      <c r="G338" s="53"/>
      <c r="H338" s="54" t="str">
        <f t="shared" si="1"/>
        <v/>
      </c>
    </row>
    <row r="339">
      <c r="A339" s="48"/>
      <c r="C339" s="49"/>
      <c r="D339" s="50"/>
      <c r="E339" s="51"/>
      <c r="F339" s="52"/>
      <c r="G339" s="53"/>
      <c r="H339" s="54" t="str">
        <f t="shared" si="1"/>
        <v/>
      </c>
    </row>
    <row r="340">
      <c r="A340" s="48"/>
      <c r="C340" s="49"/>
      <c r="D340" s="50"/>
      <c r="E340" s="51"/>
      <c r="F340" s="52"/>
      <c r="G340" s="53"/>
      <c r="H340" s="54" t="str">
        <f t="shared" si="1"/>
        <v/>
      </c>
    </row>
    <row r="341">
      <c r="A341" s="48"/>
      <c r="C341" s="49"/>
      <c r="D341" s="50"/>
      <c r="E341" s="51"/>
      <c r="F341" s="52"/>
      <c r="G341" s="53"/>
      <c r="H341" s="54" t="str">
        <f t="shared" si="1"/>
        <v/>
      </c>
    </row>
    <row r="342">
      <c r="A342" s="48"/>
      <c r="C342" s="49"/>
      <c r="D342" s="50"/>
      <c r="E342" s="51"/>
      <c r="F342" s="52"/>
      <c r="G342" s="53"/>
      <c r="H342" s="54" t="str">
        <f t="shared" si="1"/>
        <v/>
      </c>
    </row>
    <row r="343">
      <c r="A343" s="48"/>
      <c r="C343" s="49"/>
      <c r="D343" s="50"/>
      <c r="E343" s="51"/>
      <c r="F343" s="52"/>
      <c r="G343" s="53"/>
      <c r="H343" s="54" t="str">
        <f t="shared" si="1"/>
        <v/>
      </c>
    </row>
    <row r="344">
      <c r="A344" s="48"/>
      <c r="C344" s="49"/>
      <c r="D344" s="50"/>
      <c r="E344" s="51"/>
      <c r="F344" s="52"/>
      <c r="G344" s="53"/>
      <c r="H344" s="54" t="str">
        <f t="shared" si="1"/>
        <v/>
      </c>
    </row>
    <row r="345">
      <c r="A345" s="48"/>
      <c r="C345" s="49"/>
      <c r="D345" s="50"/>
      <c r="E345" s="51"/>
      <c r="F345" s="52"/>
      <c r="G345" s="53"/>
      <c r="H345" s="54" t="str">
        <f t="shared" si="1"/>
        <v/>
      </c>
    </row>
    <row r="346">
      <c r="A346" s="48"/>
      <c r="C346" s="49"/>
      <c r="D346" s="50"/>
      <c r="E346" s="51"/>
      <c r="F346" s="52"/>
      <c r="G346" s="53"/>
      <c r="H346" s="54" t="str">
        <f t="shared" si="1"/>
        <v/>
      </c>
    </row>
    <row r="347">
      <c r="A347" s="48"/>
      <c r="C347" s="49"/>
      <c r="D347" s="50"/>
      <c r="E347" s="51"/>
      <c r="F347" s="52"/>
      <c r="G347" s="53"/>
      <c r="H347" s="54" t="str">
        <f t="shared" si="1"/>
        <v/>
      </c>
    </row>
    <row r="348">
      <c r="A348" s="48"/>
      <c r="C348" s="49"/>
      <c r="D348" s="50"/>
      <c r="E348" s="51"/>
      <c r="F348" s="52"/>
      <c r="G348" s="53"/>
      <c r="H348" s="54" t="str">
        <f t="shared" si="1"/>
        <v/>
      </c>
    </row>
    <row r="349">
      <c r="A349" s="48"/>
      <c r="C349" s="49"/>
      <c r="D349" s="50"/>
      <c r="E349" s="51"/>
      <c r="F349" s="52"/>
      <c r="G349" s="53"/>
      <c r="H349" s="54" t="str">
        <f t="shared" si="1"/>
        <v/>
      </c>
    </row>
    <row r="350">
      <c r="A350" s="48"/>
      <c r="C350" s="49"/>
      <c r="D350" s="50"/>
      <c r="E350" s="51"/>
      <c r="F350" s="52"/>
      <c r="G350" s="53"/>
      <c r="H350" s="54" t="str">
        <f t="shared" si="1"/>
        <v/>
      </c>
    </row>
    <row r="351">
      <c r="A351" s="48"/>
      <c r="C351" s="49"/>
      <c r="D351" s="50"/>
      <c r="E351" s="51"/>
      <c r="F351" s="52"/>
      <c r="G351" s="53"/>
      <c r="H351" s="54" t="str">
        <f t="shared" si="1"/>
        <v/>
      </c>
    </row>
    <row r="352">
      <c r="A352" s="48"/>
      <c r="C352" s="49"/>
      <c r="D352" s="50"/>
      <c r="E352" s="51"/>
      <c r="F352" s="52"/>
      <c r="G352" s="53"/>
      <c r="H352" s="54" t="str">
        <f t="shared" si="1"/>
        <v/>
      </c>
    </row>
    <row r="353">
      <c r="A353" s="48"/>
      <c r="C353" s="49"/>
      <c r="D353" s="50"/>
      <c r="E353" s="51"/>
      <c r="F353" s="52"/>
      <c r="G353" s="53"/>
      <c r="H353" s="54" t="str">
        <f t="shared" si="1"/>
        <v/>
      </c>
    </row>
    <row r="354">
      <c r="A354" s="48"/>
      <c r="C354" s="49"/>
      <c r="D354" s="50"/>
      <c r="E354" s="51"/>
      <c r="F354" s="52"/>
      <c r="G354" s="53"/>
      <c r="H354" s="54" t="str">
        <f t="shared" si="1"/>
        <v/>
      </c>
    </row>
    <row r="355">
      <c r="A355" s="48"/>
      <c r="C355" s="49"/>
      <c r="D355" s="50"/>
      <c r="E355" s="51"/>
      <c r="F355" s="52"/>
      <c r="G355" s="53"/>
      <c r="H355" s="54" t="str">
        <f t="shared" si="1"/>
        <v/>
      </c>
    </row>
    <row r="356">
      <c r="A356" s="48"/>
      <c r="C356" s="49"/>
      <c r="D356" s="50"/>
      <c r="E356" s="51"/>
      <c r="F356" s="52"/>
      <c r="G356" s="53"/>
      <c r="H356" s="54" t="str">
        <f t="shared" si="1"/>
        <v/>
      </c>
    </row>
    <row r="357">
      <c r="A357" s="48"/>
      <c r="C357" s="49"/>
      <c r="D357" s="50"/>
      <c r="E357" s="51"/>
      <c r="F357" s="52"/>
      <c r="G357" s="53"/>
      <c r="H357" s="54" t="str">
        <f t="shared" si="1"/>
        <v/>
      </c>
    </row>
    <row r="358">
      <c r="A358" s="48"/>
      <c r="C358" s="49"/>
      <c r="D358" s="50"/>
      <c r="E358" s="51"/>
      <c r="F358" s="52"/>
      <c r="G358" s="53"/>
      <c r="H358" s="54" t="str">
        <f t="shared" si="1"/>
        <v/>
      </c>
    </row>
    <row r="359">
      <c r="A359" s="48"/>
      <c r="C359" s="49"/>
      <c r="D359" s="50"/>
      <c r="E359" s="51"/>
      <c r="F359" s="52"/>
      <c r="G359" s="53"/>
      <c r="H359" s="54" t="str">
        <f t="shared" si="1"/>
        <v/>
      </c>
    </row>
    <row r="360">
      <c r="A360" s="48"/>
      <c r="C360" s="49"/>
      <c r="D360" s="50"/>
      <c r="E360" s="51"/>
      <c r="F360" s="52"/>
      <c r="G360" s="53"/>
      <c r="H360" s="54" t="str">
        <f t="shared" si="1"/>
        <v/>
      </c>
    </row>
    <row r="361">
      <c r="A361" s="48"/>
      <c r="C361" s="49"/>
      <c r="D361" s="50"/>
      <c r="E361" s="51"/>
      <c r="F361" s="52"/>
      <c r="G361" s="53"/>
      <c r="H361" s="54" t="str">
        <f t="shared" si="1"/>
        <v/>
      </c>
    </row>
    <row r="362">
      <c r="A362" s="48"/>
      <c r="C362" s="49"/>
      <c r="D362" s="50"/>
      <c r="E362" s="51"/>
      <c r="F362" s="52"/>
      <c r="G362" s="53"/>
      <c r="H362" s="54" t="str">
        <f t="shared" si="1"/>
        <v/>
      </c>
    </row>
    <row r="363">
      <c r="A363" s="48"/>
      <c r="C363" s="49"/>
      <c r="D363" s="50"/>
      <c r="E363" s="51"/>
      <c r="F363" s="52"/>
      <c r="G363" s="53"/>
      <c r="H363" s="54" t="str">
        <f t="shared" si="1"/>
        <v/>
      </c>
    </row>
    <row r="364">
      <c r="A364" s="48"/>
      <c r="C364" s="49"/>
      <c r="D364" s="50"/>
      <c r="E364" s="51"/>
      <c r="F364" s="52"/>
      <c r="G364" s="53"/>
      <c r="H364" s="54" t="str">
        <f t="shared" si="1"/>
        <v/>
      </c>
    </row>
    <row r="365">
      <c r="A365" s="48"/>
      <c r="C365" s="49"/>
      <c r="D365" s="50"/>
      <c r="E365" s="51"/>
      <c r="F365" s="52"/>
      <c r="G365" s="53"/>
      <c r="H365" s="54" t="str">
        <f t="shared" si="1"/>
        <v/>
      </c>
    </row>
    <row r="366">
      <c r="A366" s="48"/>
      <c r="C366" s="49"/>
      <c r="D366" s="50"/>
      <c r="E366" s="51"/>
      <c r="F366" s="52"/>
      <c r="G366" s="53"/>
      <c r="H366" s="54" t="str">
        <f t="shared" si="1"/>
        <v/>
      </c>
    </row>
    <row r="367">
      <c r="A367" s="48"/>
      <c r="C367" s="49"/>
      <c r="D367" s="50"/>
      <c r="E367" s="51"/>
      <c r="F367" s="52"/>
      <c r="G367" s="53"/>
      <c r="H367" s="54" t="str">
        <f t="shared" si="1"/>
        <v/>
      </c>
    </row>
    <row r="368">
      <c r="A368" s="48"/>
      <c r="C368" s="49"/>
      <c r="D368" s="50"/>
      <c r="E368" s="51"/>
      <c r="F368" s="52"/>
      <c r="G368" s="53"/>
      <c r="H368" s="54" t="str">
        <f t="shared" si="1"/>
        <v/>
      </c>
    </row>
    <row r="369">
      <c r="A369" s="48"/>
      <c r="C369" s="49"/>
      <c r="D369" s="50"/>
      <c r="E369" s="51"/>
      <c r="F369" s="52"/>
      <c r="G369" s="53"/>
      <c r="H369" s="54" t="str">
        <f t="shared" si="1"/>
        <v/>
      </c>
    </row>
    <row r="370">
      <c r="A370" s="48"/>
      <c r="C370" s="49"/>
      <c r="D370" s="50"/>
      <c r="E370" s="51"/>
      <c r="F370" s="52"/>
      <c r="G370" s="53"/>
      <c r="H370" s="54" t="str">
        <f t="shared" si="1"/>
        <v/>
      </c>
    </row>
    <row r="371">
      <c r="A371" s="48"/>
      <c r="C371" s="49"/>
      <c r="D371" s="50"/>
      <c r="E371" s="51"/>
      <c r="F371" s="52"/>
      <c r="G371" s="53"/>
      <c r="H371" s="54" t="str">
        <f t="shared" si="1"/>
        <v/>
      </c>
    </row>
    <row r="372">
      <c r="A372" s="48"/>
      <c r="C372" s="49"/>
      <c r="D372" s="50"/>
      <c r="E372" s="51"/>
      <c r="F372" s="52"/>
      <c r="G372" s="53"/>
      <c r="H372" s="54" t="str">
        <f t="shared" si="1"/>
        <v/>
      </c>
    </row>
    <row r="373">
      <c r="A373" s="48"/>
      <c r="C373" s="49"/>
      <c r="D373" s="50"/>
      <c r="E373" s="51"/>
      <c r="F373" s="52"/>
      <c r="G373" s="53"/>
      <c r="H373" s="54" t="str">
        <f t="shared" si="1"/>
        <v/>
      </c>
    </row>
    <row r="374">
      <c r="A374" s="48"/>
      <c r="C374" s="49"/>
      <c r="D374" s="50"/>
      <c r="E374" s="51"/>
      <c r="F374" s="52"/>
      <c r="G374" s="53"/>
      <c r="H374" s="54" t="str">
        <f t="shared" si="1"/>
        <v/>
      </c>
    </row>
    <row r="375">
      <c r="A375" s="48"/>
      <c r="C375" s="49"/>
      <c r="D375" s="50"/>
      <c r="E375" s="51"/>
      <c r="F375" s="52"/>
      <c r="G375" s="53"/>
      <c r="H375" s="54" t="str">
        <f t="shared" si="1"/>
        <v/>
      </c>
    </row>
    <row r="376">
      <c r="A376" s="48"/>
      <c r="C376" s="49"/>
      <c r="D376" s="50"/>
      <c r="E376" s="51"/>
      <c r="F376" s="52"/>
      <c r="G376" s="53"/>
      <c r="H376" s="54" t="str">
        <f t="shared" si="1"/>
        <v/>
      </c>
    </row>
    <row r="377">
      <c r="A377" s="48"/>
      <c r="C377" s="49"/>
      <c r="D377" s="50"/>
      <c r="E377" s="51"/>
      <c r="F377" s="52"/>
      <c r="G377" s="53"/>
      <c r="H377" s="54" t="str">
        <f t="shared" si="1"/>
        <v/>
      </c>
    </row>
    <row r="378">
      <c r="A378" s="48"/>
      <c r="C378" s="49"/>
      <c r="D378" s="50"/>
      <c r="E378" s="51"/>
      <c r="F378" s="52"/>
      <c r="G378" s="53"/>
      <c r="H378" s="54" t="str">
        <f t="shared" si="1"/>
        <v/>
      </c>
    </row>
    <row r="379">
      <c r="A379" s="48"/>
      <c r="C379" s="49"/>
      <c r="D379" s="50"/>
      <c r="E379" s="51"/>
      <c r="F379" s="52"/>
      <c r="G379" s="53"/>
      <c r="H379" s="54" t="str">
        <f t="shared" si="1"/>
        <v/>
      </c>
    </row>
    <row r="380">
      <c r="A380" s="48"/>
      <c r="C380" s="49"/>
      <c r="D380" s="50"/>
      <c r="E380" s="51"/>
      <c r="F380" s="52"/>
      <c r="G380" s="53"/>
      <c r="H380" s="54" t="str">
        <f t="shared" si="1"/>
        <v/>
      </c>
    </row>
    <row r="381">
      <c r="A381" s="48"/>
      <c r="C381" s="49"/>
      <c r="D381" s="50"/>
      <c r="E381" s="51"/>
      <c r="F381" s="52"/>
      <c r="G381" s="53"/>
      <c r="H381" s="54" t="str">
        <f t="shared" si="1"/>
        <v/>
      </c>
    </row>
    <row r="382">
      <c r="A382" s="48"/>
      <c r="C382" s="49"/>
      <c r="D382" s="50"/>
      <c r="E382" s="51"/>
      <c r="F382" s="52"/>
      <c r="G382" s="53"/>
      <c r="H382" s="54" t="str">
        <f t="shared" si="1"/>
        <v/>
      </c>
    </row>
    <row r="383">
      <c r="A383" s="48"/>
      <c r="C383" s="49"/>
      <c r="D383" s="50"/>
      <c r="E383" s="51"/>
      <c r="F383" s="52"/>
      <c r="G383" s="53"/>
      <c r="H383" s="54" t="str">
        <f t="shared" si="1"/>
        <v/>
      </c>
    </row>
    <row r="384">
      <c r="A384" s="48"/>
      <c r="C384" s="49"/>
      <c r="D384" s="50"/>
      <c r="E384" s="51"/>
      <c r="F384" s="52"/>
      <c r="G384" s="53"/>
      <c r="H384" s="54" t="str">
        <f t="shared" si="1"/>
        <v/>
      </c>
    </row>
    <row r="385">
      <c r="A385" s="48"/>
      <c r="C385" s="49"/>
      <c r="D385" s="50"/>
      <c r="E385" s="51"/>
      <c r="F385" s="52"/>
      <c r="G385" s="53"/>
      <c r="H385" s="54" t="str">
        <f t="shared" si="1"/>
        <v/>
      </c>
    </row>
    <row r="386">
      <c r="A386" s="48"/>
      <c r="C386" s="49"/>
      <c r="D386" s="50"/>
      <c r="E386" s="51"/>
      <c r="F386" s="52"/>
      <c r="G386" s="53"/>
      <c r="H386" s="54" t="str">
        <f t="shared" si="1"/>
        <v/>
      </c>
    </row>
    <row r="387">
      <c r="A387" s="48"/>
      <c r="C387" s="49"/>
      <c r="D387" s="50"/>
      <c r="E387" s="51"/>
      <c r="F387" s="52"/>
      <c r="G387" s="53"/>
      <c r="H387" s="54" t="str">
        <f t="shared" si="1"/>
        <v/>
      </c>
    </row>
    <row r="388">
      <c r="A388" s="48"/>
      <c r="C388" s="49"/>
      <c r="D388" s="50"/>
      <c r="E388" s="51"/>
      <c r="F388" s="52"/>
      <c r="G388" s="53"/>
      <c r="H388" s="54" t="str">
        <f t="shared" si="1"/>
        <v/>
      </c>
    </row>
    <row r="389">
      <c r="A389" s="48"/>
      <c r="C389" s="49"/>
      <c r="D389" s="50"/>
      <c r="E389" s="51"/>
      <c r="F389" s="52"/>
      <c r="G389" s="53"/>
      <c r="H389" s="54" t="str">
        <f t="shared" si="1"/>
        <v/>
      </c>
    </row>
    <row r="390">
      <c r="A390" s="48"/>
      <c r="C390" s="49"/>
      <c r="D390" s="50"/>
      <c r="E390" s="51"/>
      <c r="F390" s="52"/>
      <c r="G390" s="53"/>
      <c r="H390" s="54" t="str">
        <f t="shared" si="1"/>
        <v/>
      </c>
    </row>
    <row r="391">
      <c r="A391" s="48"/>
      <c r="C391" s="49"/>
      <c r="D391" s="50"/>
      <c r="E391" s="51"/>
      <c r="F391" s="52"/>
      <c r="G391" s="53"/>
      <c r="H391" s="54" t="str">
        <f t="shared" si="1"/>
        <v/>
      </c>
    </row>
    <row r="392">
      <c r="A392" s="48"/>
      <c r="C392" s="49"/>
      <c r="D392" s="50"/>
      <c r="E392" s="51"/>
      <c r="F392" s="52"/>
      <c r="G392" s="53"/>
      <c r="H392" s="54" t="str">
        <f t="shared" si="1"/>
        <v/>
      </c>
    </row>
    <row r="393">
      <c r="A393" s="48"/>
      <c r="C393" s="49"/>
      <c r="D393" s="50"/>
      <c r="E393" s="51"/>
      <c r="F393" s="52"/>
      <c r="G393" s="53"/>
      <c r="H393" s="54" t="str">
        <f t="shared" si="1"/>
        <v/>
      </c>
    </row>
    <row r="394">
      <c r="A394" s="48"/>
      <c r="C394" s="49"/>
      <c r="D394" s="50"/>
      <c r="E394" s="51"/>
      <c r="F394" s="52"/>
      <c r="G394" s="53"/>
      <c r="H394" s="54" t="str">
        <f t="shared" si="1"/>
        <v/>
      </c>
    </row>
    <row r="395">
      <c r="A395" s="48"/>
      <c r="C395" s="49"/>
      <c r="D395" s="50"/>
      <c r="E395" s="51"/>
      <c r="F395" s="52"/>
      <c r="G395" s="53"/>
      <c r="H395" s="54" t="str">
        <f t="shared" si="1"/>
        <v/>
      </c>
    </row>
    <row r="396">
      <c r="A396" s="48"/>
      <c r="C396" s="49"/>
      <c r="D396" s="50"/>
      <c r="E396" s="51"/>
      <c r="F396" s="52"/>
      <c r="G396" s="53"/>
      <c r="H396" s="54" t="str">
        <f t="shared" si="1"/>
        <v/>
      </c>
    </row>
    <row r="397">
      <c r="A397" s="48"/>
      <c r="C397" s="49"/>
      <c r="D397" s="50"/>
      <c r="E397" s="51"/>
      <c r="F397" s="52"/>
      <c r="G397" s="53"/>
      <c r="H397" s="54" t="str">
        <f t="shared" si="1"/>
        <v/>
      </c>
    </row>
    <row r="398">
      <c r="A398" s="48"/>
      <c r="C398" s="49"/>
      <c r="D398" s="50"/>
      <c r="E398" s="51"/>
      <c r="F398" s="52"/>
      <c r="G398" s="53"/>
      <c r="H398" s="54" t="str">
        <f t="shared" si="1"/>
        <v/>
      </c>
    </row>
    <row r="399">
      <c r="A399" s="48"/>
      <c r="C399" s="49"/>
      <c r="D399" s="50"/>
      <c r="E399" s="51"/>
      <c r="F399" s="52"/>
      <c r="G399" s="53"/>
      <c r="H399" s="54" t="str">
        <f t="shared" si="1"/>
        <v/>
      </c>
    </row>
    <row r="400">
      <c r="A400" s="48"/>
      <c r="C400" s="49"/>
      <c r="D400" s="50"/>
      <c r="E400" s="51"/>
      <c r="F400" s="52"/>
      <c r="G400" s="53"/>
      <c r="H400" s="54" t="str">
        <f t="shared" si="1"/>
        <v/>
      </c>
    </row>
    <row r="401">
      <c r="A401" s="48"/>
      <c r="C401" s="49"/>
      <c r="D401" s="50"/>
      <c r="E401" s="51"/>
      <c r="F401" s="52"/>
      <c r="G401" s="53"/>
      <c r="H401" s="54" t="str">
        <f t="shared" si="1"/>
        <v/>
      </c>
    </row>
    <row r="402">
      <c r="A402" s="48"/>
      <c r="C402" s="49"/>
      <c r="D402" s="50"/>
      <c r="E402" s="51"/>
      <c r="F402" s="52"/>
      <c r="G402" s="53"/>
      <c r="H402" s="54" t="str">
        <f t="shared" si="1"/>
        <v/>
      </c>
    </row>
    <row r="403">
      <c r="A403" s="48"/>
      <c r="C403" s="49"/>
      <c r="D403" s="50"/>
      <c r="E403" s="51"/>
      <c r="F403" s="52"/>
      <c r="G403" s="53"/>
      <c r="H403" s="54" t="str">
        <f t="shared" si="1"/>
        <v/>
      </c>
    </row>
    <row r="404">
      <c r="A404" s="48"/>
      <c r="C404" s="49"/>
      <c r="D404" s="50"/>
      <c r="E404" s="51"/>
      <c r="F404" s="52"/>
      <c r="G404" s="53"/>
      <c r="H404" s="54" t="str">
        <f t="shared" si="1"/>
        <v/>
      </c>
    </row>
    <row r="405">
      <c r="A405" s="48"/>
      <c r="C405" s="49"/>
      <c r="D405" s="50"/>
      <c r="E405" s="51"/>
      <c r="F405" s="52"/>
      <c r="G405" s="53"/>
      <c r="H405" s="54" t="str">
        <f t="shared" si="1"/>
        <v/>
      </c>
    </row>
    <row r="406">
      <c r="A406" s="48"/>
      <c r="C406" s="49"/>
      <c r="D406" s="50"/>
      <c r="E406" s="51"/>
      <c r="F406" s="52"/>
      <c r="G406" s="53"/>
      <c r="H406" s="54" t="str">
        <f t="shared" si="1"/>
        <v/>
      </c>
    </row>
    <row r="407">
      <c r="A407" s="48"/>
      <c r="C407" s="49"/>
      <c r="D407" s="50"/>
      <c r="E407" s="51"/>
      <c r="F407" s="52"/>
      <c r="G407" s="53"/>
      <c r="H407" s="54" t="str">
        <f t="shared" si="1"/>
        <v/>
      </c>
    </row>
    <row r="408">
      <c r="A408" s="48"/>
      <c r="C408" s="49"/>
      <c r="D408" s="50"/>
      <c r="E408" s="51"/>
      <c r="F408" s="52"/>
      <c r="G408" s="53"/>
      <c r="H408" s="54" t="str">
        <f t="shared" si="1"/>
        <v/>
      </c>
    </row>
    <row r="409">
      <c r="A409" s="48"/>
      <c r="C409" s="49"/>
      <c r="D409" s="50"/>
      <c r="E409" s="51"/>
      <c r="F409" s="52"/>
      <c r="G409" s="53"/>
      <c r="H409" s="54" t="str">
        <f t="shared" si="1"/>
        <v/>
      </c>
    </row>
    <row r="410">
      <c r="A410" s="48"/>
      <c r="C410" s="49"/>
      <c r="D410" s="50"/>
      <c r="E410" s="51"/>
      <c r="F410" s="52"/>
      <c r="G410" s="53"/>
      <c r="H410" s="54" t="str">
        <f t="shared" si="1"/>
        <v/>
      </c>
    </row>
    <row r="411">
      <c r="A411" s="48"/>
      <c r="C411" s="49"/>
      <c r="D411" s="50"/>
      <c r="E411" s="51"/>
      <c r="F411" s="52"/>
      <c r="G411" s="53"/>
      <c r="H411" s="54" t="str">
        <f t="shared" si="1"/>
        <v/>
      </c>
    </row>
    <row r="412">
      <c r="A412" s="48"/>
      <c r="C412" s="49"/>
      <c r="D412" s="50"/>
      <c r="E412" s="51"/>
      <c r="F412" s="52"/>
      <c r="G412" s="53"/>
      <c r="H412" s="54" t="str">
        <f t="shared" si="1"/>
        <v/>
      </c>
    </row>
    <row r="413">
      <c r="A413" s="48"/>
      <c r="C413" s="49"/>
      <c r="D413" s="50"/>
      <c r="E413" s="51"/>
      <c r="F413" s="52"/>
      <c r="G413" s="53"/>
      <c r="H413" s="54" t="str">
        <f t="shared" si="1"/>
        <v/>
      </c>
    </row>
    <row r="414">
      <c r="A414" s="48"/>
      <c r="C414" s="49"/>
      <c r="D414" s="50"/>
      <c r="E414" s="51"/>
      <c r="F414" s="52"/>
      <c r="G414" s="53"/>
      <c r="H414" s="54" t="str">
        <f t="shared" si="1"/>
        <v/>
      </c>
    </row>
    <row r="415">
      <c r="A415" s="48"/>
      <c r="C415" s="49"/>
      <c r="D415" s="50"/>
      <c r="E415" s="51"/>
      <c r="F415" s="52"/>
      <c r="G415" s="53"/>
      <c r="H415" s="54" t="str">
        <f t="shared" si="1"/>
        <v/>
      </c>
    </row>
    <row r="416">
      <c r="A416" s="48"/>
      <c r="C416" s="49"/>
      <c r="D416" s="50"/>
      <c r="E416" s="51"/>
      <c r="F416" s="52"/>
      <c r="G416" s="53"/>
      <c r="H416" s="54" t="str">
        <f t="shared" si="1"/>
        <v/>
      </c>
    </row>
    <row r="417">
      <c r="A417" s="48"/>
      <c r="C417" s="49"/>
      <c r="D417" s="50"/>
      <c r="E417" s="51"/>
      <c r="F417" s="52"/>
      <c r="G417" s="53"/>
      <c r="H417" s="54" t="str">
        <f t="shared" si="1"/>
        <v/>
      </c>
    </row>
    <row r="418">
      <c r="A418" s="48"/>
      <c r="C418" s="49"/>
      <c r="D418" s="50"/>
      <c r="E418" s="51"/>
      <c r="F418" s="52"/>
      <c r="G418" s="53"/>
      <c r="H418" s="54" t="str">
        <f t="shared" si="1"/>
        <v/>
      </c>
    </row>
    <row r="419">
      <c r="A419" s="48"/>
      <c r="C419" s="49"/>
      <c r="D419" s="50"/>
      <c r="E419" s="51"/>
      <c r="F419" s="52"/>
      <c r="G419" s="53"/>
      <c r="H419" s="54" t="str">
        <f t="shared" si="1"/>
        <v/>
      </c>
    </row>
    <row r="420">
      <c r="A420" s="48"/>
      <c r="C420" s="49"/>
      <c r="D420" s="50"/>
      <c r="E420" s="51"/>
      <c r="F420" s="52"/>
      <c r="G420" s="53"/>
      <c r="H420" s="54" t="str">
        <f t="shared" si="1"/>
        <v/>
      </c>
    </row>
    <row r="421">
      <c r="A421" s="48"/>
      <c r="C421" s="49"/>
      <c r="D421" s="50"/>
      <c r="E421" s="51"/>
      <c r="F421" s="52"/>
      <c r="G421" s="53"/>
      <c r="H421" s="54" t="str">
        <f t="shared" si="1"/>
        <v/>
      </c>
    </row>
    <row r="422">
      <c r="A422" s="48"/>
      <c r="C422" s="49"/>
      <c r="D422" s="50"/>
      <c r="E422" s="51"/>
      <c r="F422" s="52"/>
      <c r="G422" s="53"/>
      <c r="H422" s="54" t="str">
        <f t="shared" si="1"/>
        <v/>
      </c>
    </row>
    <row r="423">
      <c r="A423" s="48"/>
      <c r="C423" s="49"/>
      <c r="D423" s="50"/>
      <c r="E423" s="51"/>
      <c r="F423" s="52"/>
      <c r="G423" s="53"/>
      <c r="H423" s="54" t="str">
        <f t="shared" si="1"/>
        <v/>
      </c>
    </row>
    <row r="424">
      <c r="A424" s="48"/>
      <c r="C424" s="49"/>
      <c r="D424" s="50"/>
      <c r="E424" s="51"/>
      <c r="F424" s="52"/>
      <c r="G424" s="53"/>
      <c r="H424" s="54" t="str">
        <f t="shared" si="1"/>
        <v/>
      </c>
    </row>
    <row r="425">
      <c r="A425" s="48"/>
      <c r="C425" s="49"/>
      <c r="D425" s="50"/>
      <c r="E425" s="51"/>
      <c r="F425" s="52"/>
      <c r="G425" s="53"/>
      <c r="H425" s="54" t="str">
        <f t="shared" si="1"/>
        <v/>
      </c>
    </row>
    <row r="426">
      <c r="A426" s="48"/>
      <c r="C426" s="49"/>
      <c r="D426" s="50"/>
      <c r="E426" s="51"/>
      <c r="F426" s="52"/>
      <c r="G426" s="53"/>
      <c r="H426" s="54" t="str">
        <f t="shared" si="1"/>
        <v/>
      </c>
    </row>
    <row r="427">
      <c r="A427" s="48"/>
      <c r="C427" s="49"/>
      <c r="D427" s="50"/>
      <c r="E427" s="51"/>
      <c r="F427" s="52"/>
      <c r="G427" s="53"/>
      <c r="H427" s="54" t="str">
        <f t="shared" si="1"/>
        <v/>
      </c>
    </row>
    <row r="428">
      <c r="A428" s="48"/>
      <c r="C428" s="49"/>
      <c r="D428" s="50"/>
      <c r="E428" s="51"/>
      <c r="F428" s="52"/>
      <c r="G428" s="53"/>
      <c r="H428" s="54" t="str">
        <f t="shared" si="1"/>
        <v/>
      </c>
    </row>
    <row r="429">
      <c r="A429" s="48"/>
      <c r="C429" s="49"/>
      <c r="D429" s="50"/>
      <c r="E429" s="51"/>
      <c r="F429" s="52"/>
      <c r="G429" s="53"/>
      <c r="H429" s="54" t="str">
        <f t="shared" si="1"/>
        <v/>
      </c>
    </row>
    <row r="430">
      <c r="A430" s="48"/>
      <c r="C430" s="49"/>
      <c r="D430" s="50"/>
      <c r="E430" s="51"/>
      <c r="F430" s="52"/>
      <c r="G430" s="53"/>
      <c r="H430" s="54" t="str">
        <f t="shared" si="1"/>
        <v/>
      </c>
    </row>
    <row r="431">
      <c r="A431" s="48"/>
      <c r="C431" s="49"/>
      <c r="D431" s="50"/>
      <c r="E431" s="51"/>
      <c r="F431" s="52"/>
      <c r="G431" s="53"/>
      <c r="H431" s="54" t="str">
        <f t="shared" si="1"/>
        <v/>
      </c>
    </row>
    <row r="432">
      <c r="A432" s="48"/>
      <c r="C432" s="49"/>
      <c r="D432" s="50"/>
      <c r="E432" s="51"/>
      <c r="F432" s="52"/>
      <c r="G432" s="53"/>
      <c r="H432" s="54" t="str">
        <f t="shared" si="1"/>
        <v/>
      </c>
    </row>
    <row r="433">
      <c r="A433" s="48"/>
      <c r="C433" s="49"/>
      <c r="D433" s="50"/>
      <c r="E433" s="51"/>
      <c r="F433" s="52"/>
      <c r="G433" s="53"/>
      <c r="H433" s="54" t="str">
        <f t="shared" si="1"/>
        <v/>
      </c>
    </row>
    <row r="434">
      <c r="A434" s="48"/>
      <c r="C434" s="49"/>
      <c r="D434" s="50"/>
      <c r="E434" s="51"/>
      <c r="F434" s="52"/>
      <c r="G434" s="53"/>
      <c r="H434" s="54" t="str">
        <f t="shared" si="1"/>
        <v/>
      </c>
    </row>
    <row r="435">
      <c r="A435" s="48"/>
      <c r="C435" s="49"/>
      <c r="D435" s="50"/>
      <c r="E435" s="51"/>
      <c r="F435" s="52"/>
      <c r="G435" s="53"/>
      <c r="H435" s="54" t="str">
        <f t="shared" si="1"/>
        <v/>
      </c>
    </row>
    <row r="436">
      <c r="A436" s="48"/>
      <c r="C436" s="49"/>
      <c r="D436" s="50"/>
      <c r="E436" s="51"/>
      <c r="F436" s="52"/>
      <c r="G436" s="53"/>
      <c r="H436" s="54" t="str">
        <f t="shared" si="1"/>
        <v/>
      </c>
    </row>
    <row r="437">
      <c r="A437" s="48"/>
      <c r="C437" s="49"/>
      <c r="D437" s="50"/>
      <c r="E437" s="51"/>
      <c r="F437" s="52"/>
      <c r="G437" s="53"/>
      <c r="H437" s="54" t="str">
        <f t="shared" si="1"/>
        <v/>
      </c>
    </row>
    <row r="438">
      <c r="A438" s="48"/>
      <c r="C438" s="49"/>
      <c r="D438" s="50"/>
      <c r="E438" s="51"/>
      <c r="F438" s="52"/>
      <c r="G438" s="53"/>
      <c r="H438" s="54" t="str">
        <f t="shared" si="1"/>
        <v/>
      </c>
    </row>
    <row r="439">
      <c r="A439" s="48"/>
      <c r="C439" s="49"/>
      <c r="D439" s="50"/>
      <c r="E439" s="51"/>
      <c r="F439" s="52"/>
      <c r="G439" s="53"/>
      <c r="H439" s="54" t="str">
        <f t="shared" si="1"/>
        <v/>
      </c>
    </row>
    <row r="440">
      <c r="A440" s="48"/>
      <c r="C440" s="49"/>
      <c r="D440" s="50"/>
      <c r="E440" s="51"/>
      <c r="F440" s="52"/>
      <c r="G440" s="53"/>
      <c r="H440" s="54" t="str">
        <f t="shared" si="1"/>
        <v/>
      </c>
    </row>
    <row r="441">
      <c r="A441" s="48"/>
      <c r="C441" s="49"/>
      <c r="D441" s="50"/>
      <c r="E441" s="51"/>
      <c r="F441" s="52"/>
      <c r="G441" s="53"/>
      <c r="H441" s="54" t="str">
        <f t="shared" si="1"/>
        <v/>
      </c>
    </row>
    <row r="442">
      <c r="A442" s="48"/>
      <c r="C442" s="49"/>
      <c r="D442" s="50"/>
      <c r="E442" s="51"/>
      <c r="F442" s="52"/>
      <c r="G442" s="53"/>
      <c r="H442" s="54" t="str">
        <f t="shared" si="1"/>
        <v/>
      </c>
    </row>
    <row r="443">
      <c r="A443" s="48"/>
      <c r="C443" s="49"/>
      <c r="D443" s="50"/>
      <c r="E443" s="51"/>
      <c r="F443" s="52"/>
      <c r="G443" s="53"/>
      <c r="H443" s="54" t="str">
        <f t="shared" si="1"/>
        <v/>
      </c>
    </row>
    <row r="444">
      <c r="A444" s="48"/>
      <c r="C444" s="49"/>
      <c r="D444" s="50"/>
      <c r="E444" s="51"/>
      <c r="F444" s="52"/>
      <c r="G444" s="53"/>
      <c r="H444" s="54" t="str">
        <f t="shared" si="1"/>
        <v/>
      </c>
    </row>
    <row r="445">
      <c r="A445" s="48"/>
      <c r="C445" s="49"/>
      <c r="D445" s="50"/>
      <c r="E445" s="51"/>
      <c r="F445" s="52"/>
      <c r="G445" s="53"/>
      <c r="H445" s="54" t="str">
        <f t="shared" si="1"/>
        <v/>
      </c>
    </row>
    <row r="446">
      <c r="A446" s="48"/>
      <c r="C446" s="49"/>
      <c r="D446" s="50"/>
      <c r="E446" s="51"/>
      <c r="F446" s="52"/>
      <c r="G446" s="53"/>
      <c r="H446" s="54" t="str">
        <f t="shared" si="1"/>
        <v/>
      </c>
    </row>
    <row r="447">
      <c r="A447" s="48"/>
      <c r="C447" s="49"/>
      <c r="D447" s="50"/>
      <c r="E447" s="51"/>
      <c r="F447" s="52"/>
      <c r="G447" s="53"/>
      <c r="H447" s="54" t="str">
        <f t="shared" si="1"/>
        <v/>
      </c>
    </row>
    <row r="448">
      <c r="A448" s="48"/>
      <c r="C448" s="49"/>
      <c r="D448" s="50"/>
      <c r="E448" s="51"/>
      <c r="F448" s="52"/>
      <c r="G448" s="53"/>
      <c r="H448" s="54" t="str">
        <f t="shared" si="1"/>
        <v/>
      </c>
    </row>
    <row r="449">
      <c r="A449" s="48"/>
      <c r="C449" s="49"/>
      <c r="D449" s="50"/>
      <c r="E449" s="51"/>
      <c r="F449" s="52"/>
      <c r="G449" s="53"/>
      <c r="H449" s="54" t="str">
        <f t="shared" si="1"/>
        <v/>
      </c>
    </row>
    <row r="450">
      <c r="A450" s="48"/>
      <c r="C450" s="49"/>
      <c r="D450" s="50"/>
      <c r="E450" s="51"/>
      <c r="F450" s="52"/>
      <c r="G450" s="53"/>
      <c r="H450" s="54" t="str">
        <f t="shared" si="1"/>
        <v/>
      </c>
    </row>
    <row r="451">
      <c r="A451" s="48"/>
      <c r="C451" s="49"/>
      <c r="D451" s="50"/>
      <c r="E451" s="51"/>
      <c r="F451" s="52"/>
      <c r="G451" s="53"/>
      <c r="H451" s="54" t="str">
        <f t="shared" si="1"/>
        <v/>
      </c>
    </row>
    <row r="452">
      <c r="A452" s="48"/>
      <c r="C452" s="49"/>
      <c r="D452" s="50"/>
      <c r="E452" s="51"/>
      <c r="F452" s="52"/>
      <c r="G452" s="53"/>
      <c r="H452" s="54" t="str">
        <f t="shared" si="1"/>
        <v/>
      </c>
    </row>
    <row r="453">
      <c r="A453" s="48"/>
      <c r="C453" s="49"/>
      <c r="D453" s="50"/>
      <c r="E453" s="51"/>
      <c r="F453" s="52"/>
      <c r="G453" s="53"/>
      <c r="H453" s="54" t="str">
        <f t="shared" si="1"/>
        <v/>
      </c>
    </row>
    <row r="454">
      <c r="A454" s="48"/>
      <c r="C454" s="49"/>
      <c r="D454" s="50"/>
      <c r="E454" s="51"/>
      <c r="F454" s="52"/>
      <c r="G454" s="53"/>
      <c r="H454" s="54" t="str">
        <f t="shared" si="1"/>
        <v/>
      </c>
    </row>
    <row r="455">
      <c r="A455" s="48"/>
      <c r="C455" s="49"/>
      <c r="D455" s="50"/>
      <c r="E455" s="51"/>
      <c r="F455" s="52"/>
      <c r="G455" s="53"/>
      <c r="H455" s="54" t="str">
        <f t="shared" si="1"/>
        <v/>
      </c>
    </row>
    <row r="456">
      <c r="A456" s="48"/>
      <c r="C456" s="49"/>
      <c r="D456" s="50"/>
      <c r="E456" s="51"/>
      <c r="F456" s="52"/>
      <c r="G456" s="53"/>
      <c r="H456" s="54" t="str">
        <f t="shared" si="1"/>
        <v/>
      </c>
    </row>
    <row r="457">
      <c r="A457" s="48"/>
      <c r="C457" s="49"/>
      <c r="D457" s="50"/>
      <c r="E457" s="51"/>
      <c r="F457" s="52"/>
      <c r="G457" s="53"/>
      <c r="H457" s="54" t="str">
        <f t="shared" si="1"/>
        <v/>
      </c>
    </row>
    <row r="458">
      <c r="A458" s="48"/>
      <c r="C458" s="49"/>
      <c r="D458" s="50"/>
      <c r="E458" s="51"/>
      <c r="F458" s="52"/>
      <c r="G458" s="53"/>
      <c r="H458" s="54" t="str">
        <f t="shared" si="1"/>
        <v/>
      </c>
    </row>
    <row r="459">
      <c r="A459" s="48"/>
      <c r="C459" s="49"/>
      <c r="D459" s="50"/>
      <c r="E459" s="51"/>
      <c r="F459" s="52"/>
      <c r="G459" s="53"/>
      <c r="H459" s="54" t="str">
        <f t="shared" si="1"/>
        <v/>
      </c>
    </row>
    <row r="460">
      <c r="A460" s="48"/>
      <c r="C460" s="49"/>
      <c r="D460" s="50"/>
      <c r="E460" s="51"/>
      <c r="F460" s="52"/>
      <c r="G460" s="53"/>
      <c r="H460" s="54" t="str">
        <f t="shared" si="1"/>
        <v/>
      </c>
    </row>
    <row r="461">
      <c r="A461" s="48"/>
      <c r="C461" s="49"/>
      <c r="D461" s="50"/>
      <c r="E461" s="51"/>
      <c r="F461" s="52"/>
      <c r="G461" s="53"/>
      <c r="H461" s="54" t="str">
        <f t="shared" si="1"/>
        <v/>
      </c>
    </row>
    <row r="462">
      <c r="A462" s="48"/>
      <c r="C462" s="49"/>
      <c r="D462" s="50"/>
      <c r="E462" s="51"/>
      <c r="F462" s="52"/>
      <c r="G462" s="53"/>
      <c r="H462" s="54" t="str">
        <f t="shared" si="1"/>
        <v/>
      </c>
    </row>
    <row r="463">
      <c r="A463" s="48"/>
      <c r="C463" s="49"/>
      <c r="D463" s="50"/>
      <c r="E463" s="51"/>
      <c r="F463" s="52"/>
      <c r="G463" s="53"/>
      <c r="H463" s="54" t="str">
        <f t="shared" si="1"/>
        <v/>
      </c>
    </row>
    <row r="464">
      <c r="A464" s="48"/>
      <c r="C464" s="49"/>
      <c r="D464" s="50"/>
      <c r="E464" s="51"/>
      <c r="F464" s="52"/>
      <c r="G464" s="53"/>
      <c r="H464" s="54" t="str">
        <f t="shared" si="1"/>
        <v/>
      </c>
    </row>
    <row r="465">
      <c r="A465" s="48"/>
      <c r="C465" s="49"/>
      <c r="D465" s="50"/>
      <c r="E465" s="51"/>
      <c r="F465" s="52"/>
      <c r="G465" s="53"/>
      <c r="H465" s="54" t="str">
        <f t="shared" si="1"/>
        <v/>
      </c>
    </row>
    <row r="466">
      <c r="A466" s="48"/>
      <c r="C466" s="49"/>
      <c r="D466" s="50"/>
      <c r="E466" s="51"/>
      <c r="F466" s="52"/>
      <c r="G466" s="53"/>
      <c r="H466" s="54" t="str">
        <f t="shared" si="1"/>
        <v/>
      </c>
    </row>
    <row r="467">
      <c r="A467" s="48"/>
      <c r="C467" s="49"/>
      <c r="D467" s="50"/>
      <c r="E467" s="51"/>
      <c r="F467" s="52"/>
      <c r="G467" s="53"/>
      <c r="H467" s="54" t="str">
        <f t="shared" si="1"/>
        <v/>
      </c>
    </row>
    <row r="468">
      <c r="A468" s="48"/>
      <c r="C468" s="49"/>
      <c r="D468" s="50"/>
      <c r="E468" s="51"/>
      <c r="F468" s="52"/>
      <c r="G468" s="53"/>
      <c r="H468" s="54" t="str">
        <f t="shared" si="1"/>
        <v/>
      </c>
    </row>
    <row r="469">
      <c r="A469" s="48"/>
      <c r="C469" s="49"/>
      <c r="D469" s="50"/>
      <c r="E469" s="51"/>
      <c r="F469" s="52"/>
      <c r="G469" s="53"/>
      <c r="H469" s="54" t="str">
        <f t="shared" si="1"/>
        <v/>
      </c>
    </row>
    <row r="470">
      <c r="A470" s="48"/>
      <c r="C470" s="49"/>
      <c r="D470" s="50"/>
      <c r="E470" s="51"/>
      <c r="F470" s="52"/>
      <c r="G470" s="53"/>
      <c r="H470" s="54" t="str">
        <f t="shared" si="1"/>
        <v/>
      </c>
    </row>
    <row r="471">
      <c r="A471" s="48"/>
      <c r="C471" s="49"/>
      <c r="D471" s="50"/>
      <c r="E471" s="51"/>
      <c r="F471" s="52"/>
      <c r="G471" s="53"/>
      <c r="H471" s="54" t="str">
        <f t="shared" si="1"/>
        <v/>
      </c>
    </row>
    <row r="472">
      <c r="A472" s="48"/>
      <c r="C472" s="49"/>
      <c r="D472" s="50"/>
      <c r="E472" s="51"/>
      <c r="F472" s="52"/>
      <c r="G472" s="53"/>
      <c r="H472" s="54" t="str">
        <f t="shared" si="1"/>
        <v/>
      </c>
    </row>
    <row r="473">
      <c r="A473" s="48"/>
      <c r="C473" s="49"/>
      <c r="D473" s="50"/>
      <c r="E473" s="51"/>
      <c r="F473" s="52"/>
      <c r="G473" s="53"/>
      <c r="H473" s="54" t="str">
        <f t="shared" si="1"/>
        <v/>
      </c>
    </row>
    <row r="474">
      <c r="A474" s="48"/>
      <c r="C474" s="49"/>
      <c r="D474" s="50"/>
      <c r="E474" s="51"/>
      <c r="F474" s="52"/>
      <c r="G474" s="53"/>
      <c r="H474" s="54" t="str">
        <f t="shared" si="1"/>
        <v/>
      </c>
    </row>
    <row r="475">
      <c r="A475" s="48"/>
      <c r="C475" s="49"/>
      <c r="D475" s="50"/>
      <c r="E475" s="51"/>
      <c r="F475" s="52"/>
      <c r="G475" s="53"/>
      <c r="H475" s="54" t="str">
        <f t="shared" si="1"/>
        <v/>
      </c>
    </row>
    <row r="476">
      <c r="A476" s="48"/>
      <c r="C476" s="49"/>
      <c r="D476" s="50"/>
      <c r="E476" s="51"/>
      <c r="F476" s="52"/>
      <c r="G476" s="53"/>
      <c r="H476" s="54" t="str">
        <f t="shared" si="1"/>
        <v/>
      </c>
    </row>
    <row r="477">
      <c r="A477" s="48"/>
      <c r="C477" s="49"/>
      <c r="D477" s="50"/>
      <c r="E477" s="51"/>
      <c r="F477" s="52"/>
      <c r="G477" s="53"/>
      <c r="H477" s="54" t="str">
        <f t="shared" si="1"/>
        <v/>
      </c>
    </row>
    <row r="478">
      <c r="A478" s="48"/>
      <c r="C478" s="49"/>
      <c r="D478" s="50"/>
      <c r="E478" s="51"/>
      <c r="F478" s="52"/>
      <c r="G478" s="53"/>
      <c r="H478" s="54" t="str">
        <f t="shared" si="1"/>
        <v/>
      </c>
    </row>
    <row r="479">
      <c r="A479" s="48"/>
      <c r="C479" s="49"/>
      <c r="D479" s="50"/>
      <c r="E479" s="51"/>
      <c r="F479" s="52"/>
      <c r="G479" s="53"/>
      <c r="H479" s="54" t="str">
        <f t="shared" si="1"/>
        <v/>
      </c>
    </row>
    <row r="480">
      <c r="A480" s="48"/>
      <c r="C480" s="49"/>
      <c r="D480" s="50"/>
      <c r="E480" s="51"/>
      <c r="F480" s="52"/>
      <c r="G480" s="53"/>
      <c r="H480" s="54" t="str">
        <f t="shared" si="1"/>
        <v/>
      </c>
    </row>
    <row r="481">
      <c r="A481" s="48"/>
      <c r="C481" s="49"/>
      <c r="D481" s="50"/>
      <c r="E481" s="51"/>
      <c r="F481" s="52"/>
      <c r="G481" s="53"/>
      <c r="H481" s="54" t="str">
        <f t="shared" si="1"/>
        <v/>
      </c>
    </row>
    <row r="482">
      <c r="A482" s="48"/>
      <c r="C482" s="49"/>
      <c r="D482" s="50"/>
      <c r="E482" s="51"/>
      <c r="F482" s="52"/>
      <c r="G482" s="53"/>
      <c r="H482" s="54" t="str">
        <f t="shared" si="1"/>
        <v/>
      </c>
    </row>
    <row r="483">
      <c r="A483" s="48"/>
      <c r="C483" s="49"/>
      <c r="D483" s="50"/>
      <c r="E483" s="51"/>
      <c r="F483" s="52"/>
      <c r="G483" s="53"/>
      <c r="H483" s="54" t="str">
        <f t="shared" si="1"/>
        <v/>
      </c>
    </row>
    <row r="484">
      <c r="A484" s="48"/>
      <c r="C484" s="49"/>
      <c r="D484" s="50"/>
      <c r="E484" s="51"/>
      <c r="F484" s="52"/>
      <c r="G484" s="53"/>
      <c r="H484" s="54" t="str">
        <f t="shared" si="1"/>
        <v/>
      </c>
    </row>
    <row r="485">
      <c r="A485" s="48"/>
      <c r="C485" s="49"/>
      <c r="D485" s="50"/>
      <c r="E485" s="51"/>
      <c r="F485" s="52"/>
      <c r="G485" s="53"/>
      <c r="H485" s="54" t="str">
        <f t="shared" si="1"/>
        <v/>
      </c>
    </row>
    <row r="486">
      <c r="A486" s="48"/>
      <c r="C486" s="49"/>
      <c r="D486" s="50"/>
      <c r="E486" s="51"/>
      <c r="F486" s="52"/>
      <c r="G486" s="53"/>
      <c r="H486" s="54" t="str">
        <f t="shared" si="1"/>
        <v/>
      </c>
    </row>
    <row r="487">
      <c r="A487" s="48"/>
      <c r="C487" s="49"/>
      <c r="D487" s="50"/>
      <c r="E487" s="51"/>
      <c r="F487" s="52"/>
      <c r="G487" s="53"/>
      <c r="H487" s="54" t="str">
        <f t="shared" si="1"/>
        <v/>
      </c>
    </row>
    <row r="488">
      <c r="A488" s="48"/>
      <c r="C488" s="49"/>
      <c r="D488" s="50"/>
      <c r="E488" s="51"/>
      <c r="F488" s="52"/>
      <c r="G488" s="53"/>
      <c r="H488" s="54" t="str">
        <f t="shared" si="1"/>
        <v/>
      </c>
    </row>
    <row r="489">
      <c r="A489" s="48"/>
      <c r="C489" s="49"/>
      <c r="D489" s="50"/>
      <c r="E489" s="51"/>
      <c r="F489" s="52"/>
      <c r="G489" s="53"/>
      <c r="H489" s="54" t="str">
        <f t="shared" si="1"/>
        <v/>
      </c>
    </row>
    <row r="490">
      <c r="A490" s="48"/>
      <c r="C490" s="49"/>
      <c r="D490" s="50"/>
      <c r="E490" s="51"/>
      <c r="F490" s="52"/>
      <c r="G490" s="53"/>
      <c r="H490" s="54" t="str">
        <f t="shared" si="1"/>
        <v/>
      </c>
    </row>
    <row r="491">
      <c r="A491" s="48"/>
      <c r="C491" s="49"/>
      <c r="D491" s="50"/>
      <c r="E491" s="51"/>
      <c r="F491" s="52"/>
      <c r="G491" s="53"/>
      <c r="H491" s="54" t="str">
        <f t="shared" si="1"/>
        <v/>
      </c>
    </row>
    <row r="492">
      <c r="A492" s="48"/>
      <c r="C492" s="49"/>
      <c r="D492" s="50"/>
      <c r="E492" s="51"/>
      <c r="F492" s="52"/>
      <c r="G492" s="53"/>
      <c r="H492" s="54" t="str">
        <f t="shared" si="1"/>
        <v/>
      </c>
    </row>
    <row r="493">
      <c r="A493" s="48"/>
      <c r="C493" s="49"/>
      <c r="D493" s="50"/>
      <c r="E493" s="51"/>
      <c r="F493" s="52"/>
      <c r="G493" s="53"/>
      <c r="H493" s="54" t="str">
        <f t="shared" si="1"/>
        <v/>
      </c>
    </row>
    <row r="494">
      <c r="A494" s="48"/>
      <c r="C494" s="49"/>
      <c r="D494" s="50"/>
      <c r="E494" s="51"/>
      <c r="F494" s="52"/>
      <c r="G494" s="53"/>
      <c r="H494" s="54" t="str">
        <f t="shared" si="1"/>
        <v/>
      </c>
    </row>
    <row r="495">
      <c r="A495" s="48"/>
      <c r="C495" s="49"/>
      <c r="D495" s="50"/>
      <c r="E495" s="51"/>
      <c r="F495" s="52"/>
      <c r="G495" s="53"/>
      <c r="H495" s="54" t="str">
        <f t="shared" si="1"/>
        <v/>
      </c>
    </row>
    <row r="496">
      <c r="A496" s="48"/>
      <c r="C496" s="49"/>
      <c r="D496" s="50"/>
      <c r="E496" s="51"/>
      <c r="F496" s="52"/>
      <c r="G496" s="53"/>
      <c r="H496" s="54" t="str">
        <f t="shared" si="1"/>
        <v/>
      </c>
    </row>
    <row r="497">
      <c r="A497" s="48"/>
      <c r="C497" s="49"/>
      <c r="D497" s="50"/>
      <c r="E497" s="51"/>
      <c r="F497" s="52"/>
      <c r="G497" s="53"/>
      <c r="H497" s="54" t="str">
        <f t="shared" si="1"/>
        <v/>
      </c>
    </row>
    <row r="498">
      <c r="A498" s="48"/>
      <c r="C498" s="49"/>
      <c r="D498" s="50"/>
      <c r="E498" s="51"/>
      <c r="F498" s="52"/>
      <c r="G498" s="53"/>
      <c r="H498" s="54" t="str">
        <f t="shared" si="1"/>
        <v/>
      </c>
    </row>
    <row r="499">
      <c r="A499" s="48"/>
      <c r="C499" s="49"/>
      <c r="D499" s="50"/>
      <c r="E499" s="51"/>
      <c r="F499" s="52"/>
      <c r="G499" s="53"/>
      <c r="H499" s="54" t="str">
        <f t="shared" si="1"/>
        <v/>
      </c>
    </row>
    <row r="500">
      <c r="A500" s="48"/>
      <c r="C500" s="49"/>
      <c r="D500" s="50"/>
      <c r="E500" s="51"/>
      <c r="F500" s="52"/>
      <c r="G500" s="53"/>
      <c r="H500" s="54" t="str">
        <f t="shared" si="1"/>
        <v/>
      </c>
    </row>
    <row r="501">
      <c r="A501" s="48"/>
      <c r="C501" s="49"/>
      <c r="D501" s="50"/>
      <c r="E501" s="51"/>
      <c r="F501" s="52"/>
      <c r="G501" s="53"/>
      <c r="H501" s="54" t="str">
        <f t="shared" si="1"/>
        <v/>
      </c>
    </row>
    <row r="502">
      <c r="A502" s="48"/>
      <c r="C502" s="49"/>
      <c r="D502" s="50"/>
      <c r="E502" s="51"/>
      <c r="F502" s="52"/>
      <c r="G502" s="53"/>
      <c r="H502" s="54" t="str">
        <f t="shared" si="1"/>
        <v/>
      </c>
    </row>
    <row r="503">
      <c r="A503" s="48"/>
      <c r="C503" s="49"/>
      <c r="D503" s="50"/>
      <c r="E503" s="51"/>
      <c r="F503" s="52"/>
      <c r="G503" s="53"/>
      <c r="H503" s="54" t="str">
        <f t="shared" si="1"/>
        <v/>
      </c>
    </row>
    <row r="504">
      <c r="A504" s="48"/>
      <c r="C504" s="49"/>
      <c r="D504" s="50"/>
      <c r="E504" s="51"/>
      <c r="F504" s="52"/>
      <c r="G504" s="53"/>
      <c r="H504" s="54" t="str">
        <f t="shared" si="1"/>
        <v/>
      </c>
    </row>
    <row r="505">
      <c r="A505" s="48"/>
      <c r="C505" s="49"/>
      <c r="D505" s="50"/>
      <c r="E505" s="51"/>
      <c r="F505" s="52"/>
      <c r="G505" s="53"/>
      <c r="H505" s="54" t="str">
        <f t="shared" si="1"/>
        <v/>
      </c>
    </row>
    <row r="506">
      <c r="A506" s="48"/>
      <c r="C506" s="49"/>
      <c r="D506" s="50"/>
      <c r="E506" s="51"/>
      <c r="F506" s="52"/>
      <c r="G506" s="53"/>
      <c r="H506" s="54" t="str">
        <f t="shared" si="1"/>
        <v/>
      </c>
    </row>
    <row r="507">
      <c r="A507" s="48"/>
      <c r="C507" s="49"/>
      <c r="D507" s="50"/>
      <c r="E507" s="51"/>
      <c r="F507" s="52"/>
      <c r="G507" s="53"/>
      <c r="H507" s="54" t="str">
        <f t="shared" si="1"/>
        <v/>
      </c>
    </row>
    <row r="508">
      <c r="A508" s="48"/>
      <c r="C508" s="49"/>
      <c r="D508" s="50"/>
      <c r="E508" s="51"/>
      <c r="F508" s="52"/>
      <c r="G508" s="53"/>
      <c r="H508" s="54" t="str">
        <f t="shared" si="1"/>
        <v/>
      </c>
    </row>
    <row r="509">
      <c r="A509" s="48"/>
      <c r="C509" s="49"/>
      <c r="D509" s="50"/>
      <c r="E509" s="51"/>
      <c r="F509" s="52"/>
      <c r="G509" s="53"/>
      <c r="H509" s="54" t="str">
        <f t="shared" si="1"/>
        <v/>
      </c>
    </row>
    <row r="510">
      <c r="A510" s="48"/>
      <c r="C510" s="49"/>
      <c r="D510" s="50"/>
      <c r="E510" s="51"/>
      <c r="F510" s="52"/>
      <c r="G510" s="53"/>
      <c r="H510" s="54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1.43"/>
    <col customWidth="1" min="2" max="2" width="5.86"/>
    <col customWidth="1" min="3" max="3" width="9.29"/>
    <col customWidth="1" hidden="1" min="4" max="4" width="13.43"/>
    <col customWidth="1" hidden="1" min="5" max="5" width="12.71"/>
    <col customWidth="1" min="6" max="6" width="10.57"/>
    <col customWidth="1" min="7" max="7" width="11.71"/>
    <col customWidth="1" min="8" max="8" width="12.86"/>
    <col customWidth="1" min="9" max="9" width="12.14"/>
    <col customWidth="1" min="10" max="10" width="13.43"/>
    <col customWidth="1" min="11" max="12" width="8.86"/>
    <col customWidth="1" min="13" max="13" width="11.29"/>
  </cols>
  <sheetData>
    <row r="1">
      <c r="A1" s="55" t="s">
        <v>92</v>
      </c>
      <c r="B1" s="55" t="s">
        <v>95</v>
      </c>
      <c r="C1" s="55" t="s">
        <v>96</v>
      </c>
      <c r="D1" s="55" t="s">
        <v>97</v>
      </c>
      <c r="E1" s="55" t="s">
        <v>98</v>
      </c>
      <c r="F1" s="55" t="s">
        <v>99</v>
      </c>
      <c r="G1" s="55" t="s">
        <v>100</v>
      </c>
      <c r="H1" s="55" t="s">
        <v>101</v>
      </c>
      <c r="I1" s="55" t="s">
        <v>102</v>
      </c>
      <c r="J1" s="55" t="s">
        <v>103</v>
      </c>
      <c r="K1" s="55" t="s">
        <v>104</v>
      </c>
      <c r="L1" s="55" t="s">
        <v>105</v>
      </c>
      <c r="M1" s="55" t="s">
        <v>106</v>
      </c>
    </row>
    <row r="2">
      <c r="A2" s="56" t="s">
        <v>107</v>
      </c>
      <c r="B2" s="56" t="str">
        <f t="shared" ref="B2:B8" si="3">SWITCH($A2,"AMS","NA","FRA","TH","NYSEARCA","US","NASDAQ","US","EPA","FP","BATS","US","LON","LN","SWX","SW")</f>
        <v>US</v>
      </c>
      <c r="C2" s="57">
        <v>0.25</v>
      </c>
      <c r="D2" s="58">
        <v>0.3958333333333333</v>
      </c>
      <c r="E2" s="58">
        <v>0.6666666666666666</v>
      </c>
      <c r="F2" s="58">
        <f t="shared" ref="F2:G2" si="1">D2+$C2</f>
        <v>0.6458333333</v>
      </c>
      <c r="G2" s="58">
        <f t="shared" si="1"/>
        <v>0.9166666667</v>
      </c>
      <c r="H2" s="59">
        <f t="shared" ref="H2:I2" si="2">F2-NOW()</f>
        <v>-43599.07173</v>
      </c>
      <c r="I2" s="59">
        <f t="shared" si="2"/>
        <v>-43598.80089</v>
      </c>
      <c r="J2" s="56" t="s">
        <v>108</v>
      </c>
      <c r="K2" s="57">
        <v>0.020833333333333332</v>
      </c>
      <c r="L2" s="60" t="str">
        <f t="shared" ref="L2:L11" si="6">IFERROR(__xludf.DUMMYFUNCTION("IF(AND(TIMEVALUE(NOW())&gt;$F2,TIMEVALUE(NOW())&lt;$G2+$K2,IFERROR(MATCH(WEEKDAY(TODAY(),2),SPLIT($J2,"";""),0),-1)&gt;0),IF(TIMEVALUE(NOW())&lt;$G2,""OPEN"",""PRE""),""CLOSED"")"),"OPEN")</f>
        <v>OPEN</v>
      </c>
      <c r="M2" s="61">
        <f t="shared" ref="M2:M11" si="7">IFERROR(__xludf.DUMMYFUNCTION("IF($L2=""CLOSED"",TIMEVALUE($H2),TIMEVALUE($I2))+IF(IFERROR(MATCH(WEEKDAY(NOW()-$C2-$D2+1,2),SPLIT($J2,"";""),0),-1)&lt;=0,1+IF(IFERROR(MATCH(WEEKDAY(NOW()-$C2-$D2+2,2),SPLIT($J2,"";""),0),-1)&lt;=0,1,0),0)"),0.19909722222222223)</f>
        <v>0.1990972222</v>
      </c>
    </row>
    <row r="3">
      <c r="A3" s="56" t="s">
        <v>112</v>
      </c>
      <c r="B3" s="56" t="str">
        <f t="shared" si="3"/>
        <v>US</v>
      </c>
      <c r="C3" s="57">
        <v>0.25</v>
      </c>
      <c r="D3" s="58">
        <v>0.3958333333333333</v>
      </c>
      <c r="E3" s="58">
        <v>0.6666666666666666</v>
      </c>
      <c r="F3" s="58">
        <f t="shared" ref="F3:G3" si="4">D3+$C3</f>
        <v>0.6458333333</v>
      </c>
      <c r="G3" s="58">
        <f t="shared" si="4"/>
        <v>0.9166666667</v>
      </c>
      <c r="H3" s="59">
        <f t="shared" ref="H3:I3" si="5">F3-NOW()</f>
        <v>-43599.07173</v>
      </c>
      <c r="I3" s="59">
        <f t="shared" si="5"/>
        <v>-43598.80089</v>
      </c>
      <c r="J3" s="56" t="s">
        <v>108</v>
      </c>
      <c r="K3" s="57">
        <v>0.020833333333333332</v>
      </c>
      <c r="L3" s="60" t="str">
        <f t="shared" si="6"/>
        <v>OPEN</v>
      </c>
      <c r="M3" s="61">
        <f t="shared" si="7"/>
        <v>0.1990972222</v>
      </c>
    </row>
    <row r="4">
      <c r="A4" s="56" t="s">
        <v>113</v>
      </c>
      <c r="B4" s="56" t="str">
        <f t="shared" si="3"/>
        <v>US</v>
      </c>
      <c r="C4" s="57">
        <v>0.25</v>
      </c>
      <c r="D4" s="58">
        <v>0.3958333333333333</v>
      </c>
      <c r="E4" s="58">
        <v>0.6666666666666666</v>
      </c>
      <c r="F4" s="58">
        <f t="shared" ref="F4:G4" si="8">D4+$C4</f>
        <v>0.6458333333</v>
      </c>
      <c r="G4" s="58">
        <f t="shared" si="8"/>
        <v>0.9166666667</v>
      </c>
      <c r="H4" s="59">
        <f t="shared" ref="H4:I4" si="9">F4-NOW()</f>
        <v>-43599.07173</v>
      </c>
      <c r="I4" s="59">
        <f t="shared" si="9"/>
        <v>-43598.80089</v>
      </c>
      <c r="J4" s="56" t="s">
        <v>108</v>
      </c>
      <c r="K4" s="57">
        <v>0.020833333333333332</v>
      </c>
      <c r="L4" s="60" t="str">
        <f t="shared" si="6"/>
        <v>OPEN</v>
      </c>
      <c r="M4" s="61">
        <f t="shared" si="7"/>
        <v>0.1990972222</v>
      </c>
    </row>
    <row r="5">
      <c r="A5" s="56" t="s">
        <v>114</v>
      </c>
      <c r="B5" s="56" t="str">
        <f t="shared" si="3"/>
        <v>LN</v>
      </c>
      <c r="C5" s="57">
        <v>0.041666666666666664</v>
      </c>
      <c r="D5" s="58">
        <v>0.3333333333333333</v>
      </c>
      <c r="E5" s="58">
        <v>0.6875</v>
      </c>
      <c r="F5" s="58">
        <f t="shared" ref="F5:G5" si="10">D5+$C5</f>
        <v>0.375</v>
      </c>
      <c r="G5" s="58">
        <f t="shared" si="10"/>
        <v>0.7291666667</v>
      </c>
      <c r="H5" s="59">
        <f t="shared" ref="H5:I5" si="11">F5-NOW()</f>
        <v>-43599.34256</v>
      </c>
      <c r="I5" s="59">
        <f t="shared" si="11"/>
        <v>-43598.98839</v>
      </c>
      <c r="J5" s="56" t="s">
        <v>108</v>
      </c>
      <c r="K5" s="57">
        <v>0.020833333333333332</v>
      </c>
      <c r="L5" s="60" t="str">
        <f t="shared" si="6"/>
        <v>OPEN</v>
      </c>
      <c r="M5" s="61">
        <f t="shared" si="7"/>
        <v>0.01159722222</v>
      </c>
    </row>
    <row r="6">
      <c r="A6" s="56" t="s">
        <v>115</v>
      </c>
      <c r="B6" s="56" t="str">
        <f t="shared" si="3"/>
        <v>NA</v>
      </c>
      <c r="C6" s="57"/>
      <c r="D6" s="58">
        <v>0.375</v>
      </c>
      <c r="E6" s="58">
        <v>0.7361111111111112</v>
      </c>
      <c r="F6" s="58">
        <f t="shared" ref="F6:G6" si="12">D6+$C6</f>
        <v>0.375</v>
      </c>
      <c r="G6" s="58">
        <f t="shared" si="12"/>
        <v>0.7361111111</v>
      </c>
      <c r="H6" s="59">
        <f t="shared" ref="H6:I6" si="13">F6-NOW()</f>
        <v>-43599.34256</v>
      </c>
      <c r="I6" s="59">
        <f t="shared" si="13"/>
        <v>-43598.98145</v>
      </c>
      <c r="J6" s="56" t="s">
        <v>108</v>
      </c>
      <c r="K6" s="57">
        <v>0.013888888888888888</v>
      </c>
      <c r="L6" s="60" t="str">
        <f t="shared" si="6"/>
        <v>OPEN</v>
      </c>
      <c r="M6" s="61">
        <f t="shared" si="7"/>
        <v>0.01854166667</v>
      </c>
    </row>
    <row r="7">
      <c r="A7" s="56" t="s">
        <v>118</v>
      </c>
      <c r="B7" s="56" t="str">
        <f t="shared" si="3"/>
        <v>FP</v>
      </c>
      <c r="C7" s="62"/>
      <c r="D7" s="58">
        <v>0.375</v>
      </c>
      <c r="E7" s="58">
        <v>0.7291666666666666</v>
      </c>
      <c r="F7" s="58">
        <f t="shared" ref="F7:G7" si="14">D7+$C7</f>
        <v>0.375</v>
      </c>
      <c r="G7" s="58">
        <f t="shared" si="14"/>
        <v>0.7291666667</v>
      </c>
      <c r="H7" s="59">
        <f t="shared" ref="H7:I7" si="15">F7-NOW()</f>
        <v>-43599.34256</v>
      </c>
      <c r="I7" s="59">
        <f t="shared" si="15"/>
        <v>-43598.98839</v>
      </c>
      <c r="J7" s="56" t="s">
        <v>108</v>
      </c>
      <c r="K7" s="57">
        <v>0.020833333333333332</v>
      </c>
      <c r="L7" s="60" t="str">
        <f t="shared" si="6"/>
        <v>OPEN</v>
      </c>
      <c r="M7" s="61">
        <f t="shared" si="7"/>
        <v>0.01159722222</v>
      </c>
    </row>
    <row r="8">
      <c r="A8" s="56" t="s">
        <v>120</v>
      </c>
      <c r="B8" s="56" t="str">
        <f t="shared" si="3"/>
        <v>TH</v>
      </c>
      <c r="C8" s="62"/>
      <c r="D8" s="58">
        <v>0.3333333333333333</v>
      </c>
      <c r="E8" s="58">
        <v>0.8333333333333334</v>
      </c>
      <c r="F8" s="58">
        <f t="shared" ref="F8:G8" si="16">D8+$C8</f>
        <v>0.3333333333</v>
      </c>
      <c r="G8" s="58">
        <f t="shared" si="16"/>
        <v>0.8333333333</v>
      </c>
      <c r="H8" s="59">
        <f t="shared" ref="H8:I8" si="17">F8-NOW()</f>
        <v>-43599.38423</v>
      </c>
      <c r="I8" s="59">
        <f t="shared" si="17"/>
        <v>-43598.88423</v>
      </c>
      <c r="J8" s="56" t="s">
        <v>108</v>
      </c>
      <c r="K8" s="57">
        <v>0.020833333333333332</v>
      </c>
      <c r="L8" s="60" t="str">
        <f t="shared" si="6"/>
        <v>OPEN</v>
      </c>
      <c r="M8" s="61">
        <f t="shared" si="7"/>
        <v>0.1157638889</v>
      </c>
    </row>
    <row r="9">
      <c r="A9" s="56" t="s">
        <v>121</v>
      </c>
      <c r="B9" s="56" t="s">
        <v>122</v>
      </c>
      <c r="C9" s="62"/>
      <c r="D9" s="58">
        <v>0.375</v>
      </c>
      <c r="E9" s="58">
        <v>0.7291666666666666</v>
      </c>
      <c r="F9" s="58">
        <f t="shared" ref="F9:G9" si="18">D9+$C9</f>
        <v>0.375</v>
      </c>
      <c r="G9" s="58">
        <f t="shared" si="18"/>
        <v>0.7291666667</v>
      </c>
      <c r="H9" s="59">
        <f t="shared" ref="H9:I9" si="19">F9-NOW()</f>
        <v>-43599.34256</v>
      </c>
      <c r="I9" s="59">
        <f t="shared" si="19"/>
        <v>-43598.98839</v>
      </c>
      <c r="J9" s="56" t="s">
        <v>108</v>
      </c>
      <c r="K9" s="57">
        <v>0.020833333333333332</v>
      </c>
      <c r="L9" s="60" t="str">
        <f t="shared" si="6"/>
        <v>OPEN</v>
      </c>
      <c r="M9" s="61">
        <f t="shared" si="7"/>
        <v>0.01159722222</v>
      </c>
    </row>
    <row r="10">
      <c r="A10" s="56" t="s">
        <v>123</v>
      </c>
      <c r="B10" s="56" t="str">
        <f>SWITCH($A10,"AMS","NA","FRA","TH","NYSEARCA","US","NASDAQ","US","EPA","FP","BATS","US","LON","LN","SWX","SW")</f>
        <v>SW</v>
      </c>
      <c r="C10" s="62"/>
      <c r="D10" s="58">
        <v>0.375</v>
      </c>
      <c r="E10" s="58">
        <v>0.7291666666666666</v>
      </c>
      <c r="F10" s="58">
        <f t="shared" ref="F10:G10" si="20">D10+$C10</f>
        <v>0.375</v>
      </c>
      <c r="G10" s="58">
        <f t="shared" si="20"/>
        <v>0.7291666667</v>
      </c>
      <c r="H10" s="59">
        <f t="shared" ref="H10:I10" si="21">F10-NOW()</f>
        <v>-43599.34256</v>
      </c>
      <c r="I10" s="59">
        <f t="shared" si="21"/>
        <v>-43598.98839</v>
      </c>
      <c r="J10" s="56" t="s">
        <v>108</v>
      </c>
      <c r="K10" s="57">
        <v>0.020833333333333332</v>
      </c>
      <c r="L10" s="60" t="str">
        <f t="shared" si="6"/>
        <v>OPEN</v>
      </c>
      <c r="M10" s="61">
        <f t="shared" si="7"/>
        <v>0.01159722222</v>
      </c>
    </row>
    <row r="11">
      <c r="A11" s="56" t="s">
        <v>126</v>
      </c>
      <c r="B11" s="56" t="s">
        <v>127</v>
      </c>
      <c r="C11" s="62"/>
      <c r="D11" s="58">
        <v>0.375</v>
      </c>
      <c r="E11" s="58">
        <v>0.7291666666666666</v>
      </c>
      <c r="F11" s="58">
        <f t="shared" ref="F11:G11" si="22">D11+$C11</f>
        <v>0.375</v>
      </c>
      <c r="G11" s="58">
        <f t="shared" si="22"/>
        <v>0.7291666667</v>
      </c>
      <c r="H11" s="59">
        <f t="shared" ref="H11:I11" si="23">F11-NOW()</f>
        <v>-43599.34256</v>
      </c>
      <c r="I11" s="59">
        <f t="shared" si="23"/>
        <v>-43598.98839</v>
      </c>
      <c r="J11" s="56" t="s">
        <v>108</v>
      </c>
      <c r="K11" s="57">
        <v>0.020833333333333332</v>
      </c>
      <c r="L11" s="60" t="str">
        <f t="shared" si="6"/>
        <v>OPEN</v>
      </c>
      <c r="M11" s="61">
        <f t="shared" si="7"/>
        <v>0.01159722222</v>
      </c>
    </row>
  </sheetData>
  <conditionalFormatting sqref="B2:B11">
    <cfRule type="containsBlanks" dxfId="2" priority="1">
      <formula>LEN(TRIM(B2))=0</formula>
    </cfRule>
  </conditionalFormatting>
  <conditionalFormatting sqref="A1:B11 C1:M1">
    <cfRule type="expression" dxfId="3" priority="2">
      <formula>$D1="US"</formula>
    </cfRule>
  </conditionalFormatting>
  <conditionalFormatting sqref="A1:B11 C1:M1">
    <cfRule type="expression" dxfId="0" priority="3">
      <formula>VLOOKUP($A1,INDIRECT("Investment!$A:$A"),1,false) &lt;&gt; ""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85.14"/>
  </cols>
  <sheetData>
    <row r="1">
      <c r="A1" s="63" t="s">
        <v>131</v>
      </c>
      <c r="B1" s="63" t="s">
        <v>132</v>
      </c>
      <c r="C1" s="63" t="s">
        <v>133</v>
      </c>
      <c r="D1" s="63" t="s">
        <v>134</v>
      </c>
      <c r="E1" s="63" t="s">
        <v>135</v>
      </c>
    </row>
    <row r="2">
      <c r="A2" s="64">
        <f t="array" ref="A2">IF(ISNUMBER(INDEX(Investment!$S:$S,ROWS(Investment!$S:$S))),COUNTIFS(Investment!$V2:$V6,"&lt;&gt;HOLD*",Investment!$S2:$S6,"&lt;&gt;0"),0)</f>
        <v>0</v>
      </c>
      <c r="B2" s="65"/>
      <c r="C2" s="66"/>
      <c r="D2" s="56" t="s">
        <v>136</v>
      </c>
      <c r="E2" s="56" t="s">
        <v>137</v>
      </c>
    </row>
    <row r="3">
      <c r="A3" s="64">
        <f>COUNTIFS(Investment!$AM2:$AM6,"&lt;&gt;CLOSED",Investment!$AL2:$AL6,"&gt;"&amp;TIME(0,15,0),Investment!$AL2:$AL6,"&lt;"&amp;TIME(0,30,0))</f>
        <v>0</v>
      </c>
      <c r="B3" s="65"/>
      <c r="C3" s="66"/>
      <c r="D3" s="56" t="s">
        <v>143</v>
      </c>
      <c r="E3" s="56" t="s">
        <v>144</v>
      </c>
    </row>
    <row r="4">
      <c r="A4" s="64">
        <f>COUNTIFS(Historic!$H:$H,"XXXXXX")</f>
        <v>0</v>
      </c>
      <c r="B4" s="65"/>
      <c r="C4" s="66"/>
      <c r="D4" s="56" t="s">
        <v>145</v>
      </c>
      <c r="E4" s="56" t="s">
        <v>146</v>
      </c>
    </row>
    <row r="5">
      <c r="A5" s="64">
        <f>IF(AND(DAY(TODAY())&gt;=28,Allocation!$B$13&lt;&gt;Allocation!$B$14),Allocation!$B$13,0)</f>
        <v>0</v>
      </c>
      <c r="B5" s="65"/>
      <c r="C5" s="66"/>
      <c r="D5" s="56" t="s">
        <v>147</v>
      </c>
      <c r="E5" s="56" t="s">
        <v>148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7" t="s">
        <v>1</v>
      </c>
      <c r="B1" s="68">
        <f>B$33+B$25+B$18</f>
        <v>259750.68</v>
      </c>
    </row>
    <row r="2" ht="14.25" customHeight="1">
      <c r="A2" s="69" t="s">
        <v>151</v>
      </c>
      <c r="B2" s="70">
        <f>$B$3/$B$7</f>
        <v>0.4651538613</v>
      </c>
    </row>
    <row r="3" ht="14.25" customHeight="1">
      <c r="A3" s="71" t="s">
        <v>152</v>
      </c>
      <c r="B3" s="72">
        <f>B$33-B$41</f>
        <v>45373.7054</v>
      </c>
    </row>
    <row r="4" ht="14.25" customHeight="1">
      <c r="A4" s="71" t="s">
        <v>153</v>
      </c>
      <c r="B4" s="73">
        <f>B3/B$7/B$8</f>
        <v>0.05739778643</v>
      </c>
    </row>
    <row r="5" ht="14.25" customHeight="1">
      <c r="A5" s="71" t="s">
        <v>154</v>
      </c>
      <c r="B5" s="72">
        <f>SUMIF(Historic!D:D,"=DIVIDEND",Historic!G:G)</f>
        <v>18599.09</v>
      </c>
    </row>
    <row r="6" ht="14.25" customHeight="1">
      <c r="A6" s="71" t="s">
        <v>157</v>
      </c>
      <c r="B6" s="73">
        <f>B5/B$7/B$8</f>
        <v>0.02352786898</v>
      </c>
    </row>
    <row r="7" ht="14.25" customHeight="1">
      <c r="A7" s="71" t="s">
        <v>158</v>
      </c>
      <c r="B7" s="74">
        <f>AVERAGE(AllocationHistoric!B:B)</f>
        <v>97545.58475</v>
      </c>
    </row>
    <row r="8" ht="14.25" hidden="1" customHeight="1">
      <c r="A8" s="71" t="s">
        <v>159</v>
      </c>
      <c r="B8" s="75">
        <f t="array" ref="B8">(TODAY()-INDEX(Historic!A:A, ROWS(Historic!A:A)))/365.25</f>
        <v>8.10403833</v>
      </c>
    </row>
    <row r="9" ht="14.25" customHeight="1">
      <c r="A9" s="71" t="s">
        <v>159</v>
      </c>
      <c r="B9" s="76" t="str">
        <f>ROUNDUP(B8*12) &amp; " months (" &amp; ROUNDUP(B8,1) &amp;  " years)"</f>
        <v>98 months (8.2 years)</v>
      </c>
    </row>
    <row r="10" ht="14.25" customHeight="1">
      <c r="A10" s="71" t="s">
        <v>160</v>
      </c>
      <c r="B10" s="77" t="str">
        <f>ROUNDUP(B1/-B14,0) &amp; " months (" &amp;ROUNDUP(B1/-B14/12,1) &amp;  " years)"</f>
        <v>613 months (51.1 years)</v>
      </c>
    </row>
    <row r="11" ht="14.25" customHeight="1">
      <c r="A11" s="71" t="s">
        <v>161</v>
      </c>
      <c r="B11" s="77" t="str">
        <f>ROUNDUP(B12/(B13+B14),0) &amp; " months (" &amp;ROUNDUP(B12/(B13+B14)/12,1) &amp;  " years)"</f>
        <v>25 months (2.1 years)</v>
      </c>
    </row>
    <row r="12" ht="14.25" customHeight="1">
      <c r="A12" s="71" t="s">
        <v>162</v>
      </c>
      <c r="B12" s="72">
        <f>B$1+B$14*12/$B6</f>
        <v>43495.66781</v>
      </c>
    </row>
    <row r="13" ht="14.25" customHeight="1">
      <c r="A13" s="78" t="s">
        <v>166</v>
      </c>
      <c r="B13" s="79">
        <f>(B41+B25+B18)/(12*B8)</f>
        <v>2204.425393</v>
      </c>
    </row>
    <row r="14" ht="14.25" customHeight="1">
      <c r="A14" s="80" t="s">
        <v>14</v>
      </c>
      <c r="B14" s="81">
        <f>AVERAGE(Expenses!B:B)</f>
        <v>-424.0016327</v>
      </c>
    </row>
    <row r="15" ht="14.25" customHeight="1">
      <c r="A15" s="82" t="s">
        <v>167</v>
      </c>
      <c r="B15" s="83">
        <f>-B$14/B$13</f>
        <v>0.1923411126</v>
      </c>
    </row>
    <row r="16" ht="14.25" customHeight="1">
      <c r="A16" s="82" t="s">
        <v>10</v>
      </c>
      <c r="B16" s="84">
        <f t="array" ref="B16">INDEX(Expenses!B:B,2)</f>
        <v>-53</v>
      </c>
    </row>
    <row r="17" ht="14.25" customHeight="1">
      <c r="A17" s="82" t="s">
        <v>15</v>
      </c>
      <c r="B17" s="84">
        <f>B$21+B$14</f>
        <v>142.3619407</v>
      </c>
    </row>
    <row r="18" ht="14.25" customHeight="1">
      <c r="A18" s="82" t="s">
        <v>3</v>
      </c>
      <c r="B18" s="85">
        <f>SUM(BankAccount!B:B)</f>
        <v>41.42</v>
      </c>
    </row>
    <row r="19" ht="14.25" customHeight="1">
      <c r="A19" s="82" t="s">
        <v>168</v>
      </c>
      <c r="B19" s="86">
        <f>$B$20/$B$42*1000</f>
        <v>2.724444345</v>
      </c>
    </row>
    <row r="20" ht="14.25" customHeight="1">
      <c r="A20" s="82" t="s">
        <v>52</v>
      </c>
      <c r="B20" s="86">
        <f t="array" ref="B20">INDEX(Investment!$AS:$AS,ROWS(Investment!$AS:$AS))+$B$53</f>
        <v>612.8815459</v>
      </c>
    </row>
    <row r="21" ht="14.25" customHeight="1">
      <c r="A21" s="82" t="s">
        <v>169</v>
      </c>
      <c r="B21" s="86">
        <f t="array" ref="B21">INDEX(AllocationHistoric!J:J,2)</f>
        <v>566.3635734</v>
      </c>
    </row>
    <row r="22" ht="14.25" customHeight="1">
      <c r="A22" s="82" t="s">
        <v>16</v>
      </c>
      <c r="B22" s="85">
        <f>SUM(Budget!B:B)</f>
        <v>-426.17</v>
      </c>
    </row>
    <row r="23" ht="14.25" customHeight="1">
      <c r="A23" s="82" t="s">
        <v>28</v>
      </c>
      <c r="B23" s="85">
        <f>AVERAGE(AllocationHistoric!$E:$E)</f>
        <v>6648.705395</v>
      </c>
    </row>
    <row r="24" ht="14.25" customHeight="1">
      <c r="A24" s="87" t="s">
        <v>32</v>
      </c>
      <c r="B24" s="88">
        <f>AVERAGE(AllocationHistoric!$K:$K)</f>
        <v>13.17124589</v>
      </c>
    </row>
    <row r="25" ht="14.25" customHeight="1">
      <c r="A25" s="89" t="s">
        <v>173</v>
      </c>
      <c r="B25" s="90">
        <f>SUM(B$26:B$28)</f>
        <v>-22764.44543</v>
      </c>
    </row>
    <row r="26" ht="14.25" customHeight="1">
      <c r="A26" s="89" t="s">
        <v>4</v>
      </c>
      <c r="B26" s="90">
        <f>SUMIF(Budget!J:J,"&gt;0")</f>
        <v>11000</v>
      </c>
    </row>
    <row r="27" ht="14.25" customHeight="1">
      <c r="A27" s="89" t="s">
        <v>5</v>
      </c>
      <c r="B27" s="90">
        <f>SUMIF(Budget!J:J,"&lt;0")</f>
        <v>-18637.3</v>
      </c>
    </row>
    <row r="28" ht="14.25" customHeight="1">
      <c r="A28" s="91" t="s">
        <v>6</v>
      </c>
      <c r="B28" s="92">
        <f>-SUM(Client!D:D)</f>
        <v>-15127.14543</v>
      </c>
    </row>
    <row r="29" ht="14.25" hidden="1" customHeight="1">
      <c r="A29" s="93" t="s">
        <v>174</v>
      </c>
      <c r="B29" s="94">
        <f t="array" ref="B29">(TODAY()-INDEX(Evolution!A:A, ROWS(Evolution!A:A)))/365.25</f>
        <v>3.54825462</v>
      </c>
    </row>
    <row r="30" ht="14.25" customHeight="1">
      <c r="A30" s="95" t="s">
        <v>174</v>
      </c>
      <c r="B30" s="96" t="str">
        <f>ROUNDUP(B29*12) &amp; " months (" &amp; ROUNDUP(B29,1) &amp;  " years)"</f>
        <v>43 months (3.6 years)</v>
      </c>
    </row>
    <row r="31" ht="14.25" customHeight="1">
      <c r="A31" s="97" t="s">
        <v>34</v>
      </c>
      <c r="B31" s="98">
        <f t="array" ref="B31">INDEX(Investment!N:N,ROWS(Investment!N:N))</f>
        <v>724228.7954</v>
      </c>
    </row>
    <row r="32" ht="14.25" customHeight="1">
      <c r="A32" s="97" t="s">
        <v>35</v>
      </c>
      <c r="B32" s="98">
        <f>SUM(Historic!G:G)</f>
        <v>-441755.09</v>
      </c>
    </row>
    <row r="33" ht="14.25" customHeight="1">
      <c r="A33" s="97" t="s">
        <v>36</v>
      </c>
      <c r="B33" s="98">
        <f>B31+B32</f>
        <v>282473.7054</v>
      </c>
    </row>
    <row r="34" ht="14.25" customHeight="1">
      <c r="A34" s="97" t="s">
        <v>37</v>
      </c>
      <c r="B34" s="98">
        <f t="array" ref="B34">$B$33+$B40-SUMIFS(Historic!G:G,Historic!A:A,"&gt;" &amp; DATE(2017,4,20),Historic!B:B,"")+INDEX(Investment!AK:AK,ROWS(Investment!AK:AK))</f>
        <v>57517.1754</v>
      </c>
    </row>
    <row r="35" ht="14.25" customHeight="1">
      <c r="A35" s="97" t="s">
        <v>38</v>
      </c>
      <c r="B35" s="99">
        <f>B34/B$7/B$29</f>
        <v>0.1661786233</v>
      </c>
    </row>
    <row r="36" ht="14.25" customHeight="1">
      <c r="A36" s="97" t="s">
        <v>180</v>
      </c>
      <c r="B36" s="98">
        <f>B34-B38-B40</f>
        <v>49590.8654</v>
      </c>
    </row>
    <row r="37" ht="14.25" customHeight="1">
      <c r="A37" s="97" t="s">
        <v>181</v>
      </c>
      <c r="B37" s="99">
        <f>B36/B$7/B$29</f>
        <v>0.1432779284</v>
      </c>
    </row>
    <row r="38" ht="14.25" customHeight="1">
      <c r="A38" s="97" t="s">
        <v>182</v>
      </c>
      <c r="B38" s="98">
        <f>SUMIFS(Historic!G:G,Historic!D:D,"=DIVIDEND",Historic!B:B,"&lt;&gt;",Historic!H:H,"&lt;&gt;XXXXXX")</f>
        <v>15197</v>
      </c>
    </row>
    <row r="39" ht="14.25" customHeight="1">
      <c r="A39" s="100" t="s">
        <v>183</v>
      </c>
      <c r="B39" s="99">
        <f>B38/B$7/B$29</f>
        <v>0.04390717244</v>
      </c>
    </row>
    <row r="40" ht="14.25" customHeight="1">
      <c r="A40" s="100" t="s">
        <v>184</v>
      </c>
      <c r="B40" s="98">
        <f t="array" ref="B40">INDEX(Investment!AE:AE,ROWS(Investment!AE:AE))</f>
        <v>-7270.69</v>
      </c>
    </row>
    <row r="41" ht="14.25" customHeight="1">
      <c r="A41" s="101" t="s">
        <v>24</v>
      </c>
      <c r="B41" s="102">
        <f>SUMIF(Historic!D:D,"=APPROVISIONNEMENT",Historic!G:G)</f>
        <v>237100</v>
      </c>
    </row>
    <row r="42" ht="14.25" customHeight="1">
      <c r="A42" s="103" t="s">
        <v>26</v>
      </c>
      <c r="B42" s="104">
        <f>B33-B34</f>
        <v>224956.53</v>
      </c>
    </row>
    <row r="43" ht="14.25" customHeight="1">
      <c r="A43" s="103" t="s">
        <v>25</v>
      </c>
      <c r="B43" s="104">
        <f>B42-B41</f>
        <v>-12143.47</v>
      </c>
    </row>
    <row r="44" ht="14.25" customHeight="1">
      <c r="A44" s="103" t="s">
        <v>41</v>
      </c>
      <c r="B44" s="104">
        <f>Allocation!B12</f>
        <v>497000</v>
      </c>
    </row>
    <row r="45" ht="14.25" customHeight="1">
      <c r="A45" s="103" t="s">
        <v>44</v>
      </c>
      <c r="B45" s="105">
        <f>B44/B33</f>
        <v>1.759455802</v>
      </c>
    </row>
    <row r="46" ht="14.25" customHeight="1">
      <c r="A46" s="103" t="s">
        <v>42</v>
      </c>
      <c r="B46" s="104">
        <f>Allocation!B11</f>
        <v>65205.06678</v>
      </c>
    </row>
    <row r="47" ht="14.25" customHeight="1">
      <c r="A47" s="103" t="s">
        <v>43</v>
      </c>
      <c r="B47" s="104">
        <f>IF(Allocation!B14,Allocation!B14,Allocation!B13)</f>
        <v>500000</v>
      </c>
    </row>
    <row r="48" ht="14.25" customHeight="1">
      <c r="A48" s="106" t="s">
        <v>190</v>
      </c>
      <c r="B48" s="107">
        <f>(B38+B40)/B$7/B$29</f>
        <v>0.02290069487</v>
      </c>
    </row>
    <row r="49" ht="14.25" customHeight="1">
      <c r="A49" s="108" t="s">
        <v>191</v>
      </c>
      <c r="B49" s="109">
        <f>(SUMIFS(Historic!G:G,Historic!D:D,"=DIVIDEND",Historic!B:B,"&lt;&gt;",Historic!A:A,"&gt;=" &amp; DATE(YEAR(TODAY())-1,MONTH(TODAY())+1,1))+SUMIFS(Historic!G:G,Historic!D:D,"=COST",Historic!B:B,"",Historic!A:A,"&gt;=" &amp; DATE(YEAR(TODAY())-1,MONTH(TODAY())+1,1)))/AVERAGE(OFFSET(AllocationHistoric!B$1,1,0,12,1))</f>
        <v>0.0254618197</v>
      </c>
    </row>
    <row r="50" ht="14.25" customHeight="1">
      <c r="A50" s="108" t="s">
        <v>192</v>
      </c>
      <c r="B50" s="109">
        <v>0.0075</v>
      </c>
    </row>
    <row r="51" ht="14.25" customHeight="1">
      <c r="A51" s="108" t="s">
        <v>193</v>
      </c>
      <c r="B51" s="109">
        <f>IFERROR(__xludf.DUMMYFUNCTION("TO_PERCENT(VALUE(SUBSTITUTE(SUBSTITUTE(query(importhtml(""http://www.global-rates.com/interest-rates/eonia/eonia.aspx"",""table"",19), ""select Col2 limit 1 offset 0"", 1),""%"",""""),"","",""."")/100))"),-0.00365)</f>
        <v>-0.00365</v>
      </c>
    </row>
    <row r="52" ht="14.25" customHeight="1">
      <c r="A52" s="108" t="s">
        <v>45</v>
      </c>
      <c r="B52" s="109">
        <f>IFERROR(__xludf.DUMMYFUNCTION("TO_PERCENT(MAX(IFERROR($B$51,0),0)+0.0125)"),0.0125)</f>
        <v>0.0125</v>
      </c>
    </row>
    <row r="53" ht="14.25" customHeight="1">
      <c r="A53" s="108" t="s">
        <v>18</v>
      </c>
      <c r="B53" s="110">
        <f>MIN(Interest!J:J)</f>
        <v>-569.4791667</v>
      </c>
    </row>
    <row r="54" ht="14.25" customHeight="1">
      <c r="A54" s="111" t="s">
        <v>194</v>
      </c>
      <c r="B54" s="112">
        <f t="array" ref="B54">INDEX(Investment!$O:$O,ROWS(Investment!$O:$O))-INDEX(Investment!$N:$N,ROWS(Investment!$N:$N))</f>
        <v>55647.76439</v>
      </c>
    </row>
    <row r="55" ht="14.25" customHeight="1">
      <c r="A55" s="113" t="s">
        <v>57</v>
      </c>
      <c r="B55" s="114">
        <f t="array" ref="B55">INDEX(Investment!W:W,ROWS(Investment!W:W))</f>
        <v>2353.0974</v>
      </c>
    </row>
    <row r="56" ht="14.25" customHeight="1">
      <c r="A56" s="113" t="s">
        <v>49</v>
      </c>
      <c r="B56" s="115">
        <f>(COUNTIFS(Historic!$J:$J,"&lt;&gt;",Historic!$D:$D,"&lt;&gt;COST")-1)/DATEDIF(MINIFS(Historic!$A:$A,Historic!$J:$J,"&lt;&gt;'"),TODAY(),"M")</f>
        <v>12.40909091</v>
      </c>
    </row>
    <row r="57" ht="14.25" customHeight="1">
      <c r="A57" s="113" t="s">
        <v>47</v>
      </c>
      <c r="B57" s="116">
        <f>AVERAGE(Historic!$J:$J)</f>
        <v>86.58477713</v>
      </c>
    </row>
    <row r="58" ht="14.25" customHeight="1">
      <c r="A58" s="113" t="s">
        <v>51</v>
      </c>
      <c r="B58" s="116">
        <f>B56*B57</f>
        <v>1074.438371</v>
      </c>
    </row>
    <row r="59" ht="14.25" customHeight="1">
      <c r="A59" s="113" t="s">
        <v>53</v>
      </c>
      <c r="B59" s="116">
        <f>B58+B21</f>
        <v>1640.801944</v>
      </c>
    </row>
    <row r="60" ht="14.25" customHeight="1">
      <c r="A60" s="113" t="s">
        <v>198</v>
      </c>
      <c r="B60" s="116">
        <f>SUM(Historic!$I:$I)/(COUNT(Evolution!A:A)-1)</f>
        <v>58.51723554</v>
      </c>
    </row>
    <row r="61" ht="14.25" customHeight="1">
      <c r="A61" s="113" t="s">
        <v>199</v>
      </c>
      <c r="B61" s="116">
        <f>AVERAGE(Historic!$I:$I)</f>
        <v>152.346596</v>
      </c>
    </row>
    <row r="62" ht="14.25" customHeight="1">
      <c r="A62" s="113" t="s">
        <v>200</v>
      </c>
      <c r="B62" s="116">
        <f>B61*B56</f>
        <v>1890.482759</v>
      </c>
    </row>
    <row r="63" ht="14.25" customHeight="1">
      <c r="A63" s="113" t="s">
        <v>201</v>
      </c>
      <c r="B63" s="117">
        <f t="array" ref="B63">INDEX(Investment!AL:AL,ROWS(Investment!AL:AL))</f>
        <v>0.0003356481481</v>
      </c>
    </row>
    <row r="64" ht="14.25" customHeight="1">
      <c r="A64" s="113" t="s">
        <v>202</v>
      </c>
      <c r="B64" s="118" t="s">
        <v>203</v>
      </c>
    </row>
  </sheetData>
  <conditionalFormatting sqref="B15">
    <cfRule type="cellIs" dxfId="4" priority="1" operator="greaterThan">
      <formula>0.2</formula>
    </cfRule>
  </conditionalFormatting>
  <conditionalFormatting sqref="B18 B23:B24 B34:B39">
    <cfRule type="cellIs" dxfId="5" priority="2" operator="lessThan">
      <formula>0</formula>
    </cfRule>
  </conditionalFormatting>
  <conditionalFormatting sqref="B17">
    <cfRule type="cellIs" dxfId="4" priority="3" operator="lessThan">
      <formula>0</formula>
    </cfRule>
  </conditionalFormatting>
  <conditionalFormatting sqref="B16">
    <cfRule type="cellIs" dxfId="4" priority="4" operator="greaterThan">
      <formula>"B3"</formula>
    </cfRule>
  </conditionalFormatting>
  <conditionalFormatting sqref="B64">
    <cfRule type="cellIs" dxfId="5" priority="5" operator="greaterThanOrEqual">
      <formula>1</formula>
    </cfRule>
  </conditionalFormatting>
  <conditionalFormatting sqref="A1:B64">
    <cfRule type="expression" dxfId="0" priority="6">
      <formula>IFERROR(MATCH($A1,SPLIT(TEXTJOIN(";",TRUE,INDIRECT("Settings!$B$1:$F$6")),";"),0),-1)&gt;0</formula>
    </cfRule>
  </conditionalFormatting>
  <hyperlinks>
    <hyperlink r:id="rId2" ref="B6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4.43" defaultRowHeight="12.75"/>
  <cols>
    <col customWidth="1" hidden="1" min="1" max="1" width="9.71"/>
    <col customWidth="1" hidden="1" min="2" max="2" width="6.86"/>
    <col customWidth="1" hidden="1" min="3" max="3" width="14.71"/>
    <col customWidth="1" hidden="1" min="4" max="4" width="40.43"/>
    <col customWidth="1" min="5" max="5" width="29.71"/>
    <col customWidth="1" hidden="1" min="6" max="6" width="13.57"/>
    <col customWidth="1" hidden="1" min="7" max="7" width="8.14"/>
    <col customWidth="1" hidden="1" min="8" max="8" width="6.86"/>
    <col customWidth="1" hidden="1" min="9" max="9" width="7.29"/>
    <col customWidth="1" min="10" max="10" width="10.14"/>
    <col customWidth="1" hidden="1" min="11" max="11" width="8.43"/>
    <col customWidth="1" min="12" max="12" width="9.43"/>
    <col customWidth="1" min="13" max="14" width="12.0"/>
    <col customWidth="1" hidden="1" min="15" max="15" width="12.0"/>
    <col customWidth="1" hidden="1" min="16" max="16" width="13.29"/>
    <col customWidth="1" hidden="1" min="17" max="17" width="5.43"/>
    <col customWidth="1" min="18" max="18" width="10.57"/>
    <col customWidth="1" min="19" max="19" width="12.57"/>
    <col customWidth="1" hidden="1" min="20" max="20" width="10.57"/>
    <col customWidth="1" hidden="1" min="21" max="21" width="9.71"/>
    <col customWidth="1" min="22" max="22" width="14.0"/>
    <col customWidth="1" min="23" max="23" width="11.14"/>
    <col customWidth="1" min="24" max="24" width="7.0"/>
    <col customWidth="1" min="25" max="25" width="11.0"/>
    <col customWidth="1" min="26" max="26" width="6.43"/>
    <col customWidth="1" min="27" max="27" width="11.57"/>
    <col customWidth="1" min="28" max="28" width="7.0"/>
    <col customWidth="1" min="29" max="29" width="11.0"/>
    <col customWidth="1" min="30" max="30" width="9.14"/>
    <col customWidth="1" min="31" max="31" width="10.57"/>
    <col customWidth="1" min="32" max="32" width="10.86"/>
    <col customWidth="1" min="33" max="33" width="9.57"/>
    <col customWidth="1" min="34" max="34" width="6.86"/>
    <col customWidth="1" min="35" max="35" width="6.43"/>
    <col customWidth="1" min="36" max="36" width="7.0"/>
    <col customWidth="1" hidden="1" min="37" max="37" width="9.86"/>
    <col customWidth="1" min="38" max="39" width="8.86"/>
    <col customWidth="1" min="40" max="40" width="11.29"/>
    <col customWidth="1" min="41" max="42" width="10.43"/>
    <col customWidth="1" min="43" max="43" width="12.0"/>
    <col customWidth="1" min="44" max="44" width="9.86"/>
    <col customWidth="1" min="45" max="45" width="11.29"/>
    <col customWidth="1" min="46" max="47" width="11.0"/>
    <col customWidth="1" min="48" max="48" width="14.29"/>
    <col customWidth="1" min="49" max="49" width="13.29"/>
    <col customWidth="1" min="50" max="50" width="8.43"/>
    <col customWidth="1" min="51" max="51" width="13.29"/>
    <col customWidth="1" min="52" max="52" width="12.0"/>
    <col customWidth="1" min="53" max="53" width="11.0"/>
  </cols>
  <sheetData>
    <row r="1">
      <c r="A1" s="119" t="s">
        <v>95</v>
      </c>
      <c r="B1" s="119" t="s">
        <v>204</v>
      </c>
      <c r="C1" s="119" t="s">
        <v>205</v>
      </c>
      <c r="D1" s="119" t="s">
        <v>206</v>
      </c>
      <c r="E1" s="120" t="s">
        <v>59</v>
      </c>
      <c r="F1" s="119" t="s">
        <v>207</v>
      </c>
      <c r="G1" s="121" t="s">
        <v>208</v>
      </c>
      <c r="H1" s="119" t="s">
        <v>92</v>
      </c>
      <c r="I1" s="119" t="s">
        <v>211</v>
      </c>
      <c r="J1" s="122" t="s">
        <v>212</v>
      </c>
      <c r="K1" s="123" t="s">
        <v>213</v>
      </c>
      <c r="L1" s="123" t="s">
        <v>63</v>
      </c>
      <c r="M1" s="124" t="s">
        <v>214</v>
      </c>
      <c r="N1" s="124" t="s">
        <v>215</v>
      </c>
      <c r="O1" s="126" t="s">
        <v>216</v>
      </c>
      <c r="P1" s="63" t="s">
        <v>218</v>
      </c>
      <c r="Q1" s="63" t="s">
        <v>219</v>
      </c>
      <c r="R1" s="63" t="s">
        <v>221</v>
      </c>
      <c r="S1" s="63" t="s">
        <v>194</v>
      </c>
      <c r="T1" s="63" t="s">
        <v>223</v>
      </c>
      <c r="U1" s="129" t="s">
        <v>224</v>
      </c>
      <c r="V1" s="131" t="s">
        <v>224</v>
      </c>
      <c r="W1" s="138" t="s">
        <v>225</v>
      </c>
      <c r="X1" s="140" t="s">
        <v>231</v>
      </c>
      <c r="Y1" s="140" t="s">
        <v>232</v>
      </c>
      <c r="Z1" s="140" t="s">
        <v>231</v>
      </c>
      <c r="AA1" s="140" t="s">
        <v>233</v>
      </c>
      <c r="AB1" s="140" t="s">
        <v>231</v>
      </c>
      <c r="AC1" s="141" t="s">
        <v>234</v>
      </c>
      <c r="AD1" s="142" t="s">
        <v>231</v>
      </c>
      <c r="AE1" s="143" t="s">
        <v>208</v>
      </c>
      <c r="AF1" s="143" t="s">
        <v>235</v>
      </c>
      <c r="AG1" s="143" t="s">
        <v>236</v>
      </c>
      <c r="AH1" s="143" t="s">
        <v>237</v>
      </c>
      <c r="AI1" s="143" t="s">
        <v>238</v>
      </c>
      <c r="AJ1" s="145" t="s">
        <v>237</v>
      </c>
      <c r="AK1" s="143" t="s">
        <v>239</v>
      </c>
      <c r="AL1" s="143" t="s">
        <v>240</v>
      </c>
      <c r="AM1" s="143" t="s">
        <v>105</v>
      </c>
      <c r="AN1" s="143" t="s">
        <v>106</v>
      </c>
      <c r="AO1" s="143" t="s">
        <v>241</v>
      </c>
      <c r="AP1" s="143" t="s">
        <v>242</v>
      </c>
      <c r="AQ1" s="146" t="s">
        <v>242</v>
      </c>
      <c r="AR1" s="123" t="s">
        <v>247</v>
      </c>
      <c r="AS1" s="147" t="s">
        <v>248</v>
      </c>
      <c r="AT1" s="147" t="s">
        <v>249</v>
      </c>
      <c r="AU1" s="123" t="s">
        <v>250</v>
      </c>
      <c r="AV1" s="143" t="s">
        <v>251</v>
      </c>
      <c r="AW1" s="143" t="s">
        <v>252</v>
      </c>
      <c r="AX1" s="143" t="s">
        <v>231</v>
      </c>
      <c r="AY1" s="143" t="s">
        <v>253</v>
      </c>
      <c r="AZ1" s="148" t="s">
        <v>254</v>
      </c>
      <c r="BA1" s="148" t="s">
        <v>254</v>
      </c>
    </row>
    <row r="2">
      <c r="A2" s="56" t="s">
        <v>255</v>
      </c>
      <c r="B2" s="149" t="str">
        <f>IFERROR(__xludf.DUMMYFUNCTION("INDEX(Query(Selection!A:R,""SELECT A, MAX(R) WHERE G='""&amp; E2 &amp;""' GROUP BY A ORDER BY MAX(R) DESC LIMIT 1"",0),2,1)"),"IS04")</f>
        <v>IS04</v>
      </c>
      <c r="C2" s="150" t="str">
        <f>VLOOKUP($A2,Selection!$A:$G,5,false)</f>
        <v>IE00BSKRJZ44</v>
      </c>
      <c r="D2" s="151" t="str">
        <f>VLOOKUP($A2,Selection!$A:$G,6,false)</f>
        <v>iShares USD Treasury Bond 20+yr UCITS ETF</v>
      </c>
      <c r="E2" s="152" t="str">
        <f>VLOOKUP($A2,Selection!$A:$G,7,false)</f>
        <v>Long term US bonds (20-25 year)</v>
      </c>
      <c r="F2" s="153">
        <v>0.4</v>
      </c>
      <c r="G2" s="154">
        <f>MAXIFS(Selection!$O:$O,Selection!$A:$A,$A2)</f>
        <v>0.002</v>
      </c>
      <c r="H2" s="149" t="str">
        <f>VLOOKUP($A2,Selection!$A:$F,2,false)</f>
        <v>XETR</v>
      </c>
      <c r="I2" s="149" t="str">
        <f>VLOOKUP($A2,Selection!$A:$F,3,false)</f>
        <v>GR</v>
      </c>
      <c r="J2" s="155">
        <f>SUMIFS(Historic!E:E,Historic!D:D,"&lt;&gt;DIVIDEND",Historic!C:C,"=" &amp; D2)</f>
        <v>68148</v>
      </c>
      <c r="K2" s="156" t="str">
        <f>IF(OR($I2="US",$I2="LN"),MAXIFS(Selection!$H:$H,Selection!$A:$A,$A2),"")</f>
        <v/>
      </c>
      <c r="L2" s="157">
        <f t="array" ref="L2">IF($K2,$K2/INDEX($K:$K,ROWS($K:$K)),MAXIFS(Selection!$H:$H,Selection!$A:$A,$A2))</f>
        <v>4.2148</v>
      </c>
      <c r="M2" s="29">
        <f>IF($J2,-SUMIFS(Historic!G:G,Historic!D:D,"&lt;&gt;DIVIDEND",Historic!C:C,"=" &amp; D2)-$AK2,0)</f>
        <v>279006.89</v>
      </c>
      <c r="N2" s="158">
        <f t="shared" ref="N2:N6" si="2">L2*J2</f>
        <v>287230.1904</v>
      </c>
      <c r="O2" s="159">
        <f t="shared" ref="O2:O6" si="3">$O$7*$F2</f>
        <v>311950.6239</v>
      </c>
      <c r="P2" s="35">
        <f>-SUMIFS(Historic!G:G,Historic!C:C,"=" &amp; D2,Historic!E:E,"&lt;&gt;",Historic!A:A,"&gt;=" &amp; DATE(YEAR(TODAY()),MONTH(TODAY()),1),Historic!A:A,"&lt;=" &amp; EOMONTH(TODAY(),0))-SUMIFS(Historic!G:G,Historic!C:C,"=" &amp; D2,Historic!E:E,"&lt;&gt;",Historic!A:A,"XXXXXX")</f>
        <v>-11959.42</v>
      </c>
      <c r="Q2" s="160">
        <f t="shared" ref="Q2:Q6" si="4">RANK(AJ2,AJ$2:AJ$6,-1)-1</f>
        <v>1</v>
      </c>
      <c r="R2" s="161">
        <f t="shared" ref="R2:R6" si="5">ROUNDUP(S2/$L2)</f>
        <v>0</v>
      </c>
      <c r="S2" s="162">
        <f t="shared" ref="S2:S6" si="6">IF(AND(($O$7-$N$7)*$AH2&lt;0,OR($U2*$AJ2&gt;0,$U2*$AH2&lt;0)),IF(ABS(ROUNDDOWN(($O2-$N2+$T2)/$L2)*$L2)&gt;=1000,ROUNDDOWN(($O2-$N2+$T2)/$L2)*$L2,0),IF(AND(ABS(ROUNDDOWN(((-$U2-$AJ2*5)*$M2+$T2)/$L2)*$L2)&gt;=1000,((-$U2-$AJ2*5)*$M2+$T2)*($AG2-$L2)&gt;0),ROUNDDOWN(((-$U2-$AJ2*5)*$M2+$T2)/$L2)*$L2,IF($M2=0,$N$7/SUMIFS($F$2:$F$6,$J$2:$J$6,"&gt;0")*$F2,0)))</f>
        <v>0</v>
      </c>
      <c r="T2" s="163">
        <f t="shared" ref="T2:T6" si="7">ROUNDDOWN((INDEX($T:$T,ROWS($T:$T))-SUMIFS(T:T,Q:Q,"&lt;"&amp;Q2))/$L2)*$L2</f>
        <v>16.8592</v>
      </c>
      <c r="U2" s="164">
        <f t="array" ref="U2">INDEX(Evolution!$O:$S,2,ROW()-1)</f>
        <v>0.001874497763</v>
      </c>
      <c r="V2" s="164" t="str">
        <f t="array" ref="V2">IF(AND($S2&lt;&gt;0,OR(AND($S2&gt;0,$L2&lt;$AG2),AND($S2&lt;0,$L2&gt;$AG2),$M2=0),OR($S2*$U2&lt;0,($O$7-$N$7)*$AH2&lt;0)),IF(OR(AND($S2&gt;0,M2&lt;&gt;0),$U2&lt;AVERAGEIFS(INDEX(Evolution!$O:$S,0,ROW()-1),INDEX(Evolution!$O:$S,0,ROW()-1),"&lt;0",INDEX(Evolution!$O:$S,0,ROW()-1),"&gt;-0.03")*2),"BUY",IF(OR(AND($S2&lt;0,M2&lt;&gt;0),$U2&gt;AVERAGEIFS(INDEX(Evolution!$O:$S,0,ROW()-1),INDEX(Evolution!$O:$S,0,ROW()-1),"&gt;0",INDEX(Evolution!$O:$S,0,ROW()-1),"&lt;0.03")*2),"SELL","HOLD")),"HOLD") &amp; " (" &amp; ROUND($U2*100,2) &amp; "%)"</f>
        <v>HOLD (0.19%)</v>
      </c>
      <c r="W2" s="159">
        <f t="array" ref="W2">($L2-INDEX(Evolution!$J:$N,MIN(3,COLUMNS(Evolution!$J:$N)),ROW()-1))*$J2</f>
        <v>-354.3696</v>
      </c>
      <c r="X2" s="164">
        <f t="shared" ref="X2:X7" si="8">IF(OR(W2=0,$M2=0),0,W2/$M2)</f>
        <v>-0.00127011057</v>
      </c>
      <c r="Y2" s="35">
        <f>SUMIFS(Historic!G:G,Historic!D:D,"=DIVIDEND",Historic!C:C,"=" &amp; D2,Historic!A:A,"&lt;&gt;XXXXXX")</f>
        <v>0</v>
      </c>
      <c r="Z2" s="164">
        <f t="shared" ref="Z2:Z7" si="9">IF(OR(Y2=0,$M2=0),0,Y2/$M2)</f>
        <v>0</v>
      </c>
      <c r="AA2" s="35">
        <f t="shared" ref="AA2:AA6" si="10">N2-M2</f>
        <v>8223.3004</v>
      </c>
      <c r="AB2" s="164">
        <f t="shared" ref="AB2:AB7" si="11">IF(OR(AA2=0,$M2=0),0,AA2/$M2)</f>
        <v>0.02947346712</v>
      </c>
      <c r="AC2" s="165">
        <f t="shared" ref="AC2:AD2" si="1">Y2+AA2</f>
        <v>8223.3004</v>
      </c>
      <c r="AD2" s="166">
        <f t="shared" si="1"/>
        <v>0.02947346712</v>
      </c>
      <c r="AE2" s="162">
        <f>IF(OR(VLOOKUP($A2,Selection!$A:$D,COLUMN(D:D),false)="",AND($P2&lt;&gt;0,$S2&lt;&gt;0,OR(ABS($S2)&lt;=1000,SIGN($S2)&lt;&gt;SIGN($P2)))),2+0.02/100*ABS($S2),0)</f>
        <v>2</v>
      </c>
      <c r="AF2" s="167">
        <f t="shared" ref="AF2:AF6" si="13">IF($J2&lt;&gt;0,$M2/$J2,"")</f>
        <v>4.094131743</v>
      </c>
      <c r="AG2" s="167">
        <f t="array" ref="AG2">AVERAGEIFS(OFFSET(INDEX(Evolution!$J:$N,0,ROW()-1),0,0,ROWS(Evolution!$J:$N),1),Evolution!$A:$A,"&gt;" &amp; DATE(YEAR(TODAY())-1,MONTH(TODAY()),DAY(TODAY())))</f>
        <v>3.920250196</v>
      </c>
      <c r="AH2" s="164">
        <f t="shared" ref="AH2:AH6" si="14">1-$AG2/$L2</f>
        <v>0.06988464552</v>
      </c>
      <c r="AI2" s="168">
        <f t="shared" ref="AI2:AI6" si="15">IF($O$7,$N2/$AI$7,0)</f>
        <v>0.39660145</v>
      </c>
      <c r="AJ2" s="168">
        <f t="shared" ref="AJ2:AJ6" si="16">$AI2-$F2</f>
        <v>-0.003398549983</v>
      </c>
      <c r="AK2" s="169">
        <v>0.0</v>
      </c>
      <c r="AL2" s="170">
        <f>TIMEVALUE(NOW()-MAXIFS(Selection!$J:$J,Selection!$A:$A,$A2))+ROUNDDOWN(MAXIFS(Selection!$J:$J,Selection!$A:$A,$A2)-TODAY())</f>
        <v>0.0003356481481</v>
      </c>
      <c r="AM2" s="171" t="str">
        <f>VLOOKUP($H2,Market!$A:$M,12,false)</f>
        <v>OPEN</v>
      </c>
      <c r="AN2" s="170">
        <f>VLOOKUP($H2,Market!$A:$M,13,false)</f>
        <v>0.01159722222</v>
      </c>
      <c r="AO2" s="125">
        <f>IF(MAXIFS(Historic!$A:$A,Historic!$C:$C,LEFT($D2,40)&amp;"*",Historic!$D:$D,"DIVIDEND",Historic!$G:$G,"&gt;0")&lt;&gt;0,MAXIFS(Historic!$A:$A,Historic!$C:$C,LEFT($D2,40)&amp;"*",Historic!$D:$D,"DIVIDEND",Historic!$G:$G,"&gt;0"),"")</f>
        <v>43464</v>
      </c>
      <c r="AP2" s="125">
        <f>IF(MAXIFS(Historic!$A:$A,Historic!$C:$C,LEFT($D2,40)&amp;"*",Historic!$D:$D,"DIVIDEND",Historic!$A:$A,"&lt;"&amp;AO2)&lt;&gt;0,EDATE(AO2,DATEDIF(MAXIFS(Historic!$A:$A,Historic!$C:$C,LEFT($D2,40)&amp;"*",Historic!$D:$D,"DIVIDEND",Historic!$A:$A,"&lt;"&amp;AO2)-3,EOMONTH(AO2,0),"M")),"")</f>
        <v>43646</v>
      </c>
      <c r="AQ2" s="172" t="str">
        <f t="shared" ref="AQ2:AQ6" si="17">IF($AP2,$AP2-TODAY() &amp; "d (" &amp; ROUND(($AP2-TODAY())/30,1) &amp; "m)","")</f>
        <v>47d (1.6m)</v>
      </c>
      <c r="AR2" s="162">
        <f t="array" ref="AR2">J2*SUBSTITUTE(MAXIFS(Selection!$Q:$Q,Selection!$A:$A,$A2),"-","")/INDEX($K:$K,ROWS($K:$K))</f>
        <v>3845.303667</v>
      </c>
      <c r="AS2" s="158">
        <f t="shared" ref="AS2:AS6" si="18">ROUND(IF($AP2,12/DATEDIF($AO2,$AP2,"M"),1))*$AR2/12</f>
        <v>640.8839445</v>
      </c>
      <c r="AT2" s="163">
        <f t="shared" ref="AT2:AT6" si="19">IF(AND($AR2&lt;&gt;0,$AP2&lt;&gt;""),IF($AP2-TODAY()&lt;=15,$AR2,0),0)</f>
        <v>0</v>
      </c>
      <c r="AU2" s="173">
        <f t="array" ref="AU2">$L2/(1+MAXIFS(Selection!$M:$M,Selection!$F:$F,$D2))*IF($K2,INDEX($K:$K,ROWS($K:$K)),1)</f>
        <v>3.666637669</v>
      </c>
      <c r="AV2" s="158">
        <f>($L2-$AU2)*(Dashboard!$B$7*$AI2/$AU2)+SUMIFS(Historic!G:G,Historic!D:D,"=DIVIDEND",Historic!B:B,"=" &amp; $E2)</f>
        <v>14528.64469</v>
      </c>
      <c r="AW2" s="158">
        <f>MAXIFS(Selection!R:R,Selection!$F:$F,$D2)</f>
        <v>55004.10848</v>
      </c>
      <c r="AX2" s="164">
        <f>MAXIFS(Selection!S:S,Selection!$F:$F,$D2)</f>
        <v>1.409702669</v>
      </c>
      <c r="AY2" s="158">
        <f t="shared" ref="AY2:AY6" si="20">$AG2*$J2</f>
        <v>267157.2104</v>
      </c>
      <c r="AZ2" s="174">
        <f t="shared" ref="AZ2:AZ6" si="21">ROUNDDOWN(($O2-$N2+$T2)/$L2)*$L2</f>
        <v>24736.6612</v>
      </c>
      <c r="BA2" s="175">
        <f t="shared" ref="BA2:BA6" si="22">IF(ABS((-$U2-$AJ2*5)*$M2)&gt;=1,(-$U2-$AJ2*5)*$M2,0)</f>
        <v>4218.096515</v>
      </c>
    </row>
    <row r="3">
      <c r="A3" s="56" t="s">
        <v>287</v>
      </c>
      <c r="B3" s="149" t="str">
        <f>IFERROR(__xludf.DUMMYFUNCTION("INDEX(Query(Selection!A:R,""SELECT A, MAX(R) WHERE G='""&amp; E3 &amp;""' GROUP BY A ORDER BY MAX(R) DESC LIMIT 1"",0),2,1)"),"VOO")</f>
        <v>VOO</v>
      </c>
      <c r="C3" s="150" t="str">
        <f>VLOOKUP($A3,Selection!$A:$G,5,false)</f>
        <v>IE00B3XXRP09</v>
      </c>
      <c r="D3" s="151" t="str">
        <f>VLOOKUP($A3,Selection!$A:$G,6,false)</f>
        <v>Vanguard S&amp;P 500 UCITS ETF</v>
      </c>
      <c r="E3" s="152" t="str">
        <f>VLOOKUP($A3,Selection!$A:$G,7,false)</f>
        <v>Stocks</v>
      </c>
      <c r="F3" s="153">
        <v>0.3</v>
      </c>
      <c r="G3" s="154">
        <f>MAXIFS(Selection!$O:$O,Selection!$A:$A,$A3)</f>
        <v>0.0007</v>
      </c>
      <c r="H3" s="149" t="str">
        <f>VLOOKUP($A3,Selection!$A:$F,2,false)</f>
        <v>AMS</v>
      </c>
      <c r="I3" s="149" t="str">
        <f>VLOOKUP($A3,Selection!$A:$F,3,false)</f>
        <v>NA</v>
      </c>
      <c r="J3" s="155">
        <f>SUMIFS(Historic!E:E,Historic!D:D,"&lt;&gt;DIVIDEND",Historic!C:C,"=" &amp; D3)</f>
        <v>4429</v>
      </c>
      <c r="K3" s="156" t="str">
        <f>IF(OR($I3="US",$I3="LN"),MAXIFS(Selection!$H:$H,Selection!$A:$A,$A3),"")</f>
        <v/>
      </c>
      <c r="L3" s="157">
        <f t="array" ref="L3">IF($K3,$K3/INDEX($K:$K,ROWS($K:$K)),MAXIFS(Selection!$H:$H,Selection!$A:$A,$A3))</f>
        <v>48.03</v>
      </c>
      <c r="M3" s="29">
        <f>IF($J3,-SUMIFS(Historic!G:G,Historic!D:D,"&lt;&gt;DIVIDEND",Historic!C:C,"=" &amp; D3)-$AK3,0)</f>
        <v>193846.24</v>
      </c>
      <c r="N3" s="158">
        <f t="shared" si="2"/>
        <v>212724.87</v>
      </c>
      <c r="O3" s="159">
        <f t="shared" si="3"/>
        <v>233962.9679</v>
      </c>
      <c r="P3" s="35">
        <f>-SUMIFS(Historic!G:G,Historic!C:C,"=" &amp; D3,Historic!E:E,"&lt;&gt;",Historic!A:A,"&gt;=" &amp; DATE(YEAR(TODAY()),MONTH(TODAY()),1),Historic!A:A,"&lt;=" &amp; EOMONTH(TODAY(),0))-SUMIFS(Historic!G:G,Historic!C:C,"=" &amp; D3,Historic!E:E,"&lt;&gt;",Historic!A:A,"XXXXXX")</f>
        <v>0</v>
      </c>
      <c r="Q3" s="160">
        <f t="shared" si="4"/>
        <v>0</v>
      </c>
      <c r="R3" s="161">
        <f t="shared" si="5"/>
        <v>0</v>
      </c>
      <c r="S3" s="162">
        <f t="shared" si="6"/>
        <v>0</v>
      </c>
      <c r="T3" s="163">
        <f t="shared" si="7"/>
        <v>144.09</v>
      </c>
      <c r="U3" s="164">
        <f t="array" ref="U3">INDEX(Evolution!$O:$S,2,ROW()-1)</f>
        <v>-0.0001796051475</v>
      </c>
      <c r="V3" s="164" t="str">
        <f t="array" ref="V3">IF(AND($S3&lt;&gt;0,OR(AND($S3&gt;0,$L3&lt;$AG3),AND($S3&lt;0,$L3&gt;$AG3),$M3=0),OR($S3*$U3&lt;0,($O$7-$N$7)*$AH3&lt;0)),IF(OR(AND($S3&gt;0,M3&lt;&gt;0),$U3&lt;AVERAGEIFS(INDEX(Evolution!$O:$S,0,ROW()-1),INDEX(Evolution!$O:$S,0,ROW()-1),"&lt;0",INDEX(Evolution!$O:$S,0,ROW()-1),"&gt;-0.03")*2),"BUY",IF(OR(AND($S3&lt;0,M3&lt;&gt;0),$U3&gt;AVERAGEIFS(INDEX(Evolution!$O:$S,0,ROW()-1),INDEX(Evolution!$O:$S,0,ROW()-1),"&gt;0",INDEX(Evolution!$O:$S,0,ROW()-1),"&lt;0.03")*2),"SELL","HOLD")),"HOLD") &amp; " (" &amp; ROUND($U3*100,2) &amp; "%)"</f>
        <v>HOLD (-0.02%)</v>
      </c>
      <c r="W3" s="159">
        <f t="array" ref="W3">($L3-INDEX(Evolution!$J:$N,MIN(3,COLUMNS(Evolution!$J:$N)),ROW()-1))*$J3</f>
        <v>1860.18</v>
      </c>
      <c r="X3" s="164">
        <f t="shared" si="8"/>
        <v>0.009596162402</v>
      </c>
      <c r="Y3" s="35">
        <f>SUMIFS(Historic!G:G,Historic!D:D,"=DIVIDEND",Historic!C:C,"=" &amp; D3,Historic!A:A,"&lt;&gt;XXXXXX")</f>
        <v>4014.59</v>
      </c>
      <c r="Z3" s="164">
        <f t="shared" si="9"/>
        <v>0.0207101773</v>
      </c>
      <c r="AA3" s="35">
        <f t="shared" si="10"/>
        <v>18878.63</v>
      </c>
      <c r="AB3" s="164">
        <f t="shared" si="11"/>
        <v>0.09738971465</v>
      </c>
      <c r="AC3" s="165">
        <f t="shared" ref="AC3:AD3" si="12">Y3+AA3</f>
        <v>22893.22</v>
      </c>
      <c r="AD3" s="166">
        <f t="shared" si="12"/>
        <v>0.118099892</v>
      </c>
      <c r="AE3" s="162">
        <f>IF(OR(VLOOKUP($A3,Selection!$A:$D,COLUMN(D:D),false)="",AND($P3&lt;&gt;0,$S3&lt;&gt;0,OR(ABS($S3)&lt;=1000,SIGN($S3)&lt;&gt;SIGN($P3)))),2+0.02/100*ABS($S3),0)</f>
        <v>0</v>
      </c>
      <c r="AF3" s="167">
        <f t="shared" si="13"/>
        <v>43.76749605</v>
      </c>
      <c r="AG3" s="167">
        <f t="array" ref="AG3">AVERAGEIFS(OFFSET(INDEX(Evolution!$J:$N,0,ROW()-1),0,0,ROWS(Evolution!$J:$N),1),Evolution!$A:$A,"&gt;" &amp; DATE(YEAR(TODAY())-1,MONTH(TODAY()),DAY(TODAY())))</f>
        <v>45.92698824</v>
      </c>
      <c r="AH3" s="164">
        <f t="shared" si="14"/>
        <v>0.04378537924</v>
      </c>
      <c r="AI3" s="168">
        <f t="shared" si="15"/>
        <v>0.2937260592</v>
      </c>
      <c r="AJ3" s="168">
        <f t="shared" si="16"/>
        <v>-0.006273940844</v>
      </c>
      <c r="AK3" s="169">
        <v>0.0</v>
      </c>
      <c r="AL3" s="170">
        <f>TIMEVALUE(NOW()-MAXIFS(Selection!$J:$J,Selection!$A:$A,$A3))+ROUNDDOWN(MAXIFS(Selection!$J:$J,Selection!$A:$A,$A3)-TODAY())</f>
        <v>0.0003356481481</v>
      </c>
      <c r="AM3" s="171" t="str">
        <f>VLOOKUP($H3,Market!$A:$M,12,false)</f>
        <v>OPEN</v>
      </c>
      <c r="AN3" s="170">
        <f>VLOOKUP($H3,Market!$A:$M,13,false)</f>
        <v>0.01854166667</v>
      </c>
      <c r="AO3" s="125">
        <f>IF(MAXIFS(Historic!$A:$A,Historic!$C:$C,LEFT($D3,40)&amp;"*",Historic!$D:$D,"DIVIDEND",Historic!$G:$G,"&gt;0")&lt;&gt;0,MAXIFS(Historic!$A:$A,Historic!$C:$C,LEFT($D3,40)&amp;"*",Historic!$D:$D,"DIVIDEND",Historic!$G:$G,"&gt;0"),"")</f>
        <v>43565</v>
      </c>
      <c r="AP3" s="125">
        <f>IF(MAXIFS(Historic!$A:$A,Historic!$C:$C,LEFT($D3,40)&amp;"*",Historic!$D:$D,"DIVIDEND",Historic!$A:$A,"&lt;"&amp;AO3)&lt;&gt;0,EDATE(AO3,DATEDIF(MAXIFS(Historic!$A:$A,Historic!$C:$C,LEFT($D3,40)&amp;"*",Historic!$D:$D,"DIVIDEND",Historic!$A:$A,"&lt;"&amp;AO3)-3,EOMONTH(AO3,0),"M")),"")</f>
        <v>43656</v>
      </c>
      <c r="AQ3" s="172" t="str">
        <f t="shared" si="17"/>
        <v>57d (1.9m)</v>
      </c>
      <c r="AR3" s="162">
        <f t="array" ref="AR3">J3*SUBSTITUTE(MAXIFS(Selection!$Q:$Q,Selection!$A:$A,$A3),"-","")/INDEX($K:$K,ROWS($K:$K))</f>
        <v>925.1785244</v>
      </c>
      <c r="AS3" s="158">
        <f t="shared" si="18"/>
        <v>308.3928415</v>
      </c>
      <c r="AT3" s="163">
        <f t="shared" si="19"/>
        <v>0</v>
      </c>
      <c r="AU3" s="173">
        <f t="array" ref="AU3">$L3/(1+MAXIFS(Selection!$M:$M,Selection!$F:$F,$D3))*IF($K3,INDEX($K:$K,ROWS($K:$K)),1)</f>
        <v>42.43307713</v>
      </c>
      <c r="AV3" s="158">
        <f>($L3-$AU3)*(Dashboard!$B$7*$AI3/$AU3)+SUMIFS(Historic!G:G,Historic!D:D,"=DIVIDEND",Historic!B:B,"=" &amp; $E3)</f>
        <v>8090.136618</v>
      </c>
      <c r="AW3" s="158">
        <f>MAXIFS(Selection!R:R,Selection!$F:$F,$D3)</f>
        <v>35288.50736</v>
      </c>
      <c r="AX3" s="164">
        <f>MAXIFS(Selection!S:S,Selection!$F:$F,$D3)</f>
        <v>1.205880903</v>
      </c>
      <c r="AY3" s="158">
        <f t="shared" si="20"/>
        <v>203410.6309</v>
      </c>
      <c r="AZ3" s="174">
        <f t="shared" si="21"/>
        <v>21373.35</v>
      </c>
      <c r="BA3" s="175">
        <f t="shared" si="22"/>
        <v>6115.714996</v>
      </c>
    </row>
    <row r="4">
      <c r="A4" s="56" t="s">
        <v>292</v>
      </c>
      <c r="B4" s="149" t="str">
        <f>IFERROR(__xludf.DUMMYFUNCTION("INDEX(Query(Selection!A:R,""SELECT A, MAX(R) WHERE G='""&amp; E4 &amp;""' GROUP BY A ORDER BY MAX(R) DESC LIMIT 1"",0),2,1)"),"BTMA")</f>
        <v>BTMA</v>
      </c>
      <c r="C4" s="150" t="str">
        <f>VLOOKUP($A4,Selection!$A:$G,5,false)</f>
        <v>IE00B1FZS798</v>
      </c>
      <c r="D4" s="151" t="str">
        <f>VLOOKUP($A4,Selection!$A:$G,6,false)</f>
        <v>iShares USD Treasury Bond 7-10yr UCITS ETF</v>
      </c>
      <c r="E4" s="152" t="str">
        <f>VLOOKUP($A4,Selection!$A:$G,7,false)</f>
        <v>Intermediate US bonds (7-10 year)</v>
      </c>
      <c r="F4" s="153">
        <v>0.15</v>
      </c>
      <c r="G4" s="154">
        <f>MAXIFS(Selection!$O:$O,Selection!$A:$A,$A4)</f>
        <v>0.002</v>
      </c>
      <c r="H4" s="149" t="str">
        <f>VLOOKUP($A4,Selection!$A:$F,2,false)</f>
        <v>AMS</v>
      </c>
      <c r="I4" s="149" t="str">
        <f>VLOOKUP($A4,Selection!$A:$F,3,false)</f>
        <v>NA</v>
      </c>
      <c r="J4" s="155">
        <f>SUMIFS(Historic!E:E,Historic!D:D,"&lt;&gt;DIVIDEND",Historic!C:C,"=" &amp; D4)</f>
        <v>622</v>
      </c>
      <c r="K4" s="156" t="str">
        <f>IF(OR($I4="US",$I4="LN"),MAXIFS(Selection!$H:$H,Selection!$A:$A,$A4),"")</f>
        <v/>
      </c>
      <c r="L4" s="157">
        <f t="array" ref="L4">IF($K4,$K4/INDEX($K:$K,ROWS($K:$K)),MAXIFS(Selection!$H:$H,Selection!$A:$A,$A4))</f>
        <v>176.49</v>
      </c>
      <c r="M4" s="29">
        <f>IF($J4,-SUMIFS(Historic!G:G,Historic!D:D,"&lt;&gt;DIVIDEND",Historic!C:C,"=" &amp; D4)-$AK4,0)</f>
        <v>98818.44</v>
      </c>
      <c r="N4" s="158">
        <f t="shared" si="2"/>
        <v>109776.78</v>
      </c>
      <c r="O4" s="159">
        <f t="shared" si="3"/>
        <v>116981.484</v>
      </c>
      <c r="P4" s="35">
        <f>-SUMIFS(Historic!G:G,Historic!C:C,"=" &amp; D4,Historic!E:E,"&lt;&gt;",Historic!A:A,"&gt;=" &amp; DATE(YEAR(TODAY()),MONTH(TODAY()),1),Historic!A:A,"&lt;=" &amp; EOMONTH(TODAY(),0))-SUMIFS(Historic!G:G,Historic!C:C,"=" &amp; D4,Historic!E:E,"&lt;&gt;",Historic!A:A,"XXXXXX")</f>
        <v>-2286.46</v>
      </c>
      <c r="Q4" s="160">
        <f t="shared" si="4"/>
        <v>2</v>
      </c>
      <c r="R4" s="161">
        <f t="shared" si="5"/>
        <v>0</v>
      </c>
      <c r="S4" s="162">
        <f t="shared" si="6"/>
        <v>0</v>
      </c>
      <c r="T4" s="163">
        <f t="shared" si="7"/>
        <v>0</v>
      </c>
      <c r="U4" s="164">
        <f t="array" ref="U4">INDEX(Evolution!$O:$S,2,ROW()-1)</f>
        <v>0.001569389652</v>
      </c>
      <c r="V4" s="164" t="str">
        <f t="array" ref="V4">IF(AND($S4&lt;&gt;0,OR(AND($S4&gt;0,$L4&lt;$AG4),AND($S4&lt;0,$L4&gt;$AG4),$M4=0),OR($S4*$U4&lt;0,($O$7-$N$7)*$AH4&lt;0)),IF(OR(AND($S4&gt;0,M4&lt;&gt;0),$U4&lt;AVERAGEIFS(INDEX(Evolution!$O:$S,0,ROW()-1),INDEX(Evolution!$O:$S,0,ROW()-1),"&lt;0",INDEX(Evolution!$O:$S,0,ROW()-1),"&gt;-0.03")*2),"BUY",IF(OR(AND($S4&lt;0,M4&lt;&gt;0),$U4&gt;AVERAGEIFS(INDEX(Evolution!$O:$S,0,ROW()-1),INDEX(Evolution!$O:$S,0,ROW()-1),"&gt;0",INDEX(Evolution!$O:$S,0,ROW()-1),"&lt;0.03")*2),"SELL","HOLD")),"HOLD") &amp; " (" &amp; ROUND($U4*100,2) &amp; "%)"</f>
        <v>HOLD (0.16%)</v>
      </c>
      <c r="W4" s="159">
        <f t="array" ref="W4">($L4-INDEX(Evolution!$J:$N,MIN(3,COLUMNS(Evolution!$J:$N)),ROW()-1))*$J4</f>
        <v>236.36</v>
      </c>
      <c r="X4" s="164">
        <f t="shared" si="8"/>
        <v>0.002391861276</v>
      </c>
      <c r="Y4" s="35">
        <f>SUMIFS(Historic!G:G,Historic!D:D,"=DIVIDEND",Historic!C:C,"=" &amp; D4,Historic!A:A,"&lt;&gt;XXXXXX")</f>
        <v>1865.95</v>
      </c>
      <c r="Z4" s="164">
        <f t="shared" si="9"/>
        <v>0.01888260936</v>
      </c>
      <c r="AA4" s="35">
        <f t="shared" si="10"/>
        <v>10958.34</v>
      </c>
      <c r="AB4" s="164">
        <f t="shared" si="11"/>
        <v>0.1108936753</v>
      </c>
      <c r="AC4" s="165">
        <f t="shared" ref="AC4:AD4" si="23">Y4+AA4</f>
        <v>12824.29</v>
      </c>
      <c r="AD4" s="166">
        <f t="shared" si="23"/>
        <v>0.1297762847</v>
      </c>
      <c r="AE4" s="162">
        <f>IF(OR(VLOOKUP($A4,Selection!$A:$D,COLUMN(D:D),false)="",AND($P4&lt;&gt;0,$S4&lt;&gt;0,OR(ABS($S4)&lt;=1000,SIGN($S4)&lt;&gt;SIGN($P4)))),2+0.02/100*ABS($S4),0)</f>
        <v>0</v>
      </c>
      <c r="AF4" s="167">
        <f t="shared" si="13"/>
        <v>158.87209</v>
      </c>
      <c r="AG4" s="167">
        <f t="array" ref="AG4">AVERAGEIFS(OFFSET(INDEX(Evolution!$J:$N,0,ROW()-1),0,0,ROWS(Evolution!$J:$N),1),Evolution!$A:$A,"&gt;" &amp; DATE(YEAR(TODAY())-1,MONTH(TODAY()),DAY(TODAY())))</f>
        <v>165.6321176</v>
      </c>
      <c r="AH4" s="164">
        <f t="shared" si="14"/>
        <v>0.06152123266</v>
      </c>
      <c r="AI4" s="168">
        <f t="shared" si="15"/>
        <v>0.1515774859</v>
      </c>
      <c r="AJ4" s="168">
        <f t="shared" si="16"/>
        <v>0.001577485868</v>
      </c>
      <c r="AK4" s="169">
        <v>0.0</v>
      </c>
      <c r="AL4" s="170">
        <f>TIMEVALUE(NOW()-MAXIFS(Selection!$J:$J,Selection!$A:$A,$A4))+ROUNDDOWN(MAXIFS(Selection!$J:$J,Selection!$A:$A,$A4)-TODAY())</f>
        <v>0.0003356481481</v>
      </c>
      <c r="AM4" s="171" t="str">
        <f>VLOOKUP($H4,Market!$A:$M,12,false)</f>
        <v>OPEN</v>
      </c>
      <c r="AN4" s="170">
        <f>VLOOKUP($H4,Market!$A:$M,13,false)</f>
        <v>0.01854166667</v>
      </c>
      <c r="AO4" s="125">
        <f>IF(MAXIFS(Historic!$A:$A,Historic!$C:$C,LEFT($D4,40)&amp;"*",Historic!$D:$D,"DIVIDEND",Historic!$G:$G,"&gt;0")&lt;&gt;0,MAXIFS(Historic!$A:$A,Historic!$C:$C,LEFT($D4,40)&amp;"*",Historic!$D:$D,"DIVIDEND",Historic!$G:$G,"&gt;0"),"")</f>
        <v>43433</v>
      </c>
      <c r="AP4" s="125">
        <f>IF(MAXIFS(Historic!$A:$A,Historic!$C:$C,LEFT($D4,40)&amp;"*",Historic!$D:$D,"DIVIDEND",Historic!$A:$A,"&lt;"&amp;AO4)&lt;&gt;0,EDATE(AO4,DATEDIF(MAXIFS(Historic!$A:$A,Historic!$C:$C,LEFT($D4,40)&amp;"*",Historic!$D:$D,"DIVIDEND",Historic!$A:$A,"&lt;"&amp;AO4)-3,EOMONTH(AO4,0),"M")),"")</f>
        <v>43614</v>
      </c>
      <c r="AQ4" s="172" t="str">
        <f t="shared" si="17"/>
        <v>15d (0.5m)</v>
      </c>
      <c r="AR4" s="162">
        <f t="array" ref="AR4">J4*SUBSTITUTE(MAXIFS(Selection!$Q:$Q,Selection!$A:$A,$A4),"-","")/INDEX($K:$K,ROWS($K:$K))</f>
        <v>1398.50356</v>
      </c>
      <c r="AS4" s="158">
        <f t="shared" si="18"/>
        <v>233.0839267</v>
      </c>
      <c r="AT4" s="163">
        <f t="shared" si="19"/>
        <v>1398.50356</v>
      </c>
      <c r="AU4" s="173">
        <f t="array" ref="AU4">$L4/(1+MAXIFS(Selection!$M:$M,Selection!$F:$F,$D4))*IF($K4,INDEX($K:$K,ROWS($K:$K)),1)</f>
        <v>174.4489473</v>
      </c>
      <c r="AV4" s="158">
        <f>($L4-$AU4)*(Dashboard!$B$7*$AI4/$AU4)+SUMIFS(Historic!G:G,Historic!D:D,"=DIVIDEND",Historic!B:B,"=" &amp; $E4)</f>
        <v>2314.03286</v>
      </c>
      <c r="AW4" s="158">
        <f>MAXIFS(Selection!R:R,Selection!$F:$F,$D4)</f>
        <v>4114.620986</v>
      </c>
      <c r="AX4" s="164">
        <f>MAXIFS(Selection!S:S,Selection!$F:$F,$D4)</f>
        <v>0.28121013</v>
      </c>
      <c r="AY4" s="158">
        <f t="shared" si="20"/>
        <v>103023.1772</v>
      </c>
      <c r="AZ4" s="174">
        <f t="shared" si="21"/>
        <v>7059.6</v>
      </c>
      <c r="BA4" s="175">
        <f t="shared" si="22"/>
        <v>-934.5081002</v>
      </c>
    </row>
    <row r="5">
      <c r="A5" s="56" t="s">
        <v>305</v>
      </c>
      <c r="B5" s="149" t="str">
        <f>IFERROR(__xludf.DUMMYFUNCTION("INDEX(Query(Selection!A:R,""SELECT A, MAX(R) WHERE G='""&amp; E5 &amp;""' GROUP BY A ORDER BY MAX(R) DESC LIMIT 1"",0),2,1)"),"DBC")</f>
        <v>DBC</v>
      </c>
      <c r="C5" s="150" t="str">
        <f>VLOOKUP($A5,Selection!$A:$G,5,false)</f>
        <v>GB00B15KY989</v>
      </c>
      <c r="D5" s="151" t="str">
        <f>VLOOKUP($A5,Selection!$A:$G,6,false)</f>
        <v>ETFS All Commodities</v>
      </c>
      <c r="E5" s="152" t="str">
        <f>VLOOKUP($A5,Selection!$A:$G,7,false)</f>
        <v>Commodities</v>
      </c>
      <c r="F5" s="153">
        <v>0.075</v>
      </c>
      <c r="G5" s="154">
        <f>MAXIFS(Selection!$O:$O,Selection!$A:$A,$A5)</f>
        <v>0.0049</v>
      </c>
      <c r="H5" s="149" t="str">
        <f>VLOOKUP($A5,Selection!$A:$F,2,false)</f>
        <v>EPA</v>
      </c>
      <c r="I5" s="149" t="str">
        <f>VLOOKUP($A5,Selection!$A:$F,3,false)</f>
        <v>FP</v>
      </c>
      <c r="J5" s="155">
        <f>SUMIFS(Historic!E:E,Historic!D:D,"&lt;&gt;DIVIDEND",Historic!C:C,"=" &amp; D5)</f>
        <v>8177</v>
      </c>
      <c r="K5" s="156" t="str">
        <f>IF(OR($I5="US",$I5="LN"),MAXIFS(Selection!$H:$H,Selection!$A:$A,$A5),"")</f>
        <v/>
      </c>
      <c r="L5" s="157">
        <f t="array" ref="L5">IF($K5,$K5/INDEX($K:$K,ROWS($K:$K)),MAXIFS(Selection!$H:$H,Selection!$A:$A,$A5))</f>
        <v>7.175</v>
      </c>
      <c r="M5" s="29">
        <f>IF($J5,-SUMIFS(Historic!G:G,Historic!D:D,"&lt;&gt;DIVIDEND",Historic!C:C,"=" &amp; D5)-$AK5,0)</f>
        <v>60085.78</v>
      </c>
      <c r="N5" s="158">
        <f t="shared" si="2"/>
        <v>58669.975</v>
      </c>
      <c r="O5" s="159">
        <f t="shared" si="3"/>
        <v>58490.74198</v>
      </c>
      <c r="P5" s="35">
        <f>-SUMIFS(Historic!G:G,Historic!C:C,"=" &amp; D5,Historic!E:E,"&lt;&gt;",Historic!A:A,"&gt;=" &amp; DATE(YEAR(TODAY()),MONTH(TODAY()),1),Historic!A:A,"&lt;=" &amp; EOMONTH(TODAY(),0))-SUMIFS(Historic!G:G,Historic!C:C,"=" &amp; D5,Historic!E:E,"&lt;&gt;",Historic!A:A,"XXXXXX")</f>
        <v>3286.93</v>
      </c>
      <c r="Q5" s="160">
        <f t="shared" si="4"/>
        <v>4</v>
      </c>
      <c r="R5" s="161">
        <f t="shared" si="5"/>
        <v>0</v>
      </c>
      <c r="S5" s="162">
        <f t="shared" si="6"/>
        <v>0</v>
      </c>
      <c r="T5" s="163">
        <f t="shared" si="7"/>
        <v>0</v>
      </c>
      <c r="U5" s="164">
        <f t="array" ref="U5">INDEX(Evolution!$O:$S,2,ROW()-1)</f>
        <v>0.003616246355</v>
      </c>
      <c r="V5" s="164" t="str">
        <f t="array" ref="V5">IF(AND($S5&lt;&gt;0,OR(AND($S5&gt;0,$L5&lt;$AG5),AND($S5&lt;0,$L5&gt;$AG5),$M5=0),OR($S5*$U5&lt;0,($O$7-$N$7)*$AH5&lt;0)),IF(OR(AND($S5&gt;0,M5&lt;&gt;0),$U5&lt;AVERAGEIFS(INDEX(Evolution!$O:$S,0,ROW()-1),INDEX(Evolution!$O:$S,0,ROW()-1),"&lt;0",INDEX(Evolution!$O:$S,0,ROW()-1),"&gt;-0.03")*2),"BUY",IF(OR(AND($S5&lt;0,M5&lt;&gt;0),$U5&gt;AVERAGEIFS(INDEX(Evolution!$O:$S,0,ROW()-1),INDEX(Evolution!$O:$S,0,ROW()-1),"&gt;0",INDEX(Evolution!$O:$S,0,ROW()-1),"&lt;0.03")*2),"SELL","HOLD")),"HOLD") &amp; " (" &amp; ROUND($U5*100,2) &amp; "%)"</f>
        <v>HOLD (0.36%)</v>
      </c>
      <c r="W5" s="159">
        <f t="array" ref="W5">($L5-INDEX(Evolution!$J:$N,MIN(3,COLUMNS(Evolution!$J:$N)),ROW()-1))*$J5</f>
        <v>580.567</v>
      </c>
      <c r="X5" s="164">
        <f t="shared" si="8"/>
        <v>0.009662302794</v>
      </c>
      <c r="Y5" s="35">
        <f>SUMIFS(Historic!G:G,Historic!D:D,"=DIVIDEND",Historic!C:C,"=" &amp; D5,Historic!A:A,"&lt;&gt;XXXXXX")</f>
        <v>0</v>
      </c>
      <c r="Z5" s="164">
        <f t="shared" si="9"/>
        <v>0</v>
      </c>
      <c r="AA5" s="35">
        <f t="shared" si="10"/>
        <v>-1415.805</v>
      </c>
      <c r="AB5" s="164">
        <f t="shared" si="11"/>
        <v>-0.02356306267</v>
      </c>
      <c r="AC5" s="176">
        <f t="shared" ref="AC5:AD5" si="24">Y5+AA5</f>
        <v>-1415.805</v>
      </c>
      <c r="AD5" s="166">
        <f t="shared" si="24"/>
        <v>-0.02356306267</v>
      </c>
      <c r="AE5" s="162">
        <f>IF(OR(VLOOKUP($A5,Selection!$A:$D,COLUMN(D:D),false)="",AND($P5&lt;&gt;0,$S5&lt;&gt;0,OR(ABS($S5)&lt;=1000,SIGN($S5)&lt;&gt;SIGN($P5)))),2+0.02/100*ABS($S5),0)</f>
        <v>0</v>
      </c>
      <c r="AF5" s="167">
        <f t="shared" si="13"/>
        <v>7.348144796</v>
      </c>
      <c r="AG5" s="167">
        <f t="array" ref="AG5">AVERAGEIFS(OFFSET(INDEX(Evolution!$J:$N,0,ROW()-1),0,0,ROWS(Evolution!$J:$N),1),Evolution!$A:$A,"&gt;" &amp; DATE(YEAR(TODAY())-1,MONTH(TODAY()),DAY(TODAY())))</f>
        <v>7.397023529</v>
      </c>
      <c r="AH5" s="164">
        <f t="shared" si="14"/>
        <v>-0.03094404591</v>
      </c>
      <c r="AI5" s="168">
        <f t="shared" si="15"/>
        <v>0.08101027655</v>
      </c>
      <c r="AJ5" s="168">
        <f t="shared" si="16"/>
        <v>0.006010276549</v>
      </c>
      <c r="AK5" s="169">
        <v>0.01</v>
      </c>
      <c r="AL5" s="170">
        <f>TIMEVALUE(NOW()-MAXIFS(Selection!$J:$J,Selection!$A:$A,$A5))+ROUNDDOWN(MAXIFS(Selection!$J:$J,Selection!$A:$A,$A5)-TODAY())</f>
        <v>0.0003356481481</v>
      </c>
      <c r="AM5" s="171" t="str">
        <f>VLOOKUP($H5,Market!$A:$M,12,false)</f>
        <v>OPEN</v>
      </c>
      <c r="AN5" s="170">
        <f>VLOOKUP($H5,Market!$A:$M,13,false)</f>
        <v>0.01159722222</v>
      </c>
      <c r="AO5" s="125" t="str">
        <f>IF(MAXIFS(Historic!$A:$A,Historic!$C:$C,LEFT($D5,40)&amp;"*",Historic!$D:$D,"DIVIDEND",Historic!$G:$G,"&gt;0")&lt;&gt;0,MAXIFS(Historic!$A:$A,Historic!$C:$C,LEFT($D5,40)&amp;"*",Historic!$D:$D,"DIVIDEND",Historic!$G:$G,"&gt;0"),"")</f>
        <v/>
      </c>
      <c r="AP5" s="125" t="str">
        <f>IF(MAXIFS(Historic!$A:$A,Historic!$C:$C,LEFT($D5,40)&amp;"*",Historic!$D:$D,"DIVIDEND",Historic!$A:$A,"&lt;"&amp;AO5)&lt;&gt;0,EDATE(AO5,DATEDIF(MAXIFS(Historic!$A:$A,Historic!$C:$C,LEFT($D5,40)&amp;"*",Historic!$D:$D,"DIVIDEND",Historic!$A:$A,"&lt;"&amp;AO5)-3,EOMONTH(AO5,0),"M")),"")</f>
        <v/>
      </c>
      <c r="AQ5" s="172" t="str">
        <f t="shared" si="17"/>
        <v/>
      </c>
      <c r="AR5" s="162">
        <f t="array" ref="AR5">J5*SUBSTITUTE(MAXIFS(Selection!$Q:$Q,Selection!$A:$A,$A5),"-","")/INDEX($K:$K,ROWS($K:$K))</f>
        <v>0</v>
      </c>
      <c r="AS5" s="158">
        <f t="shared" si="18"/>
        <v>0</v>
      </c>
      <c r="AT5" s="163">
        <f t="shared" si="19"/>
        <v>0</v>
      </c>
      <c r="AU5" s="173">
        <f t="array" ref="AU5">$L5/(1+MAXIFS(Selection!$M:$M,Selection!$F:$F,$D5))*IF($K5,INDEX($K:$K,ROWS($K:$K)),1)</f>
        <v>7.24893918</v>
      </c>
      <c r="AV5" s="158">
        <f>($L5-$AU5)*(Dashboard!$B$7*$AI5/$AU5)+SUMIFS(Historic!G:G,Historic!D:D,"=DIVIDEND",Historic!B:B,"=" &amp; $E5)</f>
        <v>-80.60238693</v>
      </c>
      <c r="AW5" s="158">
        <f>MAXIFS(Selection!R:R,Selection!$F:$F,$D5)</f>
        <v>-895.2561511</v>
      </c>
      <c r="AX5" s="164">
        <f>MAXIFS(Selection!S:S,Selection!$F:$F,$D5)</f>
        <v>-0.1223709788</v>
      </c>
      <c r="AY5" s="158">
        <f t="shared" si="20"/>
        <v>60485.4614</v>
      </c>
      <c r="AZ5" s="174">
        <f t="shared" si="21"/>
        <v>-172.2</v>
      </c>
      <c r="BA5" s="175">
        <f t="shared" si="22"/>
        <v>-2022.945755</v>
      </c>
    </row>
    <row r="6">
      <c r="A6" s="56" t="s">
        <v>318</v>
      </c>
      <c r="B6" s="149" t="str">
        <f>IFERROR(__xludf.DUMMYFUNCTION("INDEX(Query(Selection!A:R,""SELECT A, MAX(R) WHERE G='""&amp; E6 &amp;""' GROUP BY A ORDER BY MAX(R) DESC LIMIT 1"",0),2,1)"),"PHAU")</f>
        <v>PHAU</v>
      </c>
      <c r="C6" s="150" t="str">
        <f>VLOOKUP($A6,Selection!$A:$G,5,false)</f>
        <v>JE00B1VS3770</v>
      </c>
      <c r="D6" s="151" t="str">
        <f>VLOOKUP($A6,Selection!$A:$G,6,false)</f>
        <v>ETFS Physical Gold</v>
      </c>
      <c r="E6" s="152" t="str">
        <f>VLOOKUP($A6,Selection!$A:$G,7,false)</f>
        <v>Gold</v>
      </c>
      <c r="F6" s="153">
        <v>0.075</v>
      </c>
      <c r="G6" s="154">
        <f>MAXIFS(Selection!$O:$O,Selection!$A:$A,$A6)</f>
        <v>0.0039</v>
      </c>
      <c r="H6" s="149" t="str">
        <f>VLOOKUP($A6,Selection!$A:$F,2,false)</f>
        <v>AMS</v>
      </c>
      <c r="I6" s="149" t="str">
        <f>VLOOKUP($A6,Selection!$A:$F,3,false)</f>
        <v>NA</v>
      </c>
      <c r="J6" s="155">
        <f>SUMIFS(Historic!E:E,Historic!D:D,"&lt;&gt;DIVIDEND",Historic!C:C,"=" &amp; D6)</f>
        <v>506</v>
      </c>
      <c r="K6" s="156" t="str">
        <f>IF(OR($I6="US",$I6="LN"),MAXIFS(Selection!$H:$H,Selection!$A:$A,$A6),"")</f>
        <v/>
      </c>
      <c r="L6" s="157">
        <f t="array" ref="L6">IF($K6,$K6/INDEX($K:$K,ROWS($K:$K)),MAXIFS(Selection!$H:$H,Selection!$A:$A,$A6))</f>
        <v>110.33</v>
      </c>
      <c r="M6" s="29">
        <f>IF($J6,-SUMIFS(Historic!G:G,Historic!D:D,"&lt;&gt;DIVIDEND",Historic!C:C,"=" &amp; D6)-$AK6,0)</f>
        <v>52182.09</v>
      </c>
      <c r="N6" s="158">
        <f t="shared" si="2"/>
        <v>55826.98</v>
      </c>
      <c r="O6" s="159">
        <f t="shared" si="3"/>
        <v>58490.74198</v>
      </c>
      <c r="P6" s="35">
        <f>-SUMIFS(Historic!G:G,Historic!C:C,"=" &amp; D6,Historic!E:E,"&lt;&gt;",Historic!A:A,"&gt;=" &amp; DATE(YEAR(TODAY()),MONTH(TODAY()),1),Historic!A:A,"&lt;=" &amp; EOMONTH(TODAY(),0))-SUMIFS(Historic!G:G,Historic!C:C,"=" &amp; D6,Historic!E:E,"&lt;&gt;",Historic!A:A,"XXXXXX")</f>
        <v>0</v>
      </c>
      <c r="Q6" s="160">
        <f t="shared" si="4"/>
        <v>3</v>
      </c>
      <c r="R6" s="161">
        <f t="shared" si="5"/>
        <v>0</v>
      </c>
      <c r="S6" s="162">
        <f t="shared" si="6"/>
        <v>0</v>
      </c>
      <c r="T6" s="163">
        <f t="shared" si="7"/>
        <v>0</v>
      </c>
      <c r="U6" s="164">
        <f t="array" ref="U6">INDEX(Evolution!$O:$S,2,ROW()-1)</f>
        <v>0.003631698212</v>
      </c>
      <c r="V6" s="164" t="str">
        <f t="array" ref="V6">IF(AND($S6&lt;&gt;0,OR(AND($S6&gt;0,$L6&lt;$AG6),AND($S6&lt;0,$L6&gt;$AG6),$M6=0),OR($S6*$U6&lt;0,($O$7-$N$7)*$AH6&lt;0)),IF(OR(AND($S6&gt;0,M6&lt;&gt;0),$U6&lt;AVERAGEIFS(INDEX(Evolution!$O:$S,0,ROW()-1),INDEX(Evolution!$O:$S,0,ROW()-1),"&lt;0",INDEX(Evolution!$O:$S,0,ROW()-1),"&gt;-0.03")*2),"BUY",IF(OR(AND($S6&lt;0,M6&lt;&gt;0),$U6&gt;AVERAGEIFS(INDEX(Evolution!$O:$S,0,ROW()-1),INDEX(Evolution!$O:$S,0,ROW()-1),"&gt;0",INDEX(Evolution!$O:$S,0,ROW()-1),"&lt;0.03")*2),"SELL","HOLD")),"HOLD") &amp; " (" &amp; ROUND($U6*100,2) &amp; "%)"</f>
        <v>HOLD (0.36%)</v>
      </c>
      <c r="W6" s="159">
        <f t="array" ref="W6">($L6-INDEX(Evolution!$J:$N,MIN(3,COLUMNS(Evolution!$J:$N)),ROW()-1))*$J6</f>
        <v>30.36</v>
      </c>
      <c r="X6" s="164">
        <f t="shared" si="8"/>
        <v>0.000581808816</v>
      </c>
      <c r="Y6" s="35">
        <f>SUMIFS(Historic!G:G,Historic!D:D,"=DIVIDEND",Historic!C:C,"=" &amp; D6,Historic!A:A,"&lt;&gt;XXXXXX")</f>
        <v>0</v>
      </c>
      <c r="Z6" s="164">
        <f t="shared" si="9"/>
        <v>0</v>
      </c>
      <c r="AA6" s="35">
        <f t="shared" si="10"/>
        <v>3644.89</v>
      </c>
      <c r="AB6" s="164">
        <f t="shared" si="11"/>
        <v>0.06984944451</v>
      </c>
      <c r="AC6" s="165">
        <f t="shared" ref="AC6:AD6" si="25">Y6+AA6</f>
        <v>3644.89</v>
      </c>
      <c r="AD6" s="166">
        <f t="shared" si="25"/>
        <v>0.06984944451</v>
      </c>
      <c r="AE6" s="162">
        <f>IF(OR(VLOOKUP($A6,Selection!$A:$D,COLUMN(D:D),false)="",AND($P6&lt;&gt;0,$S6&lt;&gt;0,OR(ABS($S6)&lt;=1000,SIGN($S6)&lt;&gt;SIGN($P6)))),2+0.02/100*ABS($S6),0)</f>
        <v>0</v>
      </c>
      <c r="AF6" s="167">
        <f t="shared" si="13"/>
        <v>103.1266601</v>
      </c>
      <c r="AG6" s="167">
        <f t="array" ref="AG6">AVERAGEIFS(OFFSET(INDEX(Evolution!$J:$N,0,ROW()-1),0,0,ROWS(Evolution!$J:$N),1),Evolution!$A:$A,"&gt;" &amp; DATE(YEAR(TODAY())-1,MONTH(TODAY()),DAY(TODAY())))</f>
        <v>104.8230588</v>
      </c>
      <c r="AH6" s="164">
        <f t="shared" si="14"/>
        <v>0.04991336152</v>
      </c>
      <c r="AI6" s="168">
        <f t="shared" si="15"/>
        <v>0.07708472841</v>
      </c>
      <c r="AJ6" s="168">
        <f t="shared" si="16"/>
        <v>0.00208472841</v>
      </c>
      <c r="AK6" s="177">
        <v>-0.01</v>
      </c>
      <c r="AL6" s="170">
        <f>TIMEVALUE(NOW()-MAXIFS(Selection!$J:$J,Selection!$A:$A,$A6))+ROUNDDOWN(MAXIFS(Selection!$J:$J,Selection!$A:$A,$A6)-TODAY())</f>
        <v>0.0003356481481</v>
      </c>
      <c r="AM6" s="171" t="str">
        <f>VLOOKUP($H6,Market!$A:$M,12,false)</f>
        <v>OPEN</v>
      </c>
      <c r="AN6" s="170">
        <f>VLOOKUP($H6,Market!$A:$M,13,false)</f>
        <v>0.01854166667</v>
      </c>
      <c r="AO6" s="125" t="str">
        <f>IF(MAXIFS(Historic!$A:$A,Historic!$C:$C,LEFT($D6,40)&amp;"*",Historic!$D:$D,"DIVIDEND",Historic!$G:$G,"&gt;0")&lt;&gt;0,MAXIFS(Historic!$A:$A,Historic!$C:$C,LEFT($D6,40)&amp;"*",Historic!$D:$D,"DIVIDEND",Historic!$G:$G,"&gt;0"),"")</f>
        <v/>
      </c>
      <c r="AP6" s="125" t="str">
        <f>IF(MAXIFS(Historic!$A:$A,Historic!$C:$C,LEFT($D6,40)&amp;"*",Historic!$D:$D,"DIVIDEND",Historic!$A:$A,"&lt;"&amp;AO6)&lt;&gt;0,EDATE(AO6,DATEDIF(MAXIFS(Historic!$A:$A,Historic!$C:$C,LEFT($D6,40)&amp;"*",Historic!$D:$D,"DIVIDEND",Historic!$A:$A,"&lt;"&amp;AO6)-3,EOMONTH(AO6,0),"M")),"")</f>
        <v/>
      </c>
      <c r="AQ6" s="172" t="str">
        <f t="shared" si="17"/>
        <v/>
      </c>
      <c r="AR6" s="162">
        <f t="array" ref="AR6">J6*SUBSTITUTE(MAXIFS(Selection!$Q:$Q,Selection!$A:$A,$A6),"-","")/INDEX($K:$K,ROWS($K:$K))</f>
        <v>0</v>
      </c>
      <c r="AS6" s="158">
        <f t="shared" si="18"/>
        <v>0</v>
      </c>
      <c r="AT6" s="163">
        <f t="shared" si="19"/>
        <v>0</v>
      </c>
      <c r="AU6" s="173">
        <f t="array" ref="AU6">$L6/(1+MAXIFS(Selection!$M:$M,Selection!$F:$F,$D6))*IF($K6,INDEX($K:$K,ROWS($K:$K)),1)</f>
        <v>107.1477129</v>
      </c>
      <c r="AV6" s="158">
        <f>($L6-$AU6)*(Dashboard!$B$7*$AI6/$AU6)+SUMIFS(Historic!G:G,Historic!D:D,"=DIVIDEND",Historic!B:B,"=" &amp; $E6)</f>
        <v>223.3224648</v>
      </c>
      <c r="AW6" s="158">
        <f>MAXIFS(Selection!R:R,Selection!$F:$F,$D6)</f>
        <v>1529.64296</v>
      </c>
      <c r="AX6" s="164">
        <f>MAXIFS(Selection!S:S,Selection!$F:$F,$D6)</f>
        <v>0.2090841889</v>
      </c>
      <c r="AY6" s="158">
        <f t="shared" si="20"/>
        <v>53040.46776</v>
      </c>
      <c r="AZ6" s="174">
        <f t="shared" si="21"/>
        <v>2647.92</v>
      </c>
      <c r="BA6" s="175">
        <f t="shared" si="22"/>
        <v>-733.4370305</v>
      </c>
    </row>
    <row r="7">
      <c r="A7" s="178" t="str">
        <f>IF(COUNT($K$2:$K$6),$B$7,)</f>
        <v/>
      </c>
      <c r="B7" s="179" t="s">
        <v>337</v>
      </c>
      <c r="C7" s="179"/>
      <c r="D7" s="180" t="s">
        <v>338</v>
      </c>
      <c r="E7" s="180" t="s">
        <v>338</v>
      </c>
      <c r="F7" s="181">
        <f>SUM(F1:F6)</f>
        <v>1</v>
      </c>
      <c r="G7" s="182">
        <f>SUMPRODUCT(G2:G6,AI2:AI6)</f>
        <v>0.001999546909</v>
      </c>
      <c r="H7" s="183"/>
      <c r="I7" s="183"/>
      <c r="J7" s="184"/>
      <c r="K7" s="185">
        <f>MAXIFS(Selection!$H:$H,Selection!$A:$A,$B7)</f>
        <v>1.1236</v>
      </c>
      <c r="L7" s="186"/>
      <c r="M7" s="187">
        <f>SUM(M1:M6)-$AK$7</f>
        <v>683939.44</v>
      </c>
      <c r="N7" s="187">
        <f>SUM(N1:N6)</f>
        <v>724228.7954</v>
      </c>
      <c r="O7" s="188">
        <f>Dashboard!B33+MIN(MAX(Allocation!B$12,Allocation!B$14),Allocation!B$13)+Dashboard!B22+Dashboard!B53+$AT$7</f>
        <v>779876.5598</v>
      </c>
      <c r="P7" s="189">
        <f>SUM(P1:P6)</f>
        <v>-10958.95</v>
      </c>
      <c r="Q7" s="187"/>
      <c r="R7" s="187">
        <f>$O7-$N7</f>
        <v>55647.76439</v>
      </c>
      <c r="S7" s="187">
        <f>SUM(S1:S6)</f>
        <v>0</v>
      </c>
      <c r="T7" s="190">
        <f>$O$7-$N$7-SUM(ROUNDDOWN(($O2-$N2)/$L2)*$L2,ROUNDDOWN(($O3-$N3)/$L3)*$L3,ROUNDDOWN(($O4-$N4)/$L4)*$L4,ROUNDDOWN(($O5-$N5)/$L5)*$L5,ROUNDDOWN(($O6-$N6)/$L6)*$L6)</f>
        <v>163.3823933</v>
      </c>
      <c r="U7" s="189"/>
      <c r="V7" s="191" t="str">
        <f>IFERROR(__xludf.DUMMYFUNCTION("INDEX(SPLIT(IFERROR(VLOOKUP(""SELL*"",$V2:$V6,1,FALSE),IFERROR(VLOOKUP(""BUY*"",$V2:$V6,1,FALSE),""HOLD"")),"" ""),1,1)"),"HOLD")</f>
        <v>HOLD</v>
      </c>
      <c r="W7" s="188">
        <f>SUM(W1:W6)</f>
        <v>2353.0974</v>
      </c>
      <c r="X7" s="182">
        <f t="shared" si="8"/>
        <v>0.003440505493</v>
      </c>
      <c r="Y7" s="187">
        <f>SUM(Y1:Y6)</f>
        <v>5880.54</v>
      </c>
      <c r="Z7" s="182">
        <f t="shared" si="9"/>
        <v>0.008598041955</v>
      </c>
      <c r="AA7" s="187">
        <f>SUM(AA1:AA6)</f>
        <v>40289.3554</v>
      </c>
      <c r="AB7" s="182">
        <f t="shared" si="11"/>
        <v>0.05890778195</v>
      </c>
      <c r="AC7" s="192">
        <f>SUM(AC1:AC6)</f>
        <v>46169.8954</v>
      </c>
      <c r="AD7" s="182">
        <f>Z7+AB7</f>
        <v>0.06750582391</v>
      </c>
      <c r="AE7" s="193">
        <f>IFERROR(__xludf.DUMMYFUNCTION("SUMIFS(Historic!G:G,Historic!D:D,""=COST"",Historic!B:B,"""",Historic!A:A,""&gt;="" &amp; TO_DATE(INDEX(Evolution!A:A, ROWS(Evolution!A:A))))"),-7270.69)</f>
        <v>-7270.69</v>
      </c>
      <c r="AF7" s="194"/>
      <c r="AG7" s="187"/>
      <c r="AH7" s="195">
        <f>SUMPRODUCT(AH$2:AH$6,$F$2:$F$6)</f>
        <v>0.05174035555</v>
      </c>
      <c r="AI7" s="196">
        <f>$N7/SUMIFS($F2:$F6,$J2:$J6,"&gt;0")</f>
        <v>724228.7954</v>
      </c>
      <c r="AJ7" s="194"/>
      <c r="AK7" s="169">
        <v>0.0</v>
      </c>
      <c r="AL7" s="197">
        <f>TIMEVALUE(NOW()-MAX(Selection!$J:$J))+ROUNDDOWN(MAX(Selection!$J:$J)-TODAY())</f>
        <v>0.0003356481481</v>
      </c>
      <c r="AM7" s="198" t="str">
        <f>IFERROR(VLOOKUP("OPEN",$AM2:$AM6,1,FALSE),IFERROR(VLOOKUP("PRE",$AM2:$AM6,1,FALSE),"CLOSED"))</f>
        <v>OPEN</v>
      </c>
      <c r="AN7" s="198"/>
      <c r="AO7" s="199"/>
      <c r="AP7" s="199"/>
      <c r="AQ7" s="200"/>
      <c r="AR7" s="201"/>
      <c r="AS7" s="202">
        <f t="shared" ref="AS7:AT7" si="26">SUM(AS1:AS6)</f>
        <v>1182.360713</v>
      </c>
      <c r="AT7" s="202">
        <f t="shared" si="26"/>
        <v>1398.50356</v>
      </c>
      <c r="AU7" s="203"/>
      <c r="AV7" s="187">
        <f t="shared" ref="AV7:AW7" si="27">SUM(AV1:AV6)</f>
        <v>25075.53425</v>
      </c>
      <c r="AW7" s="187">
        <f t="shared" si="27"/>
        <v>95041.62364</v>
      </c>
      <c r="AX7" s="182">
        <f>AW7/Dashboard!$B$7</f>
        <v>0.9743303491</v>
      </c>
      <c r="AY7" s="187">
        <f t="shared" ref="AY7:BA7" si="28">SUM(AY1:AY6)</f>
        <v>687116.9476</v>
      </c>
      <c r="AZ7" s="204">
        <f t="shared" si="28"/>
        <v>55645.3312</v>
      </c>
      <c r="BA7" s="205">
        <f t="shared" si="28"/>
        <v>6642.920624</v>
      </c>
    </row>
  </sheetData>
  <conditionalFormatting sqref="AJ2:AJ6">
    <cfRule type="cellIs" dxfId="2" priority="1" operator="lessThan">
      <formula>-0.03</formula>
    </cfRule>
  </conditionalFormatting>
  <conditionalFormatting sqref="AJ2:AJ6">
    <cfRule type="cellIs" dxfId="6" priority="2" operator="greaterThan">
      <formula>0.03</formula>
    </cfRule>
  </conditionalFormatting>
  <conditionalFormatting sqref="S2:S6">
    <cfRule type="expression" dxfId="0" priority="3">
      <formula>AND(ABS(S2)&gt;=1000,LEFT(V2,4)&lt;&gt;"HOLD")</formula>
    </cfRule>
  </conditionalFormatting>
  <conditionalFormatting sqref="W2:AD7 AT2:AT7">
    <cfRule type="cellIs" dxfId="7" priority="4" operator="greaterThan">
      <formula>0</formula>
    </cfRule>
  </conditionalFormatting>
  <conditionalFormatting sqref="W2:AD7 AT2:AT7">
    <cfRule type="cellIs" dxfId="8" priority="5" operator="lessThan">
      <formula>0</formula>
    </cfRule>
  </conditionalFormatting>
  <conditionalFormatting sqref="B2:B6">
    <cfRule type="expression" dxfId="2" priority="6">
      <formula>B2&lt;&gt;A2</formula>
    </cfRule>
  </conditionalFormatting>
  <conditionalFormatting sqref="U2:V6">
    <cfRule type="beginsWith" dxfId="9" priority="7" operator="beginsWith" text="SELL">
      <formula>LEFT((U2),LEN("SELL"))=("SELL")</formula>
    </cfRule>
  </conditionalFormatting>
  <conditionalFormatting sqref="U2:V6">
    <cfRule type="beginsWith" dxfId="10" priority="8" operator="beginsWith" text="BUY">
      <formula>LEFT((U2),LEN("BUY"))=("BUY")</formula>
    </cfRule>
  </conditionalFormatting>
  <conditionalFormatting sqref="W1:AD7 AT2:AT7">
    <cfRule type="cellIs" dxfId="11" priority="9" operator="equal">
      <formula>0</formula>
    </cfRule>
  </conditionalFormatting>
  <conditionalFormatting sqref="AH1:AH7">
    <cfRule type="cellIs" dxfId="12" priority="10" operator="greaterThan">
      <formula>0</formula>
    </cfRule>
  </conditionalFormatting>
  <conditionalFormatting sqref="AH1:AH7">
    <cfRule type="cellIs" dxfId="13" priority="11" operator="lessThan">
      <formula>0</formula>
    </cfRule>
  </conditionalFormatting>
  <conditionalFormatting sqref="R2:S6">
    <cfRule type="expression" dxfId="0" priority="12">
      <formula>LEFT($V2,4)&lt;&gt;"HOLD"</formula>
    </cfRule>
  </conditionalFormatting>
  <conditionalFormatting sqref="R2:S6">
    <cfRule type="expression" dxfId="14" priority="13">
      <formula>LEFT($V2,4)="HOLD"</formula>
    </cfRule>
  </conditionalFormatting>
  <conditionalFormatting sqref="K2:K7 L2:L6">
    <cfRule type="expression" dxfId="2" priority="14">
      <formula>NOT(ISFORMULA(K2))</formula>
    </cfRule>
  </conditionalFormatting>
  <conditionalFormatting sqref="M2:M7">
    <cfRule type="expression" dxfId="15" priority="15">
      <formula>ABS($AK2)&gt;0.01</formula>
    </cfRule>
  </conditionalFormatting>
  <conditionalFormatting sqref="K2:L6">
    <cfRule type="expression" dxfId="16" priority="16">
      <formula>AND($AM2&lt;&gt;"CLOSED",$AL2&gt;TIME(0,16,0))</formula>
    </cfRule>
  </conditionalFormatting>
  <dataValidations>
    <dataValidation type="list" allowBlank="1" showErrorMessage="1" sqref="A6">
      <formula1>Selection!$A$31:$A$37</formula1>
    </dataValidation>
    <dataValidation type="list" allowBlank="1" showErrorMessage="1" sqref="A4">
      <formula1>Selection!$A$22:$A$24</formula1>
    </dataValidation>
    <dataValidation type="list" allowBlank="1" showErrorMessage="1" sqref="A5">
      <formula1>Selection!$A$25:$A$30</formula1>
    </dataValidation>
    <dataValidation type="list" allowBlank="1" showErrorMessage="1" sqref="A3">
      <formula1>Selection!$A$8:$A$21</formula1>
    </dataValidation>
    <dataValidation type="list" allowBlank="1" showErrorMessage="1" sqref="A2">
      <formula1>Selection!$A$2:$A$7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3" t="s">
        <v>2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83</v>
      </c>
      <c r="I1" s="3" t="s">
        <v>209</v>
      </c>
      <c r="J1" s="3" t="s">
        <v>210</v>
      </c>
      <c r="K1" s="3"/>
      <c r="L1" s="3"/>
      <c r="M1" s="3"/>
      <c r="N1" s="3"/>
      <c r="O1" s="3"/>
      <c r="P1" s="3" t="str">
        <f>IFERROR(__xludf.DUMMYFUNCTION("UNIQUE(K:M)"),"")</f>
        <v/>
      </c>
      <c r="Q1" s="3" t="str">
        <f>IFERROR(__xludf.DUMMYFUNCTION("""COMPUTED_VALUE"""),"")</f>
        <v/>
      </c>
      <c r="R1" s="3" t="str">
        <f>IFERROR(__xludf.DUMMYFUNCTION("""COMPUTED_VALUE"""),"")</f>
        <v/>
      </c>
    </row>
    <row r="2">
      <c r="A2" s="125">
        <v>43599.0</v>
      </c>
      <c r="B2" s="127" t="s">
        <v>217</v>
      </c>
      <c r="C2" s="127" t="s">
        <v>220</v>
      </c>
      <c r="D2" s="127" t="s">
        <v>222</v>
      </c>
      <c r="E2" s="128">
        <v>461.0</v>
      </c>
      <c r="F2" s="130">
        <v>7.13</v>
      </c>
      <c r="G2" s="132">
        <v>-3286.93</v>
      </c>
      <c r="H2" s="133" t="s">
        <v>226</v>
      </c>
      <c r="I2" s="134">
        <f t="shared" ref="I2:J2" si="1">IFS(AND($B2&lt;&gt;"",$E2&lt;&gt;""),IF(INDEX(N:N,MATCH($C2,$P:$P,0),1)&lt;&gt;"",$E2*INDEX(N:N,MATCH($C2,$P:$P,0),1)+$G2,""),AND($B2&lt;&gt;"",$D2="COST"),$G2,TRUE,)</f>
        <v>20.745</v>
      </c>
      <c r="J2" s="134">
        <f t="shared" si="1"/>
        <v>123.0978471</v>
      </c>
      <c r="K2" s="135" t="str">
        <f t="shared" ref="K2:K621" si="3">C2</f>
        <v>ETFS All Commodities</v>
      </c>
      <c r="L2" s="136">
        <f t="shared" ref="L2:L621" si="4">IF($K2&lt;&gt;"", SUMIF($K:$K, $K2, E:E), "")</f>
        <v>8177</v>
      </c>
      <c r="M2" s="137">
        <f t="shared" ref="M2:M621" si="5">IF($K2&lt;&gt;"", SUMIF($K:$K, $K2, G:G), "")</f>
        <v>-60085.79</v>
      </c>
      <c r="N2" s="139">
        <f t="array" ref="N2">IF($P2&lt;&gt;"",IF(MAXIFS(Investment!$L:$L,Investment!$D:$D,LEFT($P2,40)&amp;"*"),MAXIFS(Investment!$L:$L,Investment!$D:$D,LEFT($P2,40)&amp;"*"),IFERROR(INDEX(Selection!$H:$H, MATCH($P2,Selection!$F:$F,0))/IF(OR(INDEX(Selection!$C:$C, MATCH($P2,Selection!$F:$F,0))="LN",INDEX(Selection!$C:$C, MATCH($P2,Selection!$F:$F,0))="US"),Investment!$K$7,1),"")),"")</f>
        <v>7.175</v>
      </c>
      <c r="O2" s="144">
        <f>IF($P2&lt;&gt;"",IF(MAXIFS(Investment!$AG:$AG,Investment!$D:$D,LEFT($P2,40)&amp;"*"),MAXIFS(Investment!$AG:$AG,Investment!$D:$D,LEFT($P2,40)&amp;"*"),""),"")</f>
        <v>7.397023529</v>
      </c>
      <c r="P2" s="135" t="str">
        <f>IFERROR(__xludf.DUMMYFUNCTION("""COMPUTED_VALUE"""),"ETFS All Commodities")</f>
        <v>ETFS All Commodities</v>
      </c>
      <c r="Q2" s="136">
        <f>IFERROR(__xludf.DUMMYFUNCTION("""COMPUTED_VALUE"""),8177.0)</f>
        <v>8177</v>
      </c>
      <c r="R2" s="134">
        <f>IFERROR(__xludf.DUMMYFUNCTION("""COMPUTED_VALUE"""),-60085.78999999999)</f>
        <v>-60085.79</v>
      </c>
    </row>
    <row r="3">
      <c r="A3" s="125">
        <v>43598.0</v>
      </c>
      <c r="B3" s="127" t="s">
        <v>243</v>
      </c>
      <c r="C3" s="127" t="s">
        <v>244</v>
      </c>
      <c r="D3" s="127" t="s">
        <v>245</v>
      </c>
      <c r="E3" s="128">
        <v>-552.0</v>
      </c>
      <c r="F3" s="130">
        <v>4.2044</v>
      </c>
      <c r="G3" s="132">
        <v>2320.83</v>
      </c>
      <c r="H3" s="133" t="s">
        <v>246</v>
      </c>
      <c r="I3" s="134">
        <f t="shared" ref="I3:J3" si="2">IFS(AND($B3&lt;&gt;"",$E3&lt;&gt;""),IF(INDEX(N:N,MATCH($C3,$P:$P,0),1)&lt;&gt;"",$E3*INDEX(N:N,MATCH($C3,$P:$P,0),1)+$G3,""),AND($B3&lt;&gt;"",$D3="COST"),$G3,TRUE,)</f>
        <v>-5.7396</v>
      </c>
      <c r="J3" s="134">
        <f t="shared" si="2"/>
        <v>156.8518918</v>
      </c>
      <c r="K3" s="135" t="str">
        <f t="shared" si="3"/>
        <v>iShares USD Treasury Bond 20+yr UCITS ETF</v>
      </c>
      <c r="L3" s="136">
        <f t="shared" si="4"/>
        <v>68148</v>
      </c>
      <c r="M3" s="137">
        <f t="shared" si="5"/>
        <v>-279006.89</v>
      </c>
      <c r="N3" s="139">
        <f t="array" ref="N3">IF($P3&lt;&gt;"",IF(MAXIFS(Investment!$L:$L,Investment!$D:$D,LEFT($P3,40)&amp;"*"),MAXIFS(Investment!$L:$L,Investment!$D:$D,LEFT($P3,40)&amp;"*"),IFERROR(INDEX(Selection!$H:$H, MATCH($P3,Selection!$F:$F,0))/IF(OR(INDEX(Selection!$C:$C, MATCH($P3,Selection!$F:$F,0))="LN",INDEX(Selection!$C:$C, MATCH($P3,Selection!$F:$F,0))="US"),Investment!$K$7,1),"")),"")</f>
        <v>4.2148</v>
      </c>
      <c r="O3" s="144">
        <f>IF($P3&lt;&gt;"",IF(MAXIFS(Investment!$AG:$AG,Investment!$D:$D,LEFT($P3,40)&amp;"*"),MAXIFS(Investment!$AG:$AG,Investment!$D:$D,LEFT($P3,40)&amp;"*"),""),"")</f>
        <v>3.920250196</v>
      </c>
      <c r="P3" s="135" t="str">
        <f>IFERROR(__xludf.DUMMYFUNCTION("""COMPUTED_VALUE"""),"iShares USD Treasury Bond 20+yr UCITS ETF")</f>
        <v>iShares USD Treasury Bond 20+yr UCITS ETF</v>
      </c>
      <c r="Q3" s="136">
        <f>IFERROR(__xludf.DUMMYFUNCTION("""COMPUTED_VALUE"""),68148.0)</f>
        <v>68148</v>
      </c>
      <c r="R3" s="134">
        <f>IFERROR(__xludf.DUMMYFUNCTION("""COMPUTED_VALUE"""),-279006.88999999996)</f>
        <v>-279006.89</v>
      </c>
    </row>
    <row r="4">
      <c r="A4" s="125">
        <v>43598.0</v>
      </c>
      <c r="B4" s="127" t="s">
        <v>243</v>
      </c>
      <c r="C4" s="127" t="s">
        <v>244</v>
      </c>
      <c r="D4" s="127" t="s">
        <v>263</v>
      </c>
      <c r="E4" s="128"/>
      <c r="F4" s="130"/>
      <c r="G4" s="132">
        <v>-2.46</v>
      </c>
      <c r="H4" s="133" t="s">
        <v>264</v>
      </c>
      <c r="I4" s="134">
        <f t="shared" ref="I4:J4" si="6">IFS(AND($B4&lt;&gt;"",$E4&lt;&gt;""),IF(INDEX(N:N,MATCH($C4,$P:$P,0),1)&lt;&gt;"",$E4*INDEX(N:N,MATCH($C4,$P:$P,0),1)+$G4,""),AND($B4&lt;&gt;"",$D4="COST"),$G4,TRUE,)</f>
        <v>-2.46</v>
      </c>
      <c r="J4" s="134">
        <f t="shared" si="6"/>
        <v>-2.46</v>
      </c>
      <c r="K4" s="135" t="str">
        <f t="shared" si="3"/>
        <v>iShares USD Treasury Bond 20+yr UCITS ETF</v>
      </c>
      <c r="L4" s="136">
        <f t="shared" si="4"/>
        <v>68148</v>
      </c>
      <c r="M4" s="137">
        <f t="shared" si="5"/>
        <v>-279006.89</v>
      </c>
      <c r="N4" s="139" t="str">
        <f t="array" ref="N4">IF($P4&lt;&gt;"",IF(MAXIFS(Investment!$L:$L,Investment!$D:$D,LEFT($P4,40)&amp;"*"),MAXIFS(Investment!$L:$L,Investment!$D:$D,LEFT($P4,40)&amp;"*"),IFERROR(INDEX(Selection!$H:$H, MATCH($P4,Selection!$F:$F,0))/IF(OR(INDEX(Selection!$C:$C, MATCH($P4,Selection!$F:$F,0))="LN",INDEX(Selection!$C:$C, MATCH($P4,Selection!$F:$F,0))="US"),Investment!$K$7,1),"")),"")</f>
        <v/>
      </c>
      <c r="O4" s="144" t="str">
        <f>IF($P4&lt;&gt;"",IF(MAXIFS(Investment!$AG:$AG,Investment!$D:$D,LEFT($P4,40)&amp;"*"),MAXIFS(Investment!$AG:$AG,Investment!$D:$D,LEFT($P4,40)&amp;"*"),""),"")</f>
        <v/>
      </c>
      <c r="P4" s="135" t="str">
        <f>IFERROR(__xludf.DUMMYFUNCTION("""COMPUTED_VALUE"""),"")</f>
        <v/>
      </c>
      <c r="Q4" s="136" t="str">
        <f>IFERROR(__xludf.DUMMYFUNCTION("""COMPUTED_VALUE"""),"")</f>
        <v/>
      </c>
      <c r="R4" s="134" t="str">
        <f>IFERROR(__xludf.DUMMYFUNCTION("""COMPUTED_VALUE"""),"")</f>
        <v/>
      </c>
    </row>
    <row r="5">
      <c r="A5" s="125">
        <v>43596.0</v>
      </c>
      <c r="B5" s="127"/>
      <c r="C5" s="127"/>
      <c r="D5" s="127" t="s">
        <v>268</v>
      </c>
      <c r="E5" s="128"/>
      <c r="F5" s="130"/>
      <c r="G5" s="132">
        <v>-500.0</v>
      </c>
      <c r="H5" s="133" t="s">
        <v>269</v>
      </c>
      <c r="I5" s="134" t="str">
        <f t="shared" ref="I5:J5" si="7">IFS(AND($B5&lt;&gt;"",$E5&lt;&gt;""),IF(INDEX(N:N,MATCH($C5,$P:$P,0),1)&lt;&gt;"",$E5*INDEX(N:N,MATCH($C5,$P:$P,0),1)+$G5,""),AND($B5&lt;&gt;"",$D5="COST"),$G5,TRUE,)</f>
        <v/>
      </c>
      <c r="J5" s="134" t="str">
        <f t="shared" si="7"/>
        <v/>
      </c>
      <c r="K5" s="135" t="str">
        <f t="shared" si="3"/>
        <v/>
      </c>
      <c r="L5" s="136" t="str">
        <f t="shared" si="4"/>
        <v/>
      </c>
      <c r="M5" s="137" t="str">
        <f t="shared" si="5"/>
        <v/>
      </c>
      <c r="N5" s="139">
        <f t="array" ref="N5">IF($P5&lt;&gt;"",IF(MAXIFS(Investment!$L:$L,Investment!$D:$D,LEFT($P5,40)&amp;"*"),MAXIFS(Investment!$L:$L,Investment!$D:$D,LEFT($P5,40)&amp;"*"),IFERROR(INDEX(Selection!$H:$H, MATCH($P5,Selection!$F:$F,0))/IF(OR(INDEX(Selection!$C:$C, MATCH($P5,Selection!$F:$F,0))="LN",INDEX(Selection!$C:$C, MATCH($P5,Selection!$F:$F,0))="US"),Investment!$K$7,1),"")),"")</f>
        <v>176.49</v>
      </c>
      <c r="O5" s="144">
        <f>IF($P5&lt;&gt;"",IF(MAXIFS(Investment!$AG:$AG,Investment!$D:$D,LEFT($P5,40)&amp;"*"),MAXIFS(Investment!$AG:$AG,Investment!$D:$D,LEFT($P5,40)&amp;"*"),""),"")</f>
        <v>165.6321176</v>
      </c>
      <c r="P5" s="135" t="str">
        <f>IFERROR(__xludf.DUMMYFUNCTION("""COMPUTED_VALUE"""),"iShares USD Treasury Bond 7-10yr UCITS ETF")</f>
        <v>iShares USD Treasury Bond 7-10yr UCITS ETF</v>
      </c>
      <c r="Q5" s="136">
        <f>IFERROR(__xludf.DUMMYFUNCTION("""COMPUTED_VALUE"""),622.0)</f>
        <v>622</v>
      </c>
      <c r="R5" s="134">
        <f>IFERROR(__xludf.DUMMYFUNCTION("""COMPUTED_VALUE"""),-96952.49000000002)</f>
        <v>-96952.49</v>
      </c>
    </row>
    <row r="6">
      <c r="A6" s="125">
        <v>43593.0</v>
      </c>
      <c r="B6" s="127" t="s">
        <v>243</v>
      </c>
      <c r="C6" s="127" t="s">
        <v>244</v>
      </c>
      <c r="D6" s="127" t="s">
        <v>245</v>
      </c>
      <c r="E6" s="128">
        <v>-412.0</v>
      </c>
      <c r="F6" s="130">
        <v>4.2208</v>
      </c>
      <c r="G6" s="132">
        <v>1738.97</v>
      </c>
      <c r="H6" s="133" t="s">
        <v>270</v>
      </c>
      <c r="I6" s="134">
        <f t="shared" ref="I6:J6" si="8">IFS(AND($B6&lt;&gt;"",$E6&lt;&gt;""),IF(INDEX(N:N,MATCH($C6,$P:$P,0),1)&lt;&gt;"",$E6*INDEX(N:N,MATCH($C6,$P:$P,0),1)+$G6,""),AND($B6&lt;&gt;"",$D6="COST"),$G6,TRUE,)</f>
        <v>2.4724</v>
      </c>
      <c r="J6" s="134">
        <f t="shared" si="8"/>
        <v>123.8269192</v>
      </c>
      <c r="K6" s="135" t="str">
        <f t="shared" si="3"/>
        <v>iShares USD Treasury Bond 20+yr UCITS ETF</v>
      </c>
      <c r="L6" s="136">
        <f t="shared" si="4"/>
        <v>68148</v>
      </c>
      <c r="M6" s="137">
        <f t="shared" si="5"/>
        <v>-279006.89</v>
      </c>
      <c r="N6" s="139">
        <f t="array" ref="N6">IF($P6&lt;&gt;"",IF(MAXIFS(Investment!$L:$L,Investment!$D:$D,LEFT($P6,40)&amp;"*"),MAXIFS(Investment!$L:$L,Investment!$D:$D,LEFT($P6,40)&amp;"*"),IFERROR(INDEX(Selection!$H:$H, MATCH($P6,Selection!$F:$F,0))/IF(OR(INDEX(Selection!$C:$C, MATCH($P6,Selection!$F:$F,0))="LN",INDEX(Selection!$C:$C, MATCH($P6,Selection!$F:$F,0))="US"),Investment!$K$7,1),"")),"")</f>
        <v>48.03</v>
      </c>
      <c r="O6" s="144">
        <f>IF($P6&lt;&gt;"",IF(MAXIFS(Investment!$AG:$AG,Investment!$D:$D,LEFT($P6,40)&amp;"*"),MAXIFS(Investment!$AG:$AG,Investment!$D:$D,LEFT($P6,40)&amp;"*"),""),"")</f>
        <v>45.92698824</v>
      </c>
      <c r="P6" s="135" t="str">
        <f>IFERROR(__xludf.DUMMYFUNCTION("""COMPUTED_VALUE"""),"Vanguard S&amp;P 500 UCITS ETF")</f>
        <v>Vanguard S&amp;P 500 UCITS ETF</v>
      </c>
      <c r="Q6" s="136">
        <f>IFERROR(__xludf.DUMMYFUNCTION("""COMPUTED_VALUE"""),4429.0)</f>
        <v>4429</v>
      </c>
      <c r="R6" s="134">
        <f>IFERROR(__xludf.DUMMYFUNCTION("""COMPUTED_VALUE"""),-189831.65)</f>
        <v>-189831.65</v>
      </c>
    </row>
    <row r="7">
      <c r="A7" s="125">
        <v>43593.0</v>
      </c>
      <c r="B7" s="127" t="s">
        <v>243</v>
      </c>
      <c r="C7" s="127" t="s">
        <v>244</v>
      </c>
      <c r="D7" s="127" t="s">
        <v>263</v>
      </c>
      <c r="E7" s="128"/>
      <c r="F7" s="130"/>
      <c r="G7" s="132">
        <v>-2.35</v>
      </c>
      <c r="H7" s="133" t="s">
        <v>273</v>
      </c>
      <c r="I7" s="134">
        <f t="shared" ref="I7:J7" si="9">IFS(AND($B7&lt;&gt;"",$E7&lt;&gt;""),IF(INDEX(N:N,MATCH($C7,$P:$P,0),1)&lt;&gt;"",$E7*INDEX(N:N,MATCH($C7,$P:$P,0),1)+$G7,""),AND($B7&lt;&gt;"",$D7="COST"),$G7,TRUE,)</f>
        <v>-2.35</v>
      </c>
      <c r="J7" s="134">
        <f t="shared" si="9"/>
        <v>-2.35</v>
      </c>
      <c r="K7" s="135" t="str">
        <f t="shared" si="3"/>
        <v>iShares USD Treasury Bond 20+yr UCITS ETF</v>
      </c>
      <c r="L7" s="136">
        <f t="shared" si="4"/>
        <v>68148</v>
      </c>
      <c r="M7" s="137">
        <f t="shared" si="5"/>
        <v>-279006.89</v>
      </c>
      <c r="N7" s="139">
        <f t="array" ref="N7">IF($P7&lt;&gt;"",IF(MAXIFS(Investment!$L:$L,Investment!$D:$D,LEFT($P7,40)&amp;"*"),MAXIFS(Investment!$L:$L,Investment!$D:$D,LEFT($P7,40)&amp;"*"),IFERROR(INDEX(Selection!$H:$H, MATCH($P7,Selection!$F:$F,0))/IF(OR(INDEX(Selection!$C:$C, MATCH($P7,Selection!$F:$F,0))="LN",INDEX(Selection!$C:$C, MATCH($P7,Selection!$F:$F,0))="US"),Investment!$K$7,1),"")),"")</f>
        <v>4.2148</v>
      </c>
      <c r="O7" s="144">
        <f>IF($P7&lt;&gt;"",IF(MAXIFS(Investment!$AG:$AG,Investment!$D:$D,LEFT($P7,40)&amp;"*"),MAXIFS(Investment!$AG:$AG,Investment!$D:$D,LEFT($P7,40)&amp;"*"),""),"")</f>
        <v>3.920250196</v>
      </c>
      <c r="P7" s="135" t="str">
        <f>IFERROR(__xludf.DUMMYFUNCTION("""COMPUTED_VALUE"""),"iShares USD Treasury Bond 20+yr UCITS ETF USD Dist")</f>
        <v>iShares USD Treasury Bond 20+yr UCITS ETF USD Dist</v>
      </c>
      <c r="Q7" s="136">
        <f>IFERROR(__xludf.DUMMYFUNCTION("""COMPUTED_VALUE"""),0.0)</f>
        <v>0</v>
      </c>
      <c r="R7" s="134">
        <f>IFERROR(__xludf.DUMMYFUNCTION("""COMPUTED_VALUE"""),27424.229999999996)</f>
        <v>27424.23</v>
      </c>
    </row>
    <row r="8">
      <c r="A8" s="125">
        <v>43593.0</v>
      </c>
      <c r="B8" s="127" t="s">
        <v>277</v>
      </c>
      <c r="C8" s="127" t="s">
        <v>278</v>
      </c>
      <c r="D8" s="127" t="s">
        <v>245</v>
      </c>
      <c r="E8" s="128">
        <v>-7.0</v>
      </c>
      <c r="F8" s="130">
        <v>176.2</v>
      </c>
      <c r="G8" s="132">
        <v>1233.4</v>
      </c>
      <c r="H8" s="133" t="s">
        <v>279</v>
      </c>
      <c r="I8" s="134">
        <f t="shared" ref="I8:J8" si="10">IFS(AND($B8&lt;&gt;"",$E8&lt;&gt;""),IF(INDEX(N:N,MATCH($C8,$P:$P,0),1)&lt;&gt;"",$E8*INDEX(N:N,MATCH($C8,$P:$P,0),1)+$G8,""),AND($B8&lt;&gt;"",$D8="COST"),$G8,TRUE,)</f>
        <v>-2.03</v>
      </c>
      <c r="J8" s="134">
        <f t="shared" si="10"/>
        <v>73.97517647</v>
      </c>
      <c r="K8" s="135" t="str">
        <f t="shared" si="3"/>
        <v>iShares USD Treasury Bond 7-10yr UCITS ETF</v>
      </c>
      <c r="L8" s="136">
        <f t="shared" si="4"/>
        <v>622</v>
      </c>
      <c r="M8" s="137">
        <f t="shared" si="5"/>
        <v>-96952.49</v>
      </c>
      <c r="N8" s="139">
        <f t="array" ref="N8">IF($P8&lt;&gt;"",IF(MAXIFS(Investment!$L:$L,Investment!$D:$D,LEFT($P8,40)&amp;"*"),MAXIFS(Investment!$L:$L,Investment!$D:$D,LEFT($P8,40)&amp;"*"),IFERROR(INDEX(Selection!$H:$H, MATCH($P8,Selection!$F:$F,0))/IF(OR(INDEX(Selection!$C:$C, MATCH($P8,Selection!$F:$F,0))="LN",INDEX(Selection!$C:$C, MATCH($P8,Selection!$F:$F,0))="US"),Investment!$K$7,1),"")),"")</f>
        <v>110.33</v>
      </c>
      <c r="O8" s="144">
        <f>IF($P8&lt;&gt;"",IF(MAXIFS(Investment!$AG:$AG,Investment!$D:$D,LEFT($P8,40)&amp;"*"),MAXIFS(Investment!$AG:$AG,Investment!$D:$D,LEFT($P8,40)&amp;"*"),""),"")</f>
        <v>104.8230588</v>
      </c>
      <c r="P8" s="135" t="str">
        <f>IFERROR(__xludf.DUMMYFUNCTION("""COMPUTED_VALUE"""),"ETFS Physical Gold")</f>
        <v>ETFS Physical Gold</v>
      </c>
      <c r="Q8" s="136">
        <f>IFERROR(__xludf.DUMMYFUNCTION("""COMPUTED_VALUE"""),506.0)</f>
        <v>506</v>
      </c>
      <c r="R8" s="134">
        <f>IFERROR(__xludf.DUMMYFUNCTION("""COMPUTED_VALUE"""),-52182.08)</f>
        <v>-52182.08</v>
      </c>
    </row>
    <row r="9">
      <c r="A9" s="125">
        <v>43593.0</v>
      </c>
      <c r="B9" s="127" t="s">
        <v>243</v>
      </c>
      <c r="C9" s="127" t="s">
        <v>244</v>
      </c>
      <c r="D9" s="127" t="s">
        <v>245</v>
      </c>
      <c r="E9" s="128">
        <v>-388.0</v>
      </c>
      <c r="F9" s="130">
        <v>4.211</v>
      </c>
      <c r="G9" s="132">
        <v>1633.87</v>
      </c>
      <c r="H9" s="133" t="s">
        <v>285</v>
      </c>
      <c r="I9" s="134">
        <f t="shared" ref="I9:J9" si="11">IFS(AND($B9&lt;&gt;"",$E9&lt;&gt;""),IF(INDEX(N:N,MATCH($C9,$P:$P,0),1)&lt;&gt;"",$E9*INDEX(N:N,MATCH($C9,$P:$P,0),1)+$G9,""),AND($B9&lt;&gt;"",$D9="COST"),$G9,TRUE,)</f>
        <v>-1.4724</v>
      </c>
      <c r="J9" s="134">
        <f t="shared" si="11"/>
        <v>112.8129239</v>
      </c>
      <c r="K9" s="135" t="str">
        <f t="shared" si="3"/>
        <v>iShares USD Treasury Bond 20+yr UCITS ETF</v>
      </c>
      <c r="L9" s="136">
        <f t="shared" si="4"/>
        <v>68148</v>
      </c>
      <c r="M9" s="137">
        <f t="shared" si="5"/>
        <v>-279006.89</v>
      </c>
      <c r="N9" s="139">
        <f t="array" ref="N9">IF($P9&lt;&gt;"",IF(MAXIFS(Investment!$L:$L,Investment!$D:$D,LEFT($P9,40)&amp;"*"),MAXIFS(Investment!$L:$L,Investment!$D:$D,LEFT($P9,40)&amp;"*"),IFERROR(INDEX(Selection!$H:$H, MATCH($P9,Selection!$F:$F,0))/IF(OR(INDEX(Selection!$C:$C, MATCH($P9,Selection!$F:$F,0))="LN",INDEX(Selection!$C:$C, MATCH($P9,Selection!$F:$F,0))="US"),Investment!$K$7,1),"")),"")</f>
        <v>105.7938768</v>
      </c>
      <c r="O9" s="144" t="str">
        <f>IF($P9&lt;&gt;"",IF(MAXIFS(Investment!$AG:$AG,Investment!$D:$D,LEFT($P9,40)&amp;"*"),MAXIFS(Investment!$AG:$AG,Investment!$D:$D,LEFT($P9,40)&amp;"*"),""),"")</f>
        <v/>
      </c>
      <c r="P9" s="135" t="str">
        <f>IFERROR(__xludf.DUMMYFUNCTION("""COMPUTED_VALUE"""),"Vanguard Extended Duration Treasury ETF")</f>
        <v>Vanguard Extended Duration Treasury ETF</v>
      </c>
      <c r="Q9" s="136">
        <f>IFERROR(__xludf.DUMMYFUNCTION("""COMPUTED_VALUE"""),0.0)</f>
        <v>0</v>
      </c>
      <c r="R9" s="134">
        <f>IFERROR(__xludf.DUMMYFUNCTION("""COMPUTED_VALUE"""),-4941.3600000000115)</f>
        <v>-4941.36</v>
      </c>
    </row>
    <row r="10">
      <c r="A10" s="125">
        <v>43593.0</v>
      </c>
      <c r="B10" s="127" t="s">
        <v>243</v>
      </c>
      <c r="C10" s="127" t="s">
        <v>244</v>
      </c>
      <c r="D10" s="127" t="s">
        <v>263</v>
      </c>
      <c r="E10" s="128"/>
      <c r="F10" s="130"/>
      <c r="G10" s="132">
        <v>-2.33</v>
      </c>
      <c r="H10" s="133" t="s">
        <v>286</v>
      </c>
      <c r="I10" s="134">
        <f t="shared" ref="I10:J10" si="12">IFS(AND($B10&lt;&gt;"",$E10&lt;&gt;""),IF(INDEX(N:N,MATCH($C10,$P:$P,0),1)&lt;&gt;"",$E10*INDEX(N:N,MATCH($C10,$P:$P,0),1)+$G10,""),AND($B10&lt;&gt;"",$D10="COST"),$G10,TRUE,)</f>
        <v>-2.33</v>
      </c>
      <c r="J10" s="134">
        <f t="shared" si="12"/>
        <v>-2.33</v>
      </c>
      <c r="K10" s="135" t="str">
        <f t="shared" si="3"/>
        <v>iShares USD Treasury Bond 20+yr UCITS ETF</v>
      </c>
      <c r="L10" s="136">
        <f t="shared" si="4"/>
        <v>68148</v>
      </c>
      <c r="M10" s="137">
        <f t="shared" si="5"/>
        <v>-279006.89</v>
      </c>
      <c r="N10" s="139">
        <f t="array" ref="N10">IF($P10&lt;&gt;"",IF(MAXIFS(Investment!$L:$L,Investment!$D:$D,LEFT($P10,40)&amp;"*"),MAXIFS(Investment!$L:$L,Investment!$D:$D,LEFT($P10,40)&amp;"*"),IFERROR(INDEX(Selection!$H:$H, MATCH($P10,Selection!$F:$F,0))/IF(OR(INDEX(Selection!$C:$C, MATCH($P10,Selection!$F:$F,0))="LN",INDEX(Selection!$C:$C, MATCH($P10,Selection!$F:$F,0))="US"),Investment!$K$7,1),"")),"")</f>
        <v>57.44037024</v>
      </c>
      <c r="O10" s="144" t="str">
        <f>IF($P10&lt;&gt;"",IF(MAXIFS(Investment!$AG:$AG,Investment!$D:$D,LEFT($P10,40)&amp;"*"),MAXIFS(Investment!$AG:$AG,Investment!$D:$D,LEFT($P10,40)&amp;"*"),""),"")</f>
        <v/>
      </c>
      <c r="P10" s="135" t="str">
        <f>IFERROR(__xludf.DUMMYFUNCTION("""COMPUTED_VALUE"""),"Vanguard Intermediate-Term Treasury ETF")</f>
        <v>Vanguard Intermediate-Term Treasury ETF</v>
      </c>
      <c r="Q10" s="136">
        <f>IFERROR(__xludf.DUMMYFUNCTION("""COMPUTED_VALUE"""),0.0)</f>
        <v>0</v>
      </c>
      <c r="R10" s="134">
        <f>IFERROR(__xludf.DUMMYFUNCTION("""COMPUTED_VALUE"""),-1817.4799999999955)</f>
        <v>-1817.48</v>
      </c>
    </row>
    <row r="11">
      <c r="A11" s="125">
        <v>43592.0</v>
      </c>
      <c r="B11" s="127" t="s">
        <v>243</v>
      </c>
      <c r="C11" s="127" t="s">
        <v>244</v>
      </c>
      <c r="D11" s="127" t="s">
        <v>245</v>
      </c>
      <c r="E11" s="128">
        <v>-277.0</v>
      </c>
      <c r="F11" s="130">
        <v>4.198</v>
      </c>
      <c r="G11" s="132">
        <v>1162.85</v>
      </c>
      <c r="H11" s="133" t="s">
        <v>288</v>
      </c>
      <c r="I11" s="134">
        <f t="shared" ref="I11:J11" si="13">IFS(AND($B11&lt;&gt;"",$E11&lt;&gt;""),IF(INDEX(N:N,MATCH($C11,$P:$P,0),1)&lt;&gt;"",$E11*INDEX(N:N,MATCH($C11,$P:$P,0),1)+$G11,""),AND($B11&lt;&gt;"",$D11="COST"),$G11,TRUE,)</f>
        <v>-4.6496</v>
      </c>
      <c r="J11" s="134">
        <f t="shared" si="13"/>
        <v>76.94069569</v>
      </c>
      <c r="K11" s="135" t="str">
        <f t="shared" si="3"/>
        <v>iShares USD Treasury Bond 20+yr UCITS ETF</v>
      </c>
      <c r="L11" s="136">
        <f t="shared" si="4"/>
        <v>68148</v>
      </c>
      <c r="M11" s="137">
        <f t="shared" si="5"/>
        <v>-279006.89</v>
      </c>
      <c r="N11" s="139">
        <f t="array" ref="N11">IF($P11&lt;&gt;"",IF(MAXIFS(Investment!$L:$L,Investment!$D:$D,LEFT($P11,40)&amp;"*"),MAXIFS(Investment!$L:$L,Investment!$D:$D,LEFT($P11,40)&amp;"*"),IFERROR(INDEX(Selection!$H:$H, MATCH($P11,Selection!$F:$F,0))/IF(OR(INDEX(Selection!$C:$C, MATCH($P11,Selection!$F:$F,0))="LN",INDEX(Selection!$C:$C, MATCH($P11,Selection!$F:$F,0))="US"),Investment!$K$7,1),"")),"")</f>
        <v>11.07155571</v>
      </c>
      <c r="O11" s="144" t="str">
        <f>IF($P11&lt;&gt;"",IF(MAXIFS(Investment!$AG:$AG,Investment!$D:$D,LEFT($P11,40)&amp;"*"),MAXIFS(Investment!$AG:$AG,Investment!$D:$D,LEFT($P11,40)&amp;"*"),""),"")</f>
        <v/>
      </c>
      <c r="P11" s="135" t="str">
        <f>IFERROR(__xludf.DUMMYFUNCTION("""COMPUTED_VALUE"""),"iShares Gold Trust")</f>
        <v>iShares Gold Trust</v>
      </c>
      <c r="Q11" s="136">
        <f>IFERROR(__xludf.DUMMYFUNCTION("""COMPUTED_VALUE"""),0.0)</f>
        <v>0</v>
      </c>
      <c r="R11" s="134">
        <f>IFERROR(__xludf.DUMMYFUNCTION("""COMPUTED_VALUE"""),140.22999999999956)</f>
        <v>140.23</v>
      </c>
    </row>
    <row r="12">
      <c r="A12" s="125">
        <v>43592.0</v>
      </c>
      <c r="B12" s="127" t="s">
        <v>243</v>
      </c>
      <c r="C12" s="127" t="s">
        <v>244</v>
      </c>
      <c r="D12" s="127" t="s">
        <v>263</v>
      </c>
      <c r="E12" s="128"/>
      <c r="F12" s="130"/>
      <c r="G12" s="132">
        <v>-2.23</v>
      </c>
      <c r="H12" s="133" t="s">
        <v>289</v>
      </c>
      <c r="I12" s="134">
        <f t="shared" ref="I12:J12" si="14">IFS(AND($B12&lt;&gt;"",$E12&lt;&gt;""),IF(INDEX(N:N,MATCH($C12,$P:$P,0),1)&lt;&gt;"",$E12*INDEX(N:N,MATCH($C12,$P:$P,0),1)+$G12,""),AND($B12&lt;&gt;"",$D12="COST"),$G12,TRUE,)</f>
        <v>-2.23</v>
      </c>
      <c r="J12" s="134">
        <f t="shared" si="14"/>
        <v>-2.23</v>
      </c>
      <c r="K12" s="135" t="str">
        <f t="shared" si="3"/>
        <v>iShares USD Treasury Bond 20+yr UCITS ETF</v>
      </c>
      <c r="L12" s="136">
        <f t="shared" si="4"/>
        <v>68148</v>
      </c>
      <c r="M12" s="137">
        <f t="shared" si="5"/>
        <v>-279006.89</v>
      </c>
      <c r="N12" s="139">
        <f t="array" ref="N12">IF($P12&lt;&gt;"",IF(MAXIFS(Investment!$L:$L,Investment!$D:$D,LEFT($P12,40)&amp;"*"),MAXIFS(Investment!$L:$L,Investment!$D:$D,LEFT($P12,40)&amp;"*"),IFERROR(INDEX(Selection!$H:$H, MATCH($P12,Selection!$F:$F,0))/IF(OR(INDEX(Selection!$C:$C, MATCH($P12,Selection!$F:$F,0))="LN",INDEX(Selection!$C:$C, MATCH($P12,Selection!$F:$F,0))="US"),Investment!$K$7,1),"")),"")</f>
        <v>94.91812033</v>
      </c>
      <c r="O12" s="144" t="str">
        <f>IF($P12&lt;&gt;"",IF(MAXIFS(Investment!$AG:$AG,Investment!$D:$D,LEFT($P12,40)&amp;"*"),MAXIFS(Investment!$AG:$AG,Investment!$D:$D,LEFT($P12,40)&amp;"*"),""),"")</f>
        <v/>
      </c>
      <c r="P12" s="135" t="str">
        <f>IFERROR(__xludf.DUMMYFUNCTION("""COMPUTED_VALUE"""),"iShares 7-10 Year Treasury Bond ETF")</f>
        <v>iShares 7-10 Year Treasury Bond ETF</v>
      </c>
      <c r="Q12" s="136">
        <f>IFERROR(__xludf.DUMMYFUNCTION("""COMPUTED_VALUE"""),0.0)</f>
        <v>0</v>
      </c>
      <c r="R12" s="134">
        <f>IFERROR(__xludf.DUMMYFUNCTION("""COMPUTED_VALUE"""),-345.82000000000244)</f>
        <v>-345.82</v>
      </c>
    </row>
    <row r="13">
      <c r="A13" s="125">
        <v>43591.0</v>
      </c>
      <c r="B13" s="127" t="s">
        <v>277</v>
      </c>
      <c r="C13" s="127" t="s">
        <v>278</v>
      </c>
      <c r="D13" s="127" t="s">
        <v>245</v>
      </c>
      <c r="E13" s="128">
        <v>-6.0</v>
      </c>
      <c r="F13" s="130">
        <v>175.51</v>
      </c>
      <c r="G13" s="132">
        <v>1053.06</v>
      </c>
      <c r="H13" s="133" t="s">
        <v>290</v>
      </c>
      <c r="I13" s="134">
        <f t="shared" ref="I13:J13" si="15">IFS(AND($B13&lt;&gt;"",$E13&lt;&gt;""),IF(INDEX(N:N,MATCH($C13,$P:$P,0),1)&lt;&gt;"",$E13*INDEX(N:N,MATCH($C13,$P:$P,0),1)+$G13,""),AND($B13&lt;&gt;"",$D13="COST"),$G13,TRUE,)</f>
        <v>-5.88</v>
      </c>
      <c r="J13" s="134">
        <f t="shared" si="15"/>
        <v>59.26729412</v>
      </c>
      <c r="K13" s="135" t="str">
        <f t="shared" si="3"/>
        <v>iShares USD Treasury Bond 7-10yr UCITS ETF</v>
      </c>
      <c r="L13" s="136">
        <f t="shared" si="4"/>
        <v>622</v>
      </c>
      <c r="M13" s="137">
        <f t="shared" si="5"/>
        <v>-96952.49</v>
      </c>
      <c r="N13" s="139">
        <f t="array" ref="N13">IF($P13&lt;&gt;"",IF(MAXIFS(Investment!$L:$L,Investment!$D:$D,LEFT($P13,40)&amp;"*"),MAXIFS(Investment!$L:$L,Investment!$D:$D,LEFT($P13,40)&amp;"*"),IFERROR(INDEX(Selection!$H:$H, MATCH($P13,Selection!$F:$F,0))/IF(OR(INDEX(Selection!$C:$C, MATCH($P13,Selection!$F:$F,0))="LN",INDEX(Selection!$C:$C, MATCH($P13,Selection!$F:$F,0))="US"),Investment!$K$7,1),"")),"")</f>
        <v>17.829</v>
      </c>
      <c r="O13" s="144" t="str">
        <f>IF($P13&lt;&gt;"",IF(MAXIFS(Investment!$AG:$AG,Investment!$D:$D,LEFT($P13,40)&amp;"*"),MAXIFS(Investment!$AG:$AG,Investment!$D:$D,LEFT($P13,40)&amp;"*"),""),"")</f>
        <v/>
      </c>
      <c r="P13" s="135" t="str">
        <f>IFERROR(__xludf.DUMMYFUNCTION("""COMPUTED_VALUE"""),"iShares Diversified Commodity Swap UCITS ETF DE")</f>
        <v>iShares Diversified Commodity Swap UCITS ETF DE</v>
      </c>
      <c r="Q13" s="136">
        <f>IFERROR(__xludf.DUMMYFUNCTION("""COMPUTED_VALUE"""),0.0)</f>
        <v>0</v>
      </c>
      <c r="R13" s="134">
        <f>IFERROR(__xludf.DUMMYFUNCTION("""COMPUTED_VALUE"""),-296.4199999999996)</f>
        <v>-296.42</v>
      </c>
    </row>
    <row r="14">
      <c r="A14" s="125">
        <v>43591.0</v>
      </c>
      <c r="B14" s="127" t="s">
        <v>243</v>
      </c>
      <c r="C14" s="127" t="s">
        <v>244</v>
      </c>
      <c r="D14" s="127" t="s">
        <v>245</v>
      </c>
      <c r="E14" s="128">
        <v>-925.0</v>
      </c>
      <c r="F14" s="130">
        <v>4.1872</v>
      </c>
      <c r="G14" s="132">
        <v>3873.16</v>
      </c>
      <c r="H14" s="133" t="s">
        <v>291</v>
      </c>
      <c r="I14" s="134">
        <f t="shared" ref="I14:J14" si="16">IFS(AND($B14&lt;&gt;"",$E14&lt;&gt;""),IF(INDEX(N:N,MATCH($C14,$P:$P,0),1)&lt;&gt;"",$E14*INDEX(N:N,MATCH($C14,$P:$P,0),1)+$G14,""),AND($B14&lt;&gt;"",$D14="COST"),$G14,TRUE,)</f>
        <v>-25.53</v>
      </c>
      <c r="J14" s="134">
        <f t="shared" si="16"/>
        <v>246.9285686</v>
      </c>
      <c r="K14" s="135" t="str">
        <f t="shared" si="3"/>
        <v>iShares USD Treasury Bond 20+yr UCITS ETF</v>
      </c>
      <c r="L14" s="136">
        <f t="shared" si="4"/>
        <v>68148</v>
      </c>
      <c r="M14" s="137">
        <f t="shared" si="5"/>
        <v>-279006.89</v>
      </c>
      <c r="N14" s="139">
        <f t="array" ref="N14">IF($P14&lt;&gt;"",IF(MAXIFS(Investment!$L:$L,Investment!$D:$D,LEFT($P14,40)&amp;"*"),MAXIFS(Investment!$L:$L,Investment!$D:$D,LEFT($P14,40)&amp;"*"),IFERROR(INDEX(Selection!$H:$H, MATCH($P14,Selection!$F:$F,0))/IF(OR(INDEX(Selection!$C:$C, MATCH($P14,Selection!$F:$F,0))="LN",INDEX(Selection!$C:$C, MATCH($P14,Selection!$F:$F,0))="US"),Investment!$K$7,1),"")),"")</f>
        <v>127.9814881</v>
      </c>
      <c r="O14" s="144" t="str">
        <f>IF($P14&lt;&gt;"",IF(MAXIFS(Investment!$AG:$AG,Investment!$D:$D,LEFT($P14,40)&amp;"*"),MAXIFS(Investment!$AG:$AG,Investment!$D:$D,LEFT($P14,40)&amp;"*"),""),"")</f>
        <v/>
      </c>
      <c r="P14" s="135" t="str">
        <f>IFERROR(__xludf.DUMMYFUNCTION("""COMPUTED_VALUE"""),"Vanguard Total Stock Market ETF")</f>
        <v>Vanguard Total Stock Market ETF</v>
      </c>
      <c r="Q14" s="136">
        <f>IFERROR(__xludf.DUMMYFUNCTION("""COMPUTED_VALUE"""),0.0)</f>
        <v>0</v>
      </c>
      <c r="R14" s="134">
        <f>IFERROR(__xludf.DUMMYFUNCTION("""COMPUTED_VALUE"""),1880.340000000002)</f>
        <v>1880.34</v>
      </c>
    </row>
    <row r="15">
      <c r="A15" s="125">
        <v>43591.0</v>
      </c>
      <c r="B15" s="127" t="s">
        <v>243</v>
      </c>
      <c r="C15" s="127" t="s">
        <v>244</v>
      </c>
      <c r="D15" s="127" t="s">
        <v>263</v>
      </c>
      <c r="E15" s="128"/>
      <c r="F15" s="130"/>
      <c r="G15" s="132">
        <v>-2.77</v>
      </c>
      <c r="H15" s="133" t="s">
        <v>293</v>
      </c>
      <c r="I15" s="134">
        <f t="shared" ref="I15:J15" si="17">IFS(AND($B15&lt;&gt;"",$E15&lt;&gt;""),IF(INDEX(N:N,MATCH($C15,$P:$P,0),1)&lt;&gt;"",$E15*INDEX(N:N,MATCH($C15,$P:$P,0),1)+$G15,""),AND($B15&lt;&gt;"",$D15="COST"),$G15,TRUE,)</f>
        <v>-2.77</v>
      </c>
      <c r="J15" s="134">
        <f t="shared" si="17"/>
        <v>-2.77</v>
      </c>
      <c r="K15" s="135" t="str">
        <f t="shared" si="3"/>
        <v>iShares USD Treasury Bond 20+yr UCITS ETF</v>
      </c>
      <c r="L15" s="136">
        <f t="shared" si="4"/>
        <v>68148</v>
      </c>
      <c r="M15" s="137">
        <f t="shared" si="5"/>
        <v>-279006.89</v>
      </c>
      <c r="N15" s="139" t="str">
        <f t="array" ref="N15">IF($P15&lt;&gt;"",IF(MAXIFS(Investment!$L:$L,Investment!$D:$D,LEFT($P15,40)&amp;"*"),MAXIFS(Investment!$L:$L,Investment!$D:$D,LEFT($P15,40)&amp;"*"),IFERROR(INDEX(Selection!$H:$H, MATCH($P15,Selection!$F:$F,0))/IF(OR(INDEX(Selection!$C:$C, MATCH($P15,Selection!$F:$F,0))="LN",INDEX(Selection!$C:$C, MATCH($P15,Selection!$F:$F,0))="US"),Investment!$K$7,1),"")),"")</f>
        <v/>
      </c>
      <c r="O15" s="144" t="str">
        <f>IF($P15&lt;&gt;"",IF(MAXIFS(Investment!$AG:$AG,Investment!$D:$D,LEFT($P15,40)&amp;"*"),MAXIFS(Investment!$AG:$AG,Investment!$D:$D,LEFT($P15,40)&amp;"*"),""),"")</f>
        <v/>
      </c>
      <c r="P15" s="135" t="str">
        <f>IFERROR(__xludf.DUMMYFUNCTION("""COMPUTED_VALUE"""),"TOTAL GABON")</f>
        <v>TOTAL GABON</v>
      </c>
      <c r="Q15" s="136">
        <f>IFERROR(__xludf.DUMMYFUNCTION("""COMPUTED_VALUE"""),0.0)</f>
        <v>0</v>
      </c>
      <c r="R15" s="134">
        <f>IFERROR(__xludf.DUMMYFUNCTION("""COMPUTED_VALUE"""),-24138.28)</f>
        <v>-24138.28</v>
      </c>
    </row>
    <row r="16">
      <c r="A16" s="125">
        <v>43588.0</v>
      </c>
      <c r="B16" s="127"/>
      <c r="C16" s="127"/>
      <c r="D16" s="127" t="s">
        <v>263</v>
      </c>
      <c r="E16" s="128"/>
      <c r="F16" s="130"/>
      <c r="G16" s="132">
        <v>-547.92</v>
      </c>
      <c r="H16" s="133" t="s">
        <v>298</v>
      </c>
      <c r="I16" s="134" t="str">
        <f t="shared" ref="I16:J16" si="18">IFS(AND($B16&lt;&gt;"",$E16&lt;&gt;""),IF(INDEX(N:N,MATCH($C16,$P:$P,0),1)&lt;&gt;"",$E16*INDEX(N:N,MATCH($C16,$P:$P,0),1)+$G16,""),AND($B16&lt;&gt;"",$D16="COST"),$G16,TRUE,)</f>
        <v/>
      </c>
      <c r="J16" s="134" t="str">
        <f t="shared" si="18"/>
        <v/>
      </c>
      <c r="K16" s="135" t="str">
        <f t="shared" si="3"/>
        <v/>
      </c>
      <c r="L16" s="136" t="str">
        <f t="shared" si="4"/>
        <v/>
      </c>
      <c r="M16" s="137" t="str">
        <f t="shared" si="5"/>
        <v/>
      </c>
      <c r="N16" s="139" t="str">
        <f t="array" ref="N16">IF($P16&lt;&gt;"",IF(MAXIFS(Investment!$L:$L,Investment!$D:$D,LEFT($P16,40)&amp;"*"),MAXIFS(Investment!$L:$L,Investment!$D:$D,LEFT($P16,40)&amp;"*"),IFERROR(INDEX(Selection!$H:$H, MATCH($P16,Selection!$F:$F,0))/IF(OR(INDEX(Selection!$C:$C, MATCH($P16,Selection!$F:$F,0))="LN",INDEX(Selection!$C:$C, MATCH($P16,Selection!$F:$F,0))="US"),Investment!$K$7,1),"")),"")</f>
        <v/>
      </c>
      <c r="O16" s="144" t="str">
        <f>IF($P16&lt;&gt;"",IF(MAXIFS(Investment!$AG:$AG,Investment!$D:$D,LEFT($P16,40)&amp;"*"),MAXIFS(Investment!$AG:$AG,Investment!$D:$D,LEFT($P16,40)&amp;"*"),""),"")</f>
        <v/>
      </c>
      <c r="P16" s="135" t="str">
        <f>IFERROR(__xludf.DUMMYFUNCTION("""COMPUTED_VALUE"""),"EDF")</f>
        <v>EDF</v>
      </c>
      <c r="Q16" s="136">
        <f>IFERROR(__xludf.DUMMYFUNCTION("""COMPUTED_VALUE"""),0.0)</f>
        <v>0</v>
      </c>
      <c r="R16" s="134">
        <f>IFERROR(__xludf.DUMMYFUNCTION("""COMPUTED_VALUE"""),1451.9600000000005)</f>
        <v>1451.96</v>
      </c>
    </row>
    <row r="17">
      <c r="A17" s="125">
        <v>43588.0</v>
      </c>
      <c r="B17" s="127"/>
      <c r="C17" s="127"/>
      <c r="D17" s="127" t="s">
        <v>268</v>
      </c>
      <c r="E17" s="128"/>
      <c r="F17" s="130"/>
      <c r="G17" s="132">
        <v>-500.0</v>
      </c>
      <c r="H17" s="133" t="s">
        <v>269</v>
      </c>
      <c r="I17" s="134" t="str">
        <f t="shared" ref="I17:J17" si="19">IFS(AND($B17&lt;&gt;"",$E17&lt;&gt;""),IF(INDEX(N:N,MATCH($C17,$P:$P,0),1)&lt;&gt;"",$E17*INDEX(N:N,MATCH($C17,$P:$P,0),1)+$G17,""),AND($B17&lt;&gt;"",$D17="COST"),$G17,TRUE,)</f>
        <v/>
      </c>
      <c r="J17" s="134" t="str">
        <f t="shared" si="19"/>
        <v/>
      </c>
      <c r="K17" s="135" t="str">
        <f t="shared" si="3"/>
        <v/>
      </c>
      <c r="L17" s="136" t="str">
        <f t="shared" si="4"/>
        <v/>
      </c>
      <c r="M17" s="137" t="str">
        <f t="shared" si="5"/>
        <v/>
      </c>
      <c r="N17" s="139" t="str">
        <f t="array" ref="N17">IF($P17&lt;&gt;"",IF(MAXIFS(Investment!$L:$L,Investment!$D:$D,LEFT($P17,40)&amp;"*"),MAXIFS(Investment!$L:$L,Investment!$D:$D,LEFT($P17,40)&amp;"*"),IFERROR(INDEX(Selection!$H:$H, MATCH($P17,Selection!$F:$F,0))/IF(OR(INDEX(Selection!$C:$C, MATCH($P17,Selection!$F:$F,0))="LN",INDEX(Selection!$C:$C, MATCH($P17,Selection!$F:$F,0))="US"),Investment!$K$7,1),"")),"")</f>
        <v/>
      </c>
      <c r="O17" s="144" t="str">
        <f>IF($P17&lt;&gt;"",IF(MAXIFS(Investment!$AG:$AG,Investment!$D:$D,LEFT($P17,40)&amp;"*"),MAXIFS(Investment!$AG:$AG,Investment!$D:$D,LEFT($P17,40)&amp;"*"),""),"")</f>
        <v/>
      </c>
      <c r="P17" s="135" t="str">
        <f>IFERROR(__xludf.DUMMYFUNCTION("""COMPUTED_VALUE"""),"BOUYGUES")</f>
        <v>BOUYGUES</v>
      </c>
      <c r="Q17" s="136">
        <f>IFERROR(__xludf.DUMMYFUNCTION("""COMPUTED_VALUE"""),0.0)</f>
        <v>0</v>
      </c>
      <c r="R17" s="134">
        <f>IFERROR(__xludf.DUMMYFUNCTION("""COMPUTED_VALUE"""),1091.52)</f>
        <v>1091.52</v>
      </c>
    </row>
    <row r="18">
      <c r="A18" s="125">
        <v>43588.0</v>
      </c>
      <c r="B18" s="127"/>
      <c r="C18" s="127"/>
      <c r="D18" s="127" t="s">
        <v>263</v>
      </c>
      <c r="E18" s="128"/>
      <c r="F18" s="130"/>
      <c r="G18" s="132">
        <v>-2.5</v>
      </c>
      <c r="H18" s="133" t="s">
        <v>301</v>
      </c>
      <c r="I18" s="134" t="str">
        <f t="shared" ref="I18:J18" si="20">IFS(AND($B18&lt;&gt;"",$E18&lt;&gt;""),IF(INDEX(N:N,MATCH($C18,$P:$P,0),1)&lt;&gt;"",$E18*INDEX(N:N,MATCH($C18,$P:$P,0),1)+$G18,""),AND($B18&lt;&gt;"",$D18="COST"),$G18,TRUE,)</f>
        <v/>
      </c>
      <c r="J18" s="134" t="str">
        <f t="shared" si="20"/>
        <v/>
      </c>
      <c r="K18" s="135" t="str">
        <f t="shared" si="3"/>
        <v/>
      </c>
      <c r="L18" s="136" t="str">
        <f t="shared" si="4"/>
        <v/>
      </c>
      <c r="M18" s="137" t="str">
        <f t="shared" si="5"/>
        <v/>
      </c>
      <c r="N18" s="139" t="str">
        <f t="array" ref="N18">IF($P18&lt;&gt;"",IF(MAXIFS(Investment!$L:$L,Investment!$D:$D,LEFT($P18,40)&amp;"*"),MAXIFS(Investment!$L:$L,Investment!$D:$D,LEFT($P18,40)&amp;"*"),IFERROR(INDEX(Selection!$H:$H, MATCH($P18,Selection!$F:$F,0))/IF(OR(INDEX(Selection!$C:$C, MATCH($P18,Selection!$F:$F,0))="LN",INDEX(Selection!$C:$C, MATCH($P18,Selection!$F:$F,0))="US"),Investment!$K$7,1),"")),"")</f>
        <v/>
      </c>
      <c r="O18" s="144" t="str">
        <f>IF($P18&lt;&gt;"",IF(MAXIFS(Investment!$AG:$AG,Investment!$D:$D,LEFT($P18,40)&amp;"*"),MAXIFS(Investment!$AG:$AG,Investment!$D:$D,LEFT($P18,40)&amp;"*"),""),"")</f>
        <v/>
      </c>
      <c r="P18" s="135" t="str">
        <f>IFERROR(__xludf.DUMMYFUNCTION("""COMPUTED_VALUE"""),"TECHNIP")</f>
        <v>TECHNIP</v>
      </c>
      <c r="Q18" s="136">
        <f>IFERROR(__xludf.DUMMYFUNCTION("""COMPUTED_VALUE"""),0.0)</f>
        <v>0</v>
      </c>
      <c r="R18" s="134">
        <f>IFERROR(__xludf.DUMMYFUNCTION("""COMPUTED_VALUE"""),-690.0699999999999)</f>
        <v>-690.07</v>
      </c>
    </row>
    <row r="19">
      <c r="A19" s="125">
        <v>43588.0</v>
      </c>
      <c r="B19" s="127" t="s">
        <v>243</v>
      </c>
      <c r="C19" s="127" t="s">
        <v>244</v>
      </c>
      <c r="D19" s="127" t="s">
        <v>245</v>
      </c>
      <c r="E19" s="128">
        <v>-295.0</v>
      </c>
      <c r="F19" s="130">
        <v>4.1686</v>
      </c>
      <c r="G19" s="132">
        <v>1229.74</v>
      </c>
      <c r="H19" s="133" t="s">
        <v>304</v>
      </c>
      <c r="I19" s="134">
        <f t="shared" ref="I19:J19" si="21">IFS(AND($B19&lt;&gt;"",$E19&lt;&gt;""),IF(INDEX(N:N,MATCH($C19,$P:$P,0),1)&lt;&gt;"",$E19*INDEX(N:N,MATCH($C19,$P:$P,0),1)+$G19,""),AND($B19&lt;&gt;"",$D19="COST"),$G19,TRUE,)</f>
        <v>-13.626</v>
      </c>
      <c r="J19" s="134">
        <f t="shared" si="21"/>
        <v>73.26619216</v>
      </c>
      <c r="K19" s="135" t="str">
        <f t="shared" si="3"/>
        <v>iShares USD Treasury Bond 20+yr UCITS ETF</v>
      </c>
      <c r="L19" s="136">
        <f t="shared" si="4"/>
        <v>68148</v>
      </c>
      <c r="M19" s="137">
        <f t="shared" si="5"/>
        <v>-279006.89</v>
      </c>
      <c r="N19" s="139" t="str">
        <f t="array" ref="N19">IF($P19&lt;&gt;"",IF(MAXIFS(Investment!$L:$L,Investment!$D:$D,LEFT($P19,40)&amp;"*"),MAXIFS(Investment!$L:$L,Investment!$D:$D,LEFT($P19,40)&amp;"*"),IFERROR(INDEX(Selection!$H:$H, MATCH($P19,Selection!$F:$F,0))/IF(OR(INDEX(Selection!$C:$C, MATCH($P19,Selection!$F:$F,0))="LN",INDEX(Selection!$C:$C, MATCH($P19,Selection!$F:$F,0))="US"),Investment!$K$7,1),"")),"")</f>
        <v/>
      </c>
      <c r="O19" s="144" t="str">
        <f>IF($P19&lt;&gt;"",IF(MAXIFS(Investment!$AG:$AG,Investment!$D:$D,LEFT($P19,40)&amp;"*"),MAXIFS(Investment!$AG:$AG,Investment!$D:$D,LEFT($P19,40)&amp;"*"),""),"")</f>
        <v/>
      </c>
      <c r="P19" s="135" t="str">
        <f>IFERROR(__xludf.DUMMYFUNCTION("""COMPUTED_VALUE"""),"STMICROELECTRONICS")</f>
        <v>STMICROELECTRONICS</v>
      </c>
      <c r="Q19" s="136">
        <f>IFERROR(__xludf.DUMMYFUNCTION("""COMPUTED_VALUE"""),0.0)</f>
        <v>0</v>
      </c>
      <c r="R19" s="134">
        <f>IFERROR(__xludf.DUMMYFUNCTION("""COMPUTED_VALUE"""),1209.7000000000044)</f>
        <v>1209.7</v>
      </c>
    </row>
    <row r="20">
      <c r="A20" s="125">
        <v>43588.0</v>
      </c>
      <c r="B20" s="127" t="s">
        <v>243</v>
      </c>
      <c r="C20" s="127" t="s">
        <v>244</v>
      </c>
      <c r="D20" s="127" t="s">
        <v>263</v>
      </c>
      <c r="E20" s="128"/>
      <c r="F20" s="130"/>
      <c r="G20" s="132">
        <v>-2.25</v>
      </c>
      <c r="H20" s="133" t="s">
        <v>306</v>
      </c>
      <c r="I20" s="134">
        <f t="shared" ref="I20:J20" si="22">IFS(AND($B20&lt;&gt;"",$E20&lt;&gt;""),IF(INDEX(N:N,MATCH($C20,$P:$P,0),1)&lt;&gt;"",$E20*INDEX(N:N,MATCH($C20,$P:$P,0),1)+$G20,""),AND($B20&lt;&gt;"",$D20="COST"),$G20,TRUE,)</f>
        <v>-2.25</v>
      </c>
      <c r="J20" s="134">
        <f t="shared" si="22"/>
        <v>-2.25</v>
      </c>
      <c r="K20" s="135" t="str">
        <f t="shared" si="3"/>
        <v>iShares USD Treasury Bond 20+yr UCITS ETF</v>
      </c>
      <c r="L20" s="136">
        <f t="shared" si="4"/>
        <v>68148</v>
      </c>
      <c r="M20" s="137">
        <f t="shared" si="5"/>
        <v>-279006.89</v>
      </c>
      <c r="N20" s="139" t="str">
        <f t="array" ref="N20">IF($P20&lt;&gt;"",IF(MAXIFS(Investment!$L:$L,Investment!$D:$D,LEFT($P20,40)&amp;"*"),MAXIFS(Investment!$L:$L,Investment!$D:$D,LEFT($P20,40)&amp;"*"),IFERROR(INDEX(Selection!$H:$H, MATCH($P20,Selection!$F:$F,0))/IF(OR(INDEX(Selection!$C:$C, MATCH($P20,Selection!$F:$F,0))="LN",INDEX(Selection!$C:$C, MATCH($P20,Selection!$F:$F,0))="US"),Investment!$K$7,1),"")),"")</f>
        <v/>
      </c>
      <c r="O20" s="144" t="str">
        <f>IF($P20&lt;&gt;"",IF(MAXIFS(Investment!$AG:$AG,Investment!$D:$D,LEFT($P20,40)&amp;"*"),MAXIFS(Investment!$AG:$AG,Investment!$D:$D,LEFT($P20,40)&amp;"*"),""),"")</f>
        <v/>
      </c>
      <c r="P20" s="135" t="str">
        <f>IFERROR(__xludf.DUMMYFUNCTION("""COMPUTED_VALUE"""),"ALSTOM REGROUPT")</f>
        <v>ALSTOM REGROUPT</v>
      </c>
      <c r="Q20" s="136">
        <f>IFERROR(__xludf.DUMMYFUNCTION("""COMPUTED_VALUE"""),0.0)</f>
        <v>0</v>
      </c>
      <c r="R20" s="134">
        <f>IFERROR(__xludf.DUMMYFUNCTION("""COMPUTED_VALUE"""),3485.4)</f>
        <v>3485.4</v>
      </c>
    </row>
    <row r="21">
      <c r="A21" s="125">
        <v>43584.0</v>
      </c>
      <c r="B21" s="127" t="s">
        <v>307</v>
      </c>
      <c r="C21" s="127" t="s">
        <v>308</v>
      </c>
      <c r="D21" s="127" t="s">
        <v>245</v>
      </c>
      <c r="E21" s="128">
        <v>-25.0</v>
      </c>
      <c r="F21" s="130">
        <v>50.092</v>
      </c>
      <c r="G21" s="132">
        <v>1252.3</v>
      </c>
      <c r="H21" s="133" t="s">
        <v>309</v>
      </c>
      <c r="I21" s="134">
        <f t="shared" ref="I21:J21" si="23">IFS(AND($B21&lt;&gt;"",$E21&lt;&gt;""),IF(INDEX(N:N,MATCH($C21,$P:$P,0),1)&lt;&gt;"",$E21*INDEX(N:N,MATCH($C21,$P:$P,0),1)+$G21,""),AND($B21&lt;&gt;"",$D21="COST"),$G21,TRUE,)</f>
        <v>51.55</v>
      </c>
      <c r="J21" s="134">
        <f t="shared" si="23"/>
        <v>104.1252941</v>
      </c>
      <c r="K21" s="135" t="str">
        <f t="shared" si="3"/>
        <v>Vanguard S&amp;P 500 UCITS ETF</v>
      </c>
      <c r="L21" s="136">
        <f t="shared" si="4"/>
        <v>4429</v>
      </c>
      <c r="M21" s="137">
        <f t="shared" si="5"/>
        <v>-189831.65</v>
      </c>
      <c r="N21" s="139" t="str">
        <f t="array" ref="N21">IF($P21&lt;&gt;"",IF(MAXIFS(Investment!$L:$L,Investment!$D:$D,LEFT($P21,40)&amp;"*"),MAXIFS(Investment!$L:$L,Investment!$D:$D,LEFT($P21,40)&amp;"*"),IFERROR(INDEX(Selection!$H:$H, MATCH($P21,Selection!$F:$F,0))/IF(OR(INDEX(Selection!$C:$C, MATCH($P21,Selection!$F:$F,0))="LN",INDEX(Selection!$C:$C, MATCH($P21,Selection!$F:$F,0))="US"),Investment!$K$7,1),"")),"")</f>
        <v/>
      </c>
      <c r="O21" s="144" t="str">
        <f>IF($P21&lt;&gt;"",IF(MAXIFS(Investment!$AG:$AG,Investment!$D:$D,LEFT($P21,40)&amp;"*"),MAXIFS(Investment!$AG:$AG,Investment!$D:$D,LEFT($P21,40)&amp;"*"),""),"")</f>
        <v/>
      </c>
      <c r="P21" s="135" t="str">
        <f>IFERROR(__xludf.DUMMYFUNCTION("""COMPUTED_VALUE"""),"ANF IMMOBILIER")</f>
        <v>ANF IMMOBILIER</v>
      </c>
      <c r="Q21" s="136">
        <f>IFERROR(__xludf.DUMMYFUNCTION("""COMPUTED_VALUE"""),0.0)</f>
        <v>0</v>
      </c>
      <c r="R21" s="134">
        <f>IFERROR(__xludf.DUMMYFUNCTION("""COMPUTED_VALUE"""),-5.5)</f>
        <v>-5.5</v>
      </c>
    </row>
    <row r="22">
      <c r="A22" s="125">
        <v>43580.0</v>
      </c>
      <c r="B22" s="127" t="s">
        <v>243</v>
      </c>
      <c r="C22" s="127" t="s">
        <v>244</v>
      </c>
      <c r="D22" s="127" t="s">
        <v>245</v>
      </c>
      <c r="E22" s="128">
        <v>-544.0</v>
      </c>
      <c r="F22" s="130">
        <v>4.1629</v>
      </c>
      <c r="G22" s="132">
        <v>2264.67</v>
      </c>
      <c r="H22" s="133" t="s">
        <v>313</v>
      </c>
      <c r="I22" s="134">
        <f t="shared" ref="I22:J22" si="24">IFS(AND($B22&lt;&gt;"",$E22&lt;&gt;""),IF(INDEX(N:N,MATCH($C22,$P:$P,0),1)&lt;&gt;"",$E22*INDEX(N:N,MATCH($C22,$P:$P,0),1)+$G22,""),AND($B22&lt;&gt;"",$D22="COST"),$G22,TRUE,)</f>
        <v>-28.1812</v>
      </c>
      <c r="J22" s="134">
        <f t="shared" si="24"/>
        <v>132.0538933</v>
      </c>
      <c r="K22" s="135" t="str">
        <f t="shared" si="3"/>
        <v>iShares USD Treasury Bond 20+yr UCITS ETF</v>
      </c>
      <c r="L22" s="136">
        <f t="shared" si="4"/>
        <v>68148</v>
      </c>
      <c r="M22" s="137">
        <f t="shared" si="5"/>
        <v>-279006.89</v>
      </c>
      <c r="N22" s="139" t="str">
        <f t="array" ref="N22">IF($P22&lt;&gt;"",IF(MAXIFS(Investment!$L:$L,Investment!$D:$D,LEFT($P22,40)&amp;"*"),MAXIFS(Investment!$L:$L,Investment!$D:$D,LEFT($P22,40)&amp;"*"),IFERROR(INDEX(Selection!$H:$H, MATCH($P22,Selection!$F:$F,0))/IF(OR(INDEX(Selection!$C:$C, MATCH($P22,Selection!$F:$F,0))="LN",INDEX(Selection!$C:$C, MATCH($P22,Selection!$F:$F,0))="US"),Investment!$K$7,1),"")),"")</f>
        <v/>
      </c>
      <c r="O22" s="144" t="str">
        <f>IF($P22&lt;&gt;"",IF(MAXIFS(Investment!$AG:$AG,Investment!$D:$D,LEFT($P22,40)&amp;"*"),MAXIFS(Investment!$AG:$AG,Investment!$D:$D,LEFT($P22,40)&amp;"*"),""),"")</f>
        <v/>
      </c>
      <c r="P22" s="135" t="str">
        <f>IFERROR(__xludf.DUMMYFUNCTION("""COMPUTED_VALUE"""),"SANOFI")</f>
        <v>SANOFI</v>
      </c>
      <c r="Q22" s="136">
        <f>IFERROR(__xludf.DUMMYFUNCTION("""COMPUTED_VALUE"""),0.0)</f>
        <v>0</v>
      </c>
      <c r="R22" s="134">
        <f>IFERROR(__xludf.DUMMYFUNCTION("""COMPUTED_VALUE"""),-32.189999999999955)</f>
        <v>-32.19</v>
      </c>
    </row>
    <row r="23">
      <c r="A23" s="125">
        <v>43580.0</v>
      </c>
      <c r="B23" s="127" t="s">
        <v>243</v>
      </c>
      <c r="C23" s="127" t="s">
        <v>244</v>
      </c>
      <c r="D23" s="127" t="s">
        <v>263</v>
      </c>
      <c r="E23" s="128"/>
      <c r="F23" s="130"/>
      <c r="G23" s="132">
        <v>-2.45</v>
      </c>
      <c r="H23" s="133" t="s">
        <v>314</v>
      </c>
      <c r="I23" s="134">
        <f t="shared" ref="I23:J23" si="25">IFS(AND($B23&lt;&gt;"",$E23&lt;&gt;""),IF(INDEX(N:N,MATCH($C23,$P:$P,0),1)&lt;&gt;"",$E23*INDEX(N:N,MATCH($C23,$P:$P,0),1)+$G23,""),AND($B23&lt;&gt;"",$D23="COST"),$G23,TRUE,)</f>
        <v>-2.45</v>
      </c>
      <c r="J23" s="134">
        <f t="shared" si="25"/>
        <v>-2.45</v>
      </c>
      <c r="K23" s="135" t="str">
        <f t="shared" si="3"/>
        <v>iShares USD Treasury Bond 20+yr UCITS ETF</v>
      </c>
      <c r="L23" s="136">
        <f t="shared" si="4"/>
        <v>68148</v>
      </c>
      <c r="M23" s="137">
        <f t="shared" si="5"/>
        <v>-279006.89</v>
      </c>
      <c r="N23" s="139" t="str">
        <f t="array" ref="N23">IF($P23&lt;&gt;"",IF(MAXIFS(Investment!$L:$L,Investment!$D:$D,LEFT($P23,40)&amp;"*"),MAXIFS(Investment!$L:$L,Investment!$D:$D,LEFT($P23,40)&amp;"*"),IFERROR(INDEX(Selection!$H:$H, MATCH($P23,Selection!$F:$F,0))/IF(OR(INDEX(Selection!$C:$C, MATCH($P23,Selection!$F:$F,0))="LN",INDEX(Selection!$C:$C, MATCH($P23,Selection!$F:$F,0))="US"),Investment!$K$7,1),"")),"")</f>
        <v/>
      </c>
      <c r="O23" s="144" t="str">
        <f>IF($P23&lt;&gt;"",IF(MAXIFS(Investment!$AG:$AG,Investment!$D:$D,LEFT($P23,40)&amp;"*"),MAXIFS(Investment!$AG:$AG,Investment!$D:$D,LEFT($P23,40)&amp;"*"),""),"")</f>
        <v/>
      </c>
      <c r="P23" s="135" t="str">
        <f>IFERROR(__xludf.DUMMYFUNCTION("""COMPUTED_VALUE"""),"UNIBAIL RODAMCO SE")</f>
        <v>UNIBAIL RODAMCO SE</v>
      </c>
      <c r="Q23" s="136">
        <f>IFERROR(__xludf.DUMMYFUNCTION("""COMPUTED_VALUE"""),0.0)</f>
        <v>0</v>
      </c>
      <c r="R23" s="134">
        <f>IFERROR(__xludf.DUMMYFUNCTION("""COMPUTED_VALUE"""),107.69999999999986)</f>
        <v>107.7</v>
      </c>
    </row>
    <row r="24">
      <c r="A24" s="125">
        <v>43579.0</v>
      </c>
      <c r="B24" s="127" t="s">
        <v>277</v>
      </c>
      <c r="C24" s="127" t="s">
        <v>278</v>
      </c>
      <c r="D24" s="127" t="s">
        <v>245</v>
      </c>
      <c r="E24" s="128">
        <v>-6.0</v>
      </c>
      <c r="F24" s="130">
        <v>175.0</v>
      </c>
      <c r="G24" s="132">
        <v>1050.0</v>
      </c>
      <c r="H24" s="133" t="s">
        <v>317</v>
      </c>
      <c r="I24" s="134">
        <f t="shared" ref="I24:J24" si="26">IFS(AND($B24&lt;&gt;"",$E24&lt;&gt;""),IF(INDEX(N:N,MATCH($C24,$P:$P,0),1)&lt;&gt;"",$E24*INDEX(N:N,MATCH($C24,$P:$P,0),1)+$G24,""),AND($B24&lt;&gt;"",$D24="COST"),$G24,TRUE,)</f>
        <v>-8.94</v>
      </c>
      <c r="J24" s="134">
        <f t="shared" si="26"/>
        <v>56.20729412</v>
      </c>
      <c r="K24" s="135" t="str">
        <f t="shared" si="3"/>
        <v>iShares USD Treasury Bond 7-10yr UCITS ETF</v>
      </c>
      <c r="L24" s="136">
        <f t="shared" si="4"/>
        <v>622</v>
      </c>
      <c r="M24" s="137">
        <f t="shared" si="5"/>
        <v>-96952.49</v>
      </c>
      <c r="N24" s="139" t="str">
        <f t="array" ref="N24">IF($P24&lt;&gt;"",IF(MAXIFS(Investment!$L:$L,Investment!$D:$D,LEFT($P24,40)&amp;"*"),MAXIFS(Investment!$L:$L,Investment!$D:$D,LEFT($P24,40)&amp;"*"),IFERROR(INDEX(Selection!$H:$H, MATCH($P24,Selection!$F:$F,0))/IF(OR(INDEX(Selection!$C:$C, MATCH($P24,Selection!$F:$F,0))="LN",INDEX(Selection!$C:$C, MATCH($P24,Selection!$F:$F,0))="US"),Investment!$K$7,1),"")),"")</f>
        <v/>
      </c>
      <c r="O24" s="144" t="str">
        <f>IF($P24&lt;&gt;"",IF(MAXIFS(Investment!$AG:$AG,Investment!$D:$D,LEFT($P24,40)&amp;"*"),MAXIFS(Investment!$AG:$AG,Investment!$D:$D,LEFT($P24,40)&amp;"*"),""),"")</f>
        <v/>
      </c>
      <c r="P24" s="135" t="str">
        <f>IFERROR(__xludf.DUMMYFUNCTION("""COMPUTED_VALUE"""),"ORANGE")</f>
        <v>ORANGE</v>
      </c>
      <c r="Q24" s="136">
        <f>IFERROR(__xludf.DUMMYFUNCTION("""COMPUTED_VALUE"""),0.0)</f>
        <v>0</v>
      </c>
      <c r="R24" s="134">
        <f>IFERROR(__xludf.DUMMYFUNCTION("""COMPUTED_VALUE"""),-68.11999999999989)</f>
        <v>-68.12</v>
      </c>
    </row>
    <row r="25">
      <c r="A25" s="125">
        <v>43579.0</v>
      </c>
      <c r="B25" s="127" t="s">
        <v>307</v>
      </c>
      <c r="C25" s="127" t="s">
        <v>308</v>
      </c>
      <c r="D25" s="127" t="s">
        <v>245</v>
      </c>
      <c r="E25" s="128">
        <v>-21.0</v>
      </c>
      <c r="F25" s="130">
        <v>49.729</v>
      </c>
      <c r="G25" s="132">
        <v>1044.31</v>
      </c>
      <c r="H25" s="133" t="s">
        <v>321</v>
      </c>
      <c r="I25" s="134">
        <f t="shared" ref="I25:J25" si="27">IFS(AND($B25&lt;&gt;"",$E25&lt;&gt;""),IF(INDEX(N:N,MATCH($C25,$P:$P,0),1)&lt;&gt;"",$E25*INDEX(N:N,MATCH($C25,$P:$P,0),1)+$G25,""),AND($B25&lt;&gt;"",$D25="COST"),$G25,TRUE,)</f>
        <v>35.68</v>
      </c>
      <c r="J25" s="134">
        <f t="shared" si="27"/>
        <v>79.84324706</v>
      </c>
      <c r="K25" s="135" t="str">
        <f t="shared" si="3"/>
        <v>Vanguard S&amp;P 500 UCITS ETF</v>
      </c>
      <c r="L25" s="136">
        <f t="shared" si="4"/>
        <v>4429</v>
      </c>
      <c r="M25" s="137">
        <f t="shared" si="5"/>
        <v>-189831.65</v>
      </c>
      <c r="N25" s="139" t="str">
        <f t="array" ref="N25">IF($P25&lt;&gt;"",IF(MAXIFS(Investment!$L:$L,Investment!$D:$D,LEFT($P25,40)&amp;"*"),MAXIFS(Investment!$L:$L,Investment!$D:$D,LEFT($P25,40)&amp;"*"),IFERROR(INDEX(Selection!$H:$H, MATCH($P25,Selection!$F:$F,0))/IF(OR(INDEX(Selection!$C:$C, MATCH($P25,Selection!$F:$F,0))="LN",INDEX(Selection!$C:$C, MATCH($P25,Selection!$F:$F,0))="US"),Investment!$K$7,1),"")),"")</f>
        <v/>
      </c>
      <c r="O25" s="144" t="str">
        <f>IF($P25&lt;&gt;"",IF(MAXIFS(Investment!$AG:$AG,Investment!$D:$D,LEFT($P25,40)&amp;"*"),MAXIFS(Investment!$AG:$AG,Investment!$D:$D,LEFT($P25,40)&amp;"*"),""),"")</f>
        <v/>
      </c>
      <c r="P25" s="135" t="str">
        <f>IFERROR(__xludf.DUMMYFUNCTION("""COMPUTED_VALUE"""),"GDF SUEZ")</f>
        <v>GDF SUEZ</v>
      </c>
      <c r="Q25" s="136">
        <f>IFERROR(__xludf.DUMMYFUNCTION("""COMPUTED_VALUE"""),0.0)</f>
        <v>0</v>
      </c>
      <c r="R25" s="134">
        <f>IFERROR(__xludf.DUMMYFUNCTION("""COMPUTED_VALUE"""),123.37000000000012)</f>
        <v>123.37</v>
      </c>
    </row>
    <row r="26">
      <c r="A26" s="125">
        <v>43579.0</v>
      </c>
      <c r="B26" s="127" t="s">
        <v>243</v>
      </c>
      <c r="C26" s="127" t="s">
        <v>244</v>
      </c>
      <c r="D26" s="127" t="s">
        <v>245</v>
      </c>
      <c r="E26" s="128">
        <v>-330.0</v>
      </c>
      <c r="F26" s="130">
        <v>4.141</v>
      </c>
      <c r="G26" s="132">
        <v>1366.53</v>
      </c>
      <c r="H26" s="133" t="s">
        <v>322</v>
      </c>
      <c r="I26" s="134">
        <f t="shared" ref="I26:J26" si="28">IFS(AND($B26&lt;&gt;"",$E26&lt;&gt;""),IF(INDEX(N:N,MATCH($C26,$P:$P,0),1)&lt;&gt;"",$E26*INDEX(N:N,MATCH($C26,$P:$P,0),1)+$G26,""),AND($B26&lt;&gt;"",$D26="COST"),$G26,TRUE,)</f>
        <v>-24.354</v>
      </c>
      <c r="J26" s="134">
        <f t="shared" si="28"/>
        <v>72.84743529</v>
      </c>
      <c r="K26" s="135" t="str">
        <f t="shared" si="3"/>
        <v>iShares USD Treasury Bond 20+yr UCITS ETF</v>
      </c>
      <c r="L26" s="136">
        <f t="shared" si="4"/>
        <v>68148</v>
      </c>
      <c r="M26" s="137">
        <f t="shared" si="5"/>
        <v>-279006.89</v>
      </c>
      <c r="N26" s="139" t="str">
        <f t="array" ref="N26">IF($P26&lt;&gt;"",IF(MAXIFS(Investment!$L:$L,Investment!$D:$D,LEFT($P26,40)&amp;"*"),MAXIFS(Investment!$L:$L,Investment!$D:$D,LEFT($P26,40)&amp;"*"),IFERROR(INDEX(Selection!$H:$H, MATCH($P26,Selection!$F:$F,0))/IF(OR(INDEX(Selection!$C:$C, MATCH($P26,Selection!$F:$F,0))="LN",INDEX(Selection!$C:$C, MATCH($P26,Selection!$F:$F,0))="US"),Investment!$K$7,1),"")),"")</f>
        <v/>
      </c>
      <c r="O26" s="144" t="str">
        <f>IF($P26&lt;&gt;"",IF(MAXIFS(Investment!$AG:$AG,Investment!$D:$D,LEFT($P26,40)&amp;"*"),MAXIFS(Investment!$AG:$AG,Investment!$D:$D,LEFT($P26,40)&amp;"*"),""),"")</f>
        <v/>
      </c>
      <c r="P26" s="135" t="str">
        <f>IFERROR(__xludf.DUMMYFUNCTION("""COMPUTED_VALUE"""),"ABC ARBITRAGE")</f>
        <v>ABC ARBITRAGE</v>
      </c>
      <c r="Q26" s="136">
        <f>IFERROR(__xludf.DUMMYFUNCTION("""COMPUTED_VALUE"""),0.0)</f>
        <v>0</v>
      </c>
      <c r="R26" s="134">
        <f>IFERROR(__xludf.DUMMYFUNCTION("""COMPUTED_VALUE"""),217.05999999999995)</f>
        <v>217.06</v>
      </c>
    </row>
    <row r="27">
      <c r="A27" s="125">
        <v>43579.0</v>
      </c>
      <c r="B27" s="127" t="s">
        <v>243</v>
      </c>
      <c r="C27" s="127" t="s">
        <v>244</v>
      </c>
      <c r="D27" s="127" t="s">
        <v>263</v>
      </c>
      <c r="E27" s="128"/>
      <c r="F27" s="130"/>
      <c r="G27" s="132">
        <v>-2.27</v>
      </c>
      <c r="H27" s="133" t="s">
        <v>326</v>
      </c>
      <c r="I27" s="134">
        <f t="shared" ref="I27:J27" si="29">IFS(AND($B27&lt;&gt;"",$E27&lt;&gt;""),IF(INDEX(N:N,MATCH($C27,$P:$P,0),1)&lt;&gt;"",$E27*INDEX(N:N,MATCH($C27,$P:$P,0),1)+$G27,""),AND($B27&lt;&gt;"",$D27="COST"),$G27,TRUE,)</f>
        <v>-2.27</v>
      </c>
      <c r="J27" s="134">
        <f t="shared" si="29"/>
        <v>-2.27</v>
      </c>
      <c r="K27" s="135" t="str">
        <f t="shared" si="3"/>
        <v>iShares USD Treasury Bond 20+yr UCITS ETF</v>
      </c>
      <c r="L27" s="136">
        <f t="shared" si="4"/>
        <v>68148</v>
      </c>
      <c r="M27" s="137">
        <f t="shared" si="5"/>
        <v>-279006.89</v>
      </c>
      <c r="N27" s="139" t="str">
        <f t="array" ref="N27">IF($P27&lt;&gt;"",IF(MAXIFS(Investment!$L:$L,Investment!$D:$D,LEFT($P27,40)&amp;"*"),MAXIFS(Investment!$L:$L,Investment!$D:$D,LEFT($P27,40)&amp;"*"),IFERROR(INDEX(Selection!$H:$H, MATCH($P27,Selection!$F:$F,0))/IF(OR(INDEX(Selection!$C:$C, MATCH($P27,Selection!$F:$F,0))="LN",INDEX(Selection!$C:$C, MATCH($P27,Selection!$F:$F,0))="US"),Investment!$K$7,1),"")),"")</f>
        <v/>
      </c>
      <c r="O27" s="144" t="str">
        <f>IF($P27&lt;&gt;"",IF(MAXIFS(Investment!$AG:$AG,Investment!$D:$D,LEFT($P27,40)&amp;"*"),MAXIFS(Investment!$AG:$AG,Investment!$D:$D,LEFT($P27,40)&amp;"*"),""),"")</f>
        <v/>
      </c>
      <c r="P27" s="135" t="str">
        <f>IFERROR(__xludf.DUMMYFUNCTION("""COMPUTED_VALUE"""),"TOTAL SA")</f>
        <v>TOTAL SA</v>
      </c>
      <c r="Q27" s="136">
        <f>IFERROR(__xludf.DUMMYFUNCTION("""COMPUTED_VALUE"""),0.0)</f>
        <v>0</v>
      </c>
      <c r="R27" s="134">
        <f>IFERROR(__xludf.DUMMYFUNCTION("""COMPUTED_VALUE"""),137.90999999999985)</f>
        <v>137.91</v>
      </c>
    </row>
    <row r="28">
      <c r="A28" s="125">
        <v>43579.0</v>
      </c>
      <c r="B28" s="127" t="s">
        <v>307</v>
      </c>
      <c r="C28" s="127" t="s">
        <v>308</v>
      </c>
      <c r="D28" s="127" t="s">
        <v>245</v>
      </c>
      <c r="E28" s="128">
        <v>-23.0</v>
      </c>
      <c r="F28" s="130">
        <v>49.6999</v>
      </c>
      <c r="G28" s="132">
        <v>1143.1</v>
      </c>
      <c r="H28" s="133" t="s">
        <v>330</v>
      </c>
      <c r="I28" s="134">
        <f t="shared" ref="I28:J28" si="30">IFS(AND($B28&lt;&gt;"",$E28&lt;&gt;""),IF(INDEX(N:N,MATCH($C28,$P:$P,0),1)&lt;&gt;"",$E28*INDEX(N:N,MATCH($C28,$P:$P,0),1)+$G28,""),AND($B28&lt;&gt;"",$D28="COST"),$G28,TRUE,)</f>
        <v>38.41</v>
      </c>
      <c r="J28" s="134">
        <f t="shared" si="30"/>
        <v>86.77927059</v>
      </c>
      <c r="K28" s="135" t="str">
        <f t="shared" si="3"/>
        <v>Vanguard S&amp;P 500 UCITS ETF</v>
      </c>
      <c r="L28" s="136">
        <f t="shared" si="4"/>
        <v>4429</v>
      </c>
      <c r="M28" s="137">
        <f t="shared" si="5"/>
        <v>-189831.65</v>
      </c>
      <c r="N28" s="139" t="str">
        <f t="array" ref="N28">IF($P28&lt;&gt;"",IF(MAXIFS(Investment!$L:$L,Investment!$D:$D,LEFT($P28,40)&amp;"*"),MAXIFS(Investment!$L:$L,Investment!$D:$D,LEFT($P28,40)&amp;"*"),IFERROR(INDEX(Selection!$H:$H, MATCH($P28,Selection!$F:$F,0))/IF(OR(INDEX(Selection!$C:$C, MATCH($P28,Selection!$F:$F,0))="LN",INDEX(Selection!$C:$C, MATCH($P28,Selection!$F:$F,0))="US"),Investment!$K$7,1),"")),"")</f>
        <v/>
      </c>
      <c r="O28" s="144" t="str">
        <f>IF($P28&lt;&gt;"",IF(MAXIFS(Investment!$AG:$AG,Investment!$D:$D,LEFT($P28,40)&amp;"*"),MAXIFS(Investment!$AG:$AG,Investment!$D:$D,LEFT($P28,40)&amp;"*"),""),"")</f>
        <v/>
      </c>
      <c r="P28" s="135" t="str">
        <f>IFERROR(__xludf.DUMMYFUNCTION("""COMPUTED_VALUE"""),"FRANCE TELECOM")</f>
        <v>FRANCE TELECOM</v>
      </c>
      <c r="Q28" s="136">
        <f>IFERROR(__xludf.DUMMYFUNCTION("""COMPUTED_VALUE"""),0.0)</f>
        <v>0</v>
      </c>
      <c r="R28" s="134">
        <f>IFERROR(__xludf.DUMMYFUNCTION("""COMPUTED_VALUE"""),1049.8199999999997)</f>
        <v>1049.82</v>
      </c>
    </row>
    <row r="29">
      <c r="A29" s="125">
        <v>43579.0</v>
      </c>
      <c r="B29" s="127" t="s">
        <v>243</v>
      </c>
      <c r="C29" s="127" t="s">
        <v>244</v>
      </c>
      <c r="D29" s="127" t="s">
        <v>245</v>
      </c>
      <c r="E29" s="128">
        <v>-320.0</v>
      </c>
      <c r="F29" s="130">
        <v>4.1356</v>
      </c>
      <c r="G29" s="132">
        <v>1323.42</v>
      </c>
      <c r="H29" s="133" t="s">
        <v>335</v>
      </c>
      <c r="I29" s="134">
        <f t="shared" ref="I29:J29" si="31">IFS(AND($B29&lt;&gt;"",$E29&lt;&gt;""),IF(INDEX(N:N,MATCH($C29,$P:$P,0),1)&lt;&gt;"",$E29*INDEX(N:N,MATCH($C29,$P:$P,0),1)+$G29,""),AND($B29&lt;&gt;"",$D29="COST"),$G29,TRUE,)</f>
        <v>-25.316</v>
      </c>
      <c r="J29" s="134">
        <f t="shared" si="31"/>
        <v>68.93993725</v>
      </c>
      <c r="K29" s="135" t="str">
        <f t="shared" si="3"/>
        <v>iShares USD Treasury Bond 20+yr UCITS ETF</v>
      </c>
      <c r="L29" s="136">
        <f t="shared" si="4"/>
        <v>68148</v>
      </c>
      <c r="M29" s="137">
        <f t="shared" si="5"/>
        <v>-279006.89</v>
      </c>
      <c r="N29" s="139" t="str">
        <f t="array" ref="N29">IF($P29&lt;&gt;"",IF(MAXIFS(Investment!$L:$L,Investment!$D:$D,LEFT($P29,40)&amp;"*"),MAXIFS(Investment!$L:$L,Investment!$D:$D,LEFT($P29,40)&amp;"*"),IFERROR(INDEX(Selection!$H:$H, MATCH($P29,Selection!$F:$F,0))/IF(OR(INDEX(Selection!$C:$C, MATCH($P29,Selection!$F:$F,0))="LN",INDEX(Selection!$C:$C, MATCH($P29,Selection!$F:$F,0))="US"),Investment!$K$7,1),"")),"")</f>
        <v/>
      </c>
      <c r="O29" s="144" t="str">
        <f>IF($P29&lt;&gt;"",IF(MAXIFS(Investment!$AG:$AG,Investment!$D:$D,LEFT($P29,40)&amp;"*"),MAXIFS(Investment!$AG:$AG,Investment!$D:$D,LEFT($P29,40)&amp;"*"),""),"")</f>
        <v/>
      </c>
      <c r="P29" s="135" t="str">
        <f>IFERROR(__xludf.DUMMYFUNCTION("""COMPUTED_VALUE"""),"VIVENDI")</f>
        <v>VIVENDI</v>
      </c>
      <c r="Q29" s="136">
        <f>IFERROR(__xludf.DUMMYFUNCTION("""COMPUTED_VALUE"""),0.0)</f>
        <v>0</v>
      </c>
      <c r="R29" s="134">
        <f>IFERROR(__xludf.DUMMYFUNCTION("""COMPUTED_VALUE"""),460.3100000000004)</f>
        <v>460.31</v>
      </c>
    </row>
    <row r="30">
      <c r="A30" s="125">
        <v>43579.0</v>
      </c>
      <c r="B30" s="127" t="s">
        <v>243</v>
      </c>
      <c r="C30" s="127" t="s">
        <v>244</v>
      </c>
      <c r="D30" s="127" t="s">
        <v>263</v>
      </c>
      <c r="E30" s="128"/>
      <c r="F30" s="130"/>
      <c r="G30" s="132">
        <v>-2.26</v>
      </c>
      <c r="H30" s="133" t="s">
        <v>336</v>
      </c>
      <c r="I30" s="134">
        <f t="shared" ref="I30:J30" si="32">IFS(AND($B30&lt;&gt;"",$E30&lt;&gt;""),IF(INDEX(N:N,MATCH($C30,$P:$P,0),1)&lt;&gt;"",$E30*INDEX(N:N,MATCH($C30,$P:$P,0),1)+$G30,""),AND($B30&lt;&gt;"",$D30="COST"),$G30,TRUE,)</f>
        <v>-2.26</v>
      </c>
      <c r="J30" s="134">
        <f t="shared" si="32"/>
        <v>-2.26</v>
      </c>
      <c r="K30" s="135" t="str">
        <f t="shared" si="3"/>
        <v>iShares USD Treasury Bond 20+yr UCITS ETF</v>
      </c>
      <c r="L30" s="136">
        <f t="shared" si="4"/>
        <v>68148</v>
      </c>
      <c r="M30" s="137">
        <f t="shared" si="5"/>
        <v>-279006.89</v>
      </c>
      <c r="N30" s="139" t="str">
        <f t="array" ref="N30">IF($P30&lt;&gt;"",IF(MAXIFS(Investment!$L:$L,Investment!$D:$D,LEFT($P30,40)&amp;"*"),MAXIFS(Investment!$L:$L,Investment!$D:$D,LEFT($P30,40)&amp;"*"),IFERROR(INDEX(Selection!$H:$H, MATCH($P30,Selection!$F:$F,0))/IF(OR(INDEX(Selection!$C:$C, MATCH($P30,Selection!$F:$F,0))="LN",INDEX(Selection!$C:$C, MATCH($P30,Selection!$F:$F,0))="US"),Investment!$K$7,1),"")),"")</f>
        <v/>
      </c>
      <c r="O30" s="144" t="str">
        <f>IF($P30&lt;&gt;"",IF(MAXIFS(Investment!$AG:$AG,Investment!$D:$D,LEFT($P30,40)&amp;"*"),MAXIFS(Investment!$AG:$AG,Investment!$D:$D,LEFT($P30,40)&amp;"*"),""),"")</f>
        <v/>
      </c>
      <c r="P30" s="135" t="str">
        <f>IFERROR(__xludf.DUMMYFUNCTION("""COMPUTED_VALUE"""),"PEUGEOT")</f>
        <v>PEUGEOT</v>
      </c>
      <c r="Q30" s="136">
        <f>IFERROR(__xludf.DUMMYFUNCTION("""COMPUTED_VALUE"""),0.0)</f>
        <v>0</v>
      </c>
      <c r="R30" s="134">
        <f>IFERROR(__xludf.DUMMYFUNCTION("""COMPUTED_VALUE"""),-532.01)</f>
        <v>-532.01</v>
      </c>
    </row>
    <row r="31">
      <c r="A31" s="125">
        <v>43579.0</v>
      </c>
      <c r="B31" s="127" t="s">
        <v>277</v>
      </c>
      <c r="C31" s="127" t="s">
        <v>278</v>
      </c>
      <c r="D31" s="127" t="s">
        <v>245</v>
      </c>
      <c r="E31" s="128">
        <v>-6.0</v>
      </c>
      <c r="F31" s="130">
        <v>174.67</v>
      </c>
      <c r="G31" s="132">
        <v>1048.02</v>
      </c>
      <c r="H31" s="133" t="s">
        <v>341</v>
      </c>
      <c r="I31" s="134">
        <f t="shared" ref="I31:J31" si="33">IFS(AND($B31&lt;&gt;"",$E31&lt;&gt;""),IF(INDEX(N:N,MATCH($C31,$P:$P,0),1)&lt;&gt;"",$E31*INDEX(N:N,MATCH($C31,$P:$P,0),1)+$G31,""),AND($B31&lt;&gt;"",$D31="COST"),$G31,TRUE,)</f>
        <v>-10.92</v>
      </c>
      <c r="J31" s="134">
        <f t="shared" si="33"/>
        <v>54.22729412</v>
      </c>
      <c r="K31" s="135" t="str">
        <f t="shared" si="3"/>
        <v>iShares USD Treasury Bond 7-10yr UCITS ETF</v>
      </c>
      <c r="L31" s="136">
        <f t="shared" si="4"/>
        <v>622</v>
      </c>
      <c r="M31" s="137">
        <f t="shared" si="5"/>
        <v>-96952.49</v>
      </c>
      <c r="N31" s="139" t="str">
        <f t="array" ref="N31">IF($P31&lt;&gt;"",IF(MAXIFS(Investment!$L:$L,Investment!$D:$D,LEFT($P31,40)&amp;"*"),MAXIFS(Investment!$L:$L,Investment!$D:$D,LEFT($P31,40)&amp;"*"),IFERROR(INDEX(Selection!$H:$H, MATCH($P31,Selection!$F:$F,0))/IF(OR(INDEX(Selection!$C:$C, MATCH($P31,Selection!$F:$F,0))="LN",INDEX(Selection!$C:$C, MATCH($P31,Selection!$F:$F,0))="US"),Investment!$K$7,1),"")),"")</f>
        <v/>
      </c>
      <c r="O31" s="144" t="str">
        <f>IF($P31&lt;&gt;"",IF(MAXIFS(Investment!$AG:$AG,Investment!$D:$D,LEFT($P31,40)&amp;"*"),MAXIFS(Investment!$AG:$AG,Investment!$D:$D,LEFT($P31,40)&amp;"*"),""),"")</f>
        <v/>
      </c>
      <c r="P31" s="135" t="str">
        <f>IFERROR(__xludf.DUMMYFUNCTION("""COMPUTED_VALUE"""),"CREDIT AGRICOLE")</f>
        <v>CREDIT AGRICOLE</v>
      </c>
      <c r="Q31" s="136">
        <f>IFERROR(__xludf.DUMMYFUNCTION("""COMPUTED_VALUE"""),0.0)</f>
        <v>0</v>
      </c>
      <c r="R31" s="134">
        <f>IFERROR(__xludf.DUMMYFUNCTION("""COMPUTED_VALUE"""),173.19000000000005)</f>
        <v>173.19</v>
      </c>
    </row>
    <row r="32">
      <c r="A32" s="125">
        <v>43579.0</v>
      </c>
      <c r="B32" s="127" t="s">
        <v>243</v>
      </c>
      <c r="C32" s="127" t="s">
        <v>244</v>
      </c>
      <c r="D32" s="127" t="s">
        <v>245</v>
      </c>
      <c r="E32" s="128">
        <v>-285.0</v>
      </c>
      <c r="F32" s="130">
        <v>4.1217</v>
      </c>
      <c r="G32" s="132">
        <v>1174.71</v>
      </c>
      <c r="H32" s="133" t="s">
        <v>342</v>
      </c>
      <c r="I32" s="134">
        <f t="shared" ref="I32:J32" si="34">IFS(AND($B32&lt;&gt;"",$E32&lt;&gt;""),IF(INDEX(N:N,MATCH($C32,$P:$P,0),1)&lt;&gt;"",$E32*INDEX(N:N,MATCH($C32,$P:$P,0),1)+$G32,""),AND($B32&lt;&gt;"",$D32="COST"),$G32,TRUE,)</f>
        <v>-26.508</v>
      </c>
      <c r="J32" s="134">
        <f t="shared" si="34"/>
        <v>57.43869412</v>
      </c>
      <c r="K32" s="135" t="str">
        <f t="shared" si="3"/>
        <v>iShares USD Treasury Bond 20+yr UCITS ETF</v>
      </c>
      <c r="L32" s="136">
        <f t="shared" si="4"/>
        <v>68148</v>
      </c>
      <c r="M32" s="137">
        <f t="shared" si="5"/>
        <v>-279006.89</v>
      </c>
      <c r="N32" s="139" t="str">
        <f t="array" ref="N32">IF($P32&lt;&gt;"",IF(MAXIFS(Investment!$L:$L,Investment!$D:$D,LEFT($P32,40)&amp;"*"),MAXIFS(Investment!$L:$L,Investment!$D:$D,LEFT($P32,40)&amp;"*"),IFERROR(INDEX(Selection!$H:$H, MATCH($P32,Selection!$F:$F,0))/IF(OR(INDEX(Selection!$C:$C, MATCH($P32,Selection!$F:$F,0))="LN",INDEX(Selection!$C:$C, MATCH($P32,Selection!$F:$F,0))="US"),Investment!$K$7,1),"")),"")</f>
        <v/>
      </c>
      <c r="O32" s="144" t="str">
        <f>IF($P32&lt;&gt;"",IF(MAXIFS(Investment!$AG:$AG,Investment!$D:$D,LEFT($P32,40)&amp;"*"),MAXIFS(Investment!$AG:$AG,Investment!$D:$D,LEFT($P32,40)&amp;"*"),""),"")</f>
        <v/>
      </c>
      <c r="P32" s="135" t="str">
        <f>IFERROR(__xludf.DUMMYFUNCTION("""COMPUTED_VALUE"""),"VEOLIA ENVIRON")</f>
        <v>VEOLIA ENVIRON</v>
      </c>
      <c r="Q32" s="136">
        <f>IFERROR(__xludf.DUMMYFUNCTION("""COMPUTED_VALUE"""),0.0)</f>
        <v>0</v>
      </c>
      <c r="R32" s="134">
        <f>IFERROR(__xludf.DUMMYFUNCTION("""COMPUTED_VALUE"""),401.0100000000002)</f>
        <v>401.01</v>
      </c>
    </row>
    <row r="33">
      <c r="A33" s="125">
        <v>43579.0</v>
      </c>
      <c r="B33" s="127" t="s">
        <v>243</v>
      </c>
      <c r="C33" s="127" t="s">
        <v>244</v>
      </c>
      <c r="D33" s="127" t="s">
        <v>263</v>
      </c>
      <c r="E33" s="128"/>
      <c r="F33" s="130"/>
      <c r="G33" s="132">
        <v>-2.23</v>
      </c>
      <c r="H33" s="133" t="s">
        <v>289</v>
      </c>
      <c r="I33" s="134">
        <f t="shared" ref="I33:J33" si="35">IFS(AND($B33&lt;&gt;"",$E33&lt;&gt;""),IF(INDEX(N:N,MATCH($C33,$P:$P,0),1)&lt;&gt;"",$E33*INDEX(N:N,MATCH($C33,$P:$P,0),1)+$G33,""),AND($B33&lt;&gt;"",$D33="COST"),$G33,TRUE,)</f>
        <v>-2.23</v>
      </c>
      <c r="J33" s="134">
        <f t="shared" si="35"/>
        <v>-2.23</v>
      </c>
      <c r="K33" s="135" t="str">
        <f t="shared" si="3"/>
        <v>iShares USD Treasury Bond 20+yr UCITS ETF</v>
      </c>
      <c r="L33" s="136">
        <f t="shared" si="4"/>
        <v>68148</v>
      </c>
      <c r="M33" s="137">
        <f t="shared" si="5"/>
        <v>-279006.89</v>
      </c>
      <c r="N33" s="139" t="str">
        <f t="array" ref="N33">IF($P33&lt;&gt;"",IF(MAXIFS(Investment!$L:$L,Investment!$D:$D,LEFT($P33,40)&amp;"*"),MAXIFS(Investment!$L:$L,Investment!$D:$D,LEFT($P33,40)&amp;"*"),IFERROR(INDEX(Selection!$H:$H, MATCH($P33,Selection!$F:$F,0))/IF(OR(INDEX(Selection!$C:$C, MATCH($P33,Selection!$F:$F,0))="LN",INDEX(Selection!$C:$C, MATCH($P33,Selection!$F:$F,0))="US"),Investment!$K$7,1),"")),"")</f>
        <v/>
      </c>
      <c r="O33" s="144" t="str">
        <f>IF($P33&lt;&gt;"",IF(MAXIFS(Investment!$AG:$AG,Investment!$D:$D,LEFT($P33,40)&amp;"*"),MAXIFS(Investment!$AG:$AG,Investment!$D:$D,LEFT($P33,40)&amp;"*"),""),"")</f>
        <v/>
      </c>
      <c r="P33" s="135"/>
      <c r="Q33" s="136"/>
      <c r="R33" s="134"/>
    </row>
    <row r="34">
      <c r="A34" s="125">
        <v>43579.0</v>
      </c>
      <c r="B34" s="127" t="s">
        <v>307</v>
      </c>
      <c r="C34" s="127" t="s">
        <v>308</v>
      </c>
      <c r="D34" s="127" t="s">
        <v>245</v>
      </c>
      <c r="E34" s="128">
        <v>-25.0</v>
      </c>
      <c r="F34" s="130">
        <v>49.62</v>
      </c>
      <c r="G34" s="132">
        <v>1240.5</v>
      </c>
      <c r="H34" s="133" t="s">
        <v>344</v>
      </c>
      <c r="I34" s="134">
        <f t="shared" ref="I34:J34" si="36">IFS(AND($B34&lt;&gt;"",$E34&lt;&gt;""),IF(INDEX(N:N,MATCH($C34,$P:$P,0),1)&lt;&gt;"",$E34*INDEX(N:N,MATCH($C34,$P:$P,0),1)+$G34,""),AND($B34&lt;&gt;"",$D34="COST"),$G34,TRUE,)</f>
        <v>39.75</v>
      </c>
      <c r="J34" s="134">
        <f t="shared" si="36"/>
        <v>92.32529412</v>
      </c>
      <c r="K34" s="135" t="str">
        <f t="shared" si="3"/>
        <v>Vanguard S&amp;P 500 UCITS ETF</v>
      </c>
      <c r="L34" s="136">
        <f t="shared" si="4"/>
        <v>4429</v>
      </c>
      <c r="M34" s="137">
        <f t="shared" si="5"/>
        <v>-189831.65</v>
      </c>
      <c r="N34" s="139" t="str">
        <f t="array" ref="N34">IF($P34&lt;&gt;"",IF(MAXIFS(Investment!$L:$L,Investment!$D:$D,LEFT($P34,40)&amp;"*"),MAXIFS(Investment!$L:$L,Investment!$D:$D,LEFT($P34,40)&amp;"*"),IFERROR(INDEX(Selection!$H:$H, MATCH($P34,Selection!$F:$F,0))/IF(OR(INDEX(Selection!$C:$C, MATCH($P34,Selection!$F:$F,0))="LN",INDEX(Selection!$C:$C, MATCH($P34,Selection!$F:$F,0))="US"),Investment!$K$7,1),"")),"")</f>
        <v/>
      </c>
      <c r="O34" s="144" t="str">
        <f>IF($P34&lt;&gt;"",IF(MAXIFS(Investment!$AG:$AG,Investment!$D:$D,LEFT($P34,40)&amp;"*"),MAXIFS(Investment!$AG:$AG,Investment!$D:$D,LEFT($P34,40)&amp;"*"),""),"")</f>
        <v/>
      </c>
      <c r="P34" s="135"/>
      <c r="Q34" s="136"/>
      <c r="R34" s="134"/>
    </row>
    <row r="35">
      <c r="A35" s="125">
        <v>43578.0</v>
      </c>
      <c r="B35" s="127" t="s">
        <v>307</v>
      </c>
      <c r="C35" s="127" t="s">
        <v>308</v>
      </c>
      <c r="D35" s="127" t="s">
        <v>245</v>
      </c>
      <c r="E35" s="128">
        <v>-25.0</v>
      </c>
      <c r="F35" s="130">
        <v>49.2048</v>
      </c>
      <c r="G35" s="132">
        <v>1230.12</v>
      </c>
      <c r="H35" s="133" t="s">
        <v>348</v>
      </c>
      <c r="I35" s="134">
        <f t="shared" ref="I35:J35" si="37">IFS(AND($B35&lt;&gt;"",$E35&lt;&gt;""),IF(INDEX(N:N,MATCH($C35,$P:$P,0),1)&lt;&gt;"",$E35*INDEX(N:N,MATCH($C35,$P:$P,0),1)+$G35,""),AND($B35&lt;&gt;"",$D35="COST"),$G35,TRUE,)</f>
        <v>29.37</v>
      </c>
      <c r="J35" s="134">
        <f t="shared" si="37"/>
        <v>81.94529412</v>
      </c>
      <c r="K35" s="135" t="str">
        <f t="shared" si="3"/>
        <v>Vanguard S&amp;P 500 UCITS ETF</v>
      </c>
      <c r="L35" s="136">
        <f t="shared" si="4"/>
        <v>4429</v>
      </c>
      <c r="M35" s="137">
        <f t="shared" si="5"/>
        <v>-189831.65</v>
      </c>
      <c r="N35" s="139" t="str">
        <f t="array" ref="N35">IF($P35&lt;&gt;"",IF(MAXIFS(Investment!$L:$L,Investment!$D:$D,LEFT($P35,40)&amp;"*"),MAXIFS(Investment!$L:$L,Investment!$D:$D,LEFT($P35,40)&amp;"*"),IFERROR(INDEX(Selection!$H:$H, MATCH($P35,Selection!$F:$F,0))/IF(OR(INDEX(Selection!$C:$C, MATCH($P35,Selection!$F:$F,0))="LN",INDEX(Selection!$C:$C, MATCH($P35,Selection!$F:$F,0))="US"),Investment!$K$7,1),"")),"")</f>
        <v/>
      </c>
      <c r="O35" s="144" t="str">
        <f>IF($P35&lt;&gt;"",IF(MAXIFS(Investment!$AG:$AG,Investment!$D:$D,LEFT($P35,40)&amp;"*"),MAXIFS(Investment!$AG:$AG,Investment!$D:$D,LEFT($P35,40)&amp;"*"),""),"")</f>
        <v/>
      </c>
      <c r="P35" s="135"/>
      <c r="Q35" s="136"/>
      <c r="R35" s="134"/>
    </row>
    <row r="36">
      <c r="A36" s="125">
        <v>43578.0</v>
      </c>
      <c r="B36" s="127" t="s">
        <v>217</v>
      </c>
      <c r="C36" s="127" t="s">
        <v>220</v>
      </c>
      <c r="D36" s="127" t="s">
        <v>245</v>
      </c>
      <c r="E36" s="128">
        <v>-150.0</v>
      </c>
      <c r="F36" s="130">
        <v>7.43</v>
      </c>
      <c r="G36" s="132">
        <v>1114.5</v>
      </c>
      <c r="H36" s="133" t="s">
        <v>349</v>
      </c>
      <c r="I36" s="134">
        <f t="shared" ref="I36:J36" si="38">IFS(AND($B36&lt;&gt;"",$E36&lt;&gt;""),IF(INDEX(N:N,MATCH($C36,$P:$P,0),1)&lt;&gt;"",$E36*INDEX(N:N,MATCH($C36,$P:$P,0),1)+$G36,""),AND($B36&lt;&gt;"",$D36="COST"),$G36,TRUE,)</f>
        <v>38.25</v>
      </c>
      <c r="J36" s="134">
        <f t="shared" si="38"/>
        <v>4.946470588</v>
      </c>
      <c r="K36" s="135" t="str">
        <f t="shared" si="3"/>
        <v>ETFS All Commodities</v>
      </c>
      <c r="L36" s="136">
        <f t="shared" si="4"/>
        <v>8177</v>
      </c>
      <c r="M36" s="137">
        <f t="shared" si="5"/>
        <v>-60085.79</v>
      </c>
      <c r="N36" s="139" t="str">
        <f t="array" ref="N36">IF($P36&lt;&gt;"",IF(MAXIFS(Investment!$L:$L,Investment!$D:$D,LEFT($P36,40)&amp;"*"),MAXIFS(Investment!$L:$L,Investment!$D:$D,LEFT($P36,40)&amp;"*"),IFERROR(INDEX(Selection!$H:$H, MATCH($P36,Selection!$F:$F,0))/IF(OR(INDEX(Selection!$C:$C, MATCH($P36,Selection!$F:$F,0))="LN",INDEX(Selection!$C:$C, MATCH($P36,Selection!$F:$F,0))="US"),Investment!$K$7,1),"")),"")</f>
        <v/>
      </c>
      <c r="O36" s="144" t="str">
        <f>IF($P36&lt;&gt;"",IF(MAXIFS(Investment!$AG:$AG,Investment!$D:$D,LEFT($P36,40)&amp;"*"),MAXIFS(Investment!$AG:$AG,Investment!$D:$D,LEFT($P36,40)&amp;"*"),""),"")</f>
        <v/>
      </c>
      <c r="P36" s="135"/>
      <c r="Q36" s="136"/>
      <c r="R36" s="134"/>
    </row>
    <row r="37">
      <c r="A37" s="125">
        <v>43573.0</v>
      </c>
      <c r="B37" s="127"/>
      <c r="C37" s="127"/>
      <c r="D37" s="127" t="s">
        <v>263</v>
      </c>
      <c r="E37" s="128"/>
      <c r="F37" s="130"/>
      <c r="G37" s="132">
        <v>-29.9</v>
      </c>
      <c r="H37" s="206" t="s">
        <v>354</v>
      </c>
      <c r="I37" s="134" t="str">
        <f t="shared" ref="I37:J37" si="39">IFS(AND($B37&lt;&gt;"",$E37&lt;&gt;""),IF(INDEX(N:N,MATCH($C37,$P:$P,0),1)&lt;&gt;"",$E37*INDEX(N:N,MATCH($C37,$P:$P,0),1)+$G37,""),AND($B37&lt;&gt;"",$D37="COST"),$G37,TRUE,)</f>
        <v/>
      </c>
      <c r="J37" s="134" t="str">
        <f t="shared" si="39"/>
        <v/>
      </c>
      <c r="K37" s="135" t="str">
        <f t="shared" si="3"/>
        <v/>
      </c>
      <c r="L37" s="136" t="str">
        <f t="shared" si="4"/>
        <v/>
      </c>
      <c r="M37" s="137" t="str">
        <f t="shared" si="5"/>
        <v/>
      </c>
      <c r="N37" s="139" t="str">
        <f t="array" ref="N37">IF($P37&lt;&gt;"",IF(MAXIFS(Investment!$L:$L,Investment!$D:$D,LEFT($P37,40)&amp;"*"),MAXIFS(Investment!$L:$L,Investment!$D:$D,LEFT($P37,40)&amp;"*"),IFERROR(INDEX(Selection!$H:$H, MATCH($P37,Selection!$F:$F,0))/IF(OR(INDEX(Selection!$C:$C, MATCH($P37,Selection!$F:$F,0))="LN",INDEX(Selection!$C:$C, MATCH($P37,Selection!$F:$F,0))="US"),Investment!$K$7,1),"")),"")</f>
        <v/>
      </c>
      <c r="O37" s="144" t="str">
        <f>IF($P37&lt;&gt;"",IF(MAXIFS(Investment!$AG:$AG,Investment!$D:$D,LEFT($P37,40)&amp;"*"),MAXIFS(Investment!$AG:$AG,Investment!$D:$D,LEFT($P37,40)&amp;"*"),""),"")</f>
        <v/>
      </c>
      <c r="P37" s="135"/>
      <c r="Q37" s="136"/>
      <c r="R37" s="134"/>
    </row>
    <row r="38">
      <c r="A38" s="125">
        <v>43573.0</v>
      </c>
      <c r="B38" s="127" t="s">
        <v>307</v>
      </c>
      <c r="C38" s="127" t="s">
        <v>308</v>
      </c>
      <c r="D38" s="127" t="s">
        <v>245</v>
      </c>
      <c r="E38" s="128">
        <v>-25.0</v>
      </c>
      <c r="F38" s="130">
        <v>49.03</v>
      </c>
      <c r="G38" s="132">
        <v>1225.75</v>
      </c>
      <c r="H38" s="133" t="s">
        <v>355</v>
      </c>
      <c r="I38" s="134">
        <f t="shared" ref="I38:J38" si="40">IFS(AND($B38&lt;&gt;"",$E38&lt;&gt;""),IF(INDEX(N:N,MATCH($C38,$P:$P,0),1)&lt;&gt;"",$E38*INDEX(N:N,MATCH($C38,$P:$P,0),1)+$G38,""),AND($B38&lt;&gt;"",$D38="COST"),$G38,TRUE,)</f>
        <v>25</v>
      </c>
      <c r="J38" s="134">
        <f t="shared" si="40"/>
        <v>77.57529412</v>
      </c>
      <c r="K38" s="135" t="str">
        <f t="shared" si="3"/>
        <v>Vanguard S&amp;P 500 UCITS ETF</v>
      </c>
      <c r="L38" s="136">
        <f t="shared" si="4"/>
        <v>4429</v>
      </c>
      <c r="M38" s="137">
        <f t="shared" si="5"/>
        <v>-189831.65</v>
      </c>
      <c r="N38" s="139" t="str">
        <f t="array" ref="N38">IF($P38&lt;&gt;"",IF(MAXIFS(Investment!$L:$L,Investment!$D:$D,LEFT($P38,40)&amp;"*"),MAXIFS(Investment!$L:$L,Investment!$D:$D,LEFT($P38,40)&amp;"*"),IFERROR(INDEX(Selection!$H:$H, MATCH($P38,Selection!$F:$F,0))/IF(OR(INDEX(Selection!$C:$C, MATCH($P38,Selection!$F:$F,0))="LN",INDEX(Selection!$C:$C, MATCH($P38,Selection!$F:$F,0))="US"),Investment!$K$7,1),"")),"")</f>
        <v/>
      </c>
      <c r="O38" s="144" t="str">
        <f>IF($P38&lt;&gt;"",IF(MAXIFS(Investment!$AG:$AG,Investment!$D:$D,LEFT($P38,40)&amp;"*"),MAXIFS(Investment!$AG:$AG,Investment!$D:$D,LEFT($P38,40)&amp;"*"),""),"")</f>
        <v/>
      </c>
      <c r="P38" s="135"/>
      <c r="Q38" s="136"/>
      <c r="R38" s="134"/>
    </row>
    <row r="39">
      <c r="A39" s="125">
        <v>43573.0</v>
      </c>
      <c r="B39" s="127" t="s">
        <v>243</v>
      </c>
      <c r="C39" s="127" t="s">
        <v>244</v>
      </c>
      <c r="D39" s="127" t="s">
        <v>245</v>
      </c>
      <c r="E39" s="128">
        <v>-879.0</v>
      </c>
      <c r="F39" s="130">
        <v>4.0992</v>
      </c>
      <c r="G39" s="132">
        <v>3603.2</v>
      </c>
      <c r="H39" s="133" t="s">
        <v>360</v>
      </c>
      <c r="I39" s="134">
        <f t="shared" ref="I39:J39" si="41">IFS(AND($B39&lt;&gt;"",$E39&lt;&gt;""),IF(INDEX(N:N,MATCH($C39,$P:$P,0),1)&lt;&gt;"",$E39*INDEX(N:N,MATCH($C39,$P:$P,0),1)+$G39,""),AND($B39&lt;&gt;"",$D39="COST"),$G39,TRUE,)</f>
        <v>-101.6092</v>
      </c>
      <c r="J39" s="134">
        <f t="shared" si="41"/>
        <v>157.3000776</v>
      </c>
      <c r="K39" s="135" t="str">
        <f t="shared" si="3"/>
        <v>iShares USD Treasury Bond 20+yr UCITS ETF</v>
      </c>
      <c r="L39" s="136">
        <f t="shared" si="4"/>
        <v>68148</v>
      </c>
      <c r="M39" s="137">
        <f t="shared" si="5"/>
        <v>-279006.89</v>
      </c>
      <c r="N39" s="139" t="str">
        <f t="array" ref="N39">IF($P39&lt;&gt;"",IF(MAXIFS(Investment!$L:$L,Investment!$D:$D,LEFT($P39,40)&amp;"*"),MAXIFS(Investment!$L:$L,Investment!$D:$D,LEFT($P39,40)&amp;"*"),IFERROR(INDEX(Selection!$H:$H, MATCH($P39,Selection!$F:$F,0))/IF(OR(INDEX(Selection!$C:$C, MATCH($P39,Selection!$F:$F,0))="LN",INDEX(Selection!$C:$C, MATCH($P39,Selection!$F:$F,0))="US"),Investment!$K$7,1),"")),"")</f>
        <v/>
      </c>
      <c r="O39" s="144" t="str">
        <f>IF($P39&lt;&gt;"",IF(MAXIFS(Investment!$AG:$AG,Investment!$D:$D,LEFT($P39,40)&amp;"*"),MAXIFS(Investment!$AG:$AG,Investment!$D:$D,LEFT($P39,40)&amp;"*"),""),"")</f>
        <v/>
      </c>
      <c r="P39" s="135"/>
      <c r="Q39" s="136"/>
      <c r="R39" s="134"/>
    </row>
    <row r="40">
      <c r="A40" s="125">
        <v>43573.0</v>
      </c>
      <c r="B40" s="127" t="s">
        <v>243</v>
      </c>
      <c r="C40" s="127" t="s">
        <v>244</v>
      </c>
      <c r="D40" s="127" t="s">
        <v>263</v>
      </c>
      <c r="E40" s="128"/>
      <c r="F40" s="130"/>
      <c r="G40" s="132">
        <v>-2.72</v>
      </c>
      <c r="H40" s="133" t="s">
        <v>366</v>
      </c>
      <c r="I40" s="134">
        <f t="shared" ref="I40:J40" si="42">IFS(AND($B40&lt;&gt;"",$E40&lt;&gt;""),IF(INDEX(N:N,MATCH($C40,$P:$P,0),1)&lt;&gt;"",$E40*INDEX(N:N,MATCH($C40,$P:$P,0),1)+$G40,""),AND($B40&lt;&gt;"",$D40="COST"),$G40,TRUE,)</f>
        <v>-2.72</v>
      </c>
      <c r="J40" s="134">
        <f t="shared" si="42"/>
        <v>-2.72</v>
      </c>
      <c r="K40" s="135" t="str">
        <f t="shared" si="3"/>
        <v>iShares USD Treasury Bond 20+yr UCITS ETF</v>
      </c>
      <c r="L40" s="136">
        <f t="shared" si="4"/>
        <v>68148</v>
      </c>
      <c r="M40" s="137">
        <f t="shared" si="5"/>
        <v>-279006.89</v>
      </c>
      <c r="N40" s="139" t="str">
        <f t="array" ref="N40">IF($P40&lt;&gt;"",IF(MAXIFS(Investment!$L:$L,Investment!$D:$D,LEFT($P40,40)&amp;"*"),MAXIFS(Investment!$L:$L,Investment!$D:$D,LEFT($P40,40)&amp;"*"),IFERROR(INDEX(Selection!$H:$H, MATCH($P40,Selection!$F:$F,0))/IF(OR(INDEX(Selection!$C:$C, MATCH($P40,Selection!$F:$F,0))="LN",INDEX(Selection!$C:$C, MATCH($P40,Selection!$F:$F,0))="US"),Investment!$K$7,1),"")),"")</f>
        <v/>
      </c>
      <c r="O40" s="144" t="str">
        <f>IF($P40&lt;&gt;"",IF(MAXIFS(Investment!$AG:$AG,Investment!$D:$D,LEFT($P40,40)&amp;"*"),MAXIFS(Investment!$AG:$AG,Investment!$D:$D,LEFT($P40,40)&amp;"*"),""),"")</f>
        <v/>
      </c>
      <c r="P40" s="135"/>
      <c r="Q40" s="136"/>
      <c r="R40" s="134"/>
    </row>
    <row r="41">
      <c r="A41" s="125">
        <v>43571.0</v>
      </c>
      <c r="B41" s="127" t="s">
        <v>307</v>
      </c>
      <c r="C41" s="127" t="s">
        <v>308</v>
      </c>
      <c r="D41" s="127" t="s">
        <v>245</v>
      </c>
      <c r="E41" s="128">
        <v>-25.0</v>
      </c>
      <c r="F41" s="130">
        <v>48.99</v>
      </c>
      <c r="G41" s="132">
        <v>1224.75</v>
      </c>
      <c r="H41" s="133" t="s">
        <v>368</v>
      </c>
      <c r="I41" s="134">
        <f t="shared" ref="I41:J41" si="43">IFS(AND($B41&lt;&gt;"",$E41&lt;&gt;""),IF(INDEX(N:N,MATCH($C41,$P:$P,0),1)&lt;&gt;"",$E41*INDEX(N:N,MATCH($C41,$P:$P,0),1)+$G41,""),AND($B41&lt;&gt;"",$D41="COST"),$G41,TRUE,)</f>
        <v>24</v>
      </c>
      <c r="J41" s="134">
        <f t="shared" si="43"/>
        <v>76.57529412</v>
      </c>
      <c r="K41" s="135" t="str">
        <f t="shared" si="3"/>
        <v>Vanguard S&amp;P 500 UCITS ETF</v>
      </c>
      <c r="L41" s="136">
        <f t="shared" si="4"/>
        <v>4429</v>
      </c>
      <c r="M41" s="137">
        <f t="shared" si="5"/>
        <v>-189831.65</v>
      </c>
      <c r="N41" s="139" t="str">
        <f t="array" ref="N41">IF($P41&lt;&gt;"",IF(MAXIFS(Investment!$L:$L,Investment!$D:$D,LEFT($P41,40)&amp;"*"),MAXIFS(Investment!$L:$L,Investment!$D:$D,LEFT($P41,40)&amp;"*"),IFERROR(INDEX(Selection!$H:$H, MATCH($P41,Selection!$F:$F,0))/IF(OR(INDEX(Selection!$C:$C, MATCH($P41,Selection!$F:$F,0))="LN",INDEX(Selection!$C:$C, MATCH($P41,Selection!$F:$F,0))="US"),Investment!$K$7,1),"")),"")</f>
        <v/>
      </c>
      <c r="O41" s="144" t="str">
        <f>IF($P41&lt;&gt;"",IF(MAXIFS(Investment!$AG:$AG,Investment!$D:$D,LEFT($P41,40)&amp;"*"),MAXIFS(Investment!$AG:$AG,Investment!$D:$D,LEFT($P41,40)&amp;"*"),""),"")</f>
        <v/>
      </c>
      <c r="P41" s="135"/>
      <c r="Q41" s="136"/>
      <c r="R41" s="134"/>
    </row>
    <row r="42">
      <c r="A42" s="125">
        <v>43570.0</v>
      </c>
      <c r="B42" s="127" t="s">
        <v>307</v>
      </c>
      <c r="C42" s="127" t="s">
        <v>308</v>
      </c>
      <c r="D42" s="127" t="s">
        <v>245</v>
      </c>
      <c r="E42" s="128">
        <v>-25.0</v>
      </c>
      <c r="F42" s="130">
        <v>48.7952</v>
      </c>
      <c r="G42" s="132">
        <v>1219.88</v>
      </c>
      <c r="H42" s="133" t="s">
        <v>369</v>
      </c>
      <c r="I42" s="134">
        <f t="shared" ref="I42:J42" si="44">IFS(AND($B42&lt;&gt;"",$E42&lt;&gt;""),IF(INDEX(N:N,MATCH($C42,$P:$P,0),1)&lt;&gt;"",$E42*INDEX(N:N,MATCH($C42,$P:$P,0),1)+$G42,""),AND($B42&lt;&gt;"",$D42="COST"),$G42,TRUE,)</f>
        <v>19.13</v>
      </c>
      <c r="J42" s="134">
        <f t="shared" si="44"/>
        <v>71.70529412</v>
      </c>
      <c r="K42" s="135" t="str">
        <f t="shared" si="3"/>
        <v>Vanguard S&amp;P 500 UCITS ETF</v>
      </c>
      <c r="L42" s="136">
        <f t="shared" si="4"/>
        <v>4429</v>
      </c>
      <c r="M42" s="137">
        <f t="shared" si="5"/>
        <v>-189831.65</v>
      </c>
      <c r="N42" s="139" t="str">
        <f t="array" ref="N42">IF($P42&lt;&gt;"",IF(MAXIFS(Investment!$L:$L,Investment!$D:$D,LEFT($P42,40)&amp;"*"),MAXIFS(Investment!$L:$L,Investment!$D:$D,LEFT($P42,40)&amp;"*"),IFERROR(INDEX(Selection!$H:$H, MATCH($P42,Selection!$F:$F,0))/IF(OR(INDEX(Selection!$C:$C, MATCH($P42,Selection!$F:$F,0))="LN",INDEX(Selection!$C:$C, MATCH($P42,Selection!$F:$F,0))="US"),Investment!$K$7,1),"")),"")</f>
        <v/>
      </c>
      <c r="O42" s="144" t="str">
        <f>IF($P42&lt;&gt;"",IF(MAXIFS(Investment!$AG:$AG,Investment!$D:$D,LEFT($P42,40)&amp;"*"),MAXIFS(Investment!$AG:$AG,Investment!$D:$D,LEFT($P42,40)&amp;"*"),""),"")</f>
        <v/>
      </c>
      <c r="P42" s="135"/>
      <c r="Q42" s="136"/>
      <c r="R42" s="134"/>
    </row>
    <row r="43">
      <c r="A43" s="125">
        <v>43567.0</v>
      </c>
      <c r="B43" s="127" t="s">
        <v>243</v>
      </c>
      <c r="C43" s="127" t="s">
        <v>244</v>
      </c>
      <c r="D43" s="127" t="s">
        <v>222</v>
      </c>
      <c r="E43" s="128">
        <v>60580.0</v>
      </c>
      <c r="F43" s="130">
        <v>4.098</v>
      </c>
      <c r="G43" s="132">
        <v>-248256.84</v>
      </c>
      <c r="H43" s="133" t="s">
        <v>376</v>
      </c>
      <c r="I43" s="134">
        <f t="shared" ref="I43:J43" si="45">IFS(AND($B43&lt;&gt;"",$E43&lt;&gt;""),IF(INDEX(N:N,MATCH($C43,$P:$P,0),1)&lt;&gt;"",$E43*INDEX(N:N,MATCH($C43,$P:$P,0),1)+$G43,""),AND($B43&lt;&gt;"",$D43="COST"),$G43,TRUE,)</f>
        <v>7075.744</v>
      </c>
      <c r="J43" s="134">
        <f t="shared" si="45"/>
        <v>-10768.08312</v>
      </c>
      <c r="K43" s="135" t="str">
        <f t="shared" si="3"/>
        <v>iShares USD Treasury Bond 20+yr UCITS ETF</v>
      </c>
      <c r="L43" s="136">
        <f t="shared" si="4"/>
        <v>68148</v>
      </c>
      <c r="M43" s="137">
        <f t="shared" si="5"/>
        <v>-279006.89</v>
      </c>
      <c r="N43" s="139" t="str">
        <f t="array" ref="N43">IF($P43&lt;&gt;"",IF(MAXIFS(Investment!$L:$L,Investment!$D:$D,LEFT($P43,40)&amp;"*"),MAXIFS(Investment!$L:$L,Investment!$D:$D,LEFT($P43,40)&amp;"*"),IFERROR(INDEX(Selection!$H:$H, MATCH($P43,Selection!$F:$F,0))/IF(OR(INDEX(Selection!$C:$C, MATCH($P43,Selection!$F:$F,0))="LN",INDEX(Selection!$C:$C, MATCH($P43,Selection!$F:$F,0))="US"),Investment!$K$7,1),"")),"")</f>
        <v/>
      </c>
      <c r="O43" s="144" t="str">
        <f>IF($P43&lt;&gt;"",IF(MAXIFS(Investment!$AG:$AG,Investment!$D:$D,LEFT($P43,40)&amp;"*"),MAXIFS(Investment!$AG:$AG,Investment!$D:$D,LEFT($P43,40)&amp;"*"),""),"")</f>
        <v/>
      </c>
      <c r="P43" s="135"/>
      <c r="Q43" s="136"/>
      <c r="R43" s="134"/>
    </row>
    <row r="44">
      <c r="A44" s="125">
        <v>43567.0</v>
      </c>
      <c r="B44" s="127" t="s">
        <v>243</v>
      </c>
      <c r="C44" s="127" t="s">
        <v>244</v>
      </c>
      <c r="D44" s="127" t="s">
        <v>263</v>
      </c>
      <c r="E44" s="128"/>
      <c r="F44" s="130"/>
      <c r="G44" s="132">
        <v>-51.65</v>
      </c>
      <c r="H44" s="133" t="s">
        <v>382</v>
      </c>
      <c r="I44" s="134">
        <f t="shared" ref="I44:J44" si="46">IFS(AND($B44&lt;&gt;"",$E44&lt;&gt;""),IF(INDEX(N:N,MATCH($C44,$P:$P,0),1)&lt;&gt;"",$E44*INDEX(N:N,MATCH($C44,$P:$P,0),1)+$G44,""),AND($B44&lt;&gt;"",$D44="COST"),$G44,TRUE,)</f>
        <v>-51.65</v>
      </c>
      <c r="J44" s="134">
        <f t="shared" si="46"/>
        <v>-51.65</v>
      </c>
      <c r="K44" s="135" t="str">
        <f t="shared" si="3"/>
        <v>iShares USD Treasury Bond 20+yr UCITS ETF</v>
      </c>
      <c r="L44" s="136">
        <f t="shared" si="4"/>
        <v>68148</v>
      </c>
      <c r="M44" s="137">
        <f t="shared" si="5"/>
        <v>-279006.89</v>
      </c>
      <c r="N44" s="139" t="str">
        <f t="array" ref="N44">IF($P44&lt;&gt;"",IF(MAXIFS(Investment!$L:$L,Investment!$D:$D,LEFT($P44,40)&amp;"*"),MAXIFS(Investment!$L:$L,Investment!$D:$D,LEFT($P44,40)&amp;"*"),IFERROR(INDEX(Selection!$H:$H, MATCH($P44,Selection!$F:$F,0))/IF(OR(INDEX(Selection!$C:$C, MATCH($P44,Selection!$F:$F,0))="LN",INDEX(Selection!$C:$C, MATCH($P44,Selection!$F:$F,0))="US"),Investment!$K$7,1),"")),"")</f>
        <v/>
      </c>
      <c r="O44" s="144" t="str">
        <f>IF($P44&lt;&gt;"",IF(MAXIFS(Investment!$AG:$AG,Investment!$D:$D,LEFT($P44,40)&amp;"*"),MAXIFS(Investment!$AG:$AG,Investment!$D:$D,LEFT($P44,40)&amp;"*"),""),"")</f>
        <v/>
      </c>
      <c r="P44" s="135"/>
      <c r="Q44" s="136"/>
      <c r="R44" s="134"/>
    </row>
    <row r="45">
      <c r="A45" s="125">
        <v>43567.0</v>
      </c>
      <c r="B45" s="127" t="s">
        <v>243</v>
      </c>
      <c r="C45" s="127" t="s">
        <v>244</v>
      </c>
      <c r="D45" s="127" t="s">
        <v>222</v>
      </c>
      <c r="E45" s="128">
        <v>12775.0</v>
      </c>
      <c r="F45" s="130">
        <v>4.098</v>
      </c>
      <c r="G45" s="132">
        <v>-52351.56</v>
      </c>
      <c r="H45" s="133" t="s">
        <v>383</v>
      </c>
      <c r="I45" s="134">
        <f t="shared" ref="I45:J45" si="47">IFS(AND($B45&lt;&gt;"",$E45&lt;&gt;""),IF(INDEX(N:N,MATCH($C45,$P:$P,0),1)&lt;&gt;"",$E45*INDEX(N:N,MATCH($C45,$P:$P,0),1)+$G45,""),AND($B45&lt;&gt;"",$D45="COST"),$G45,TRUE,)</f>
        <v>1492.51</v>
      </c>
      <c r="J45" s="134">
        <f t="shared" si="47"/>
        <v>-2270.363745</v>
      </c>
      <c r="K45" s="135" t="str">
        <f t="shared" si="3"/>
        <v>iShares USD Treasury Bond 20+yr UCITS ETF</v>
      </c>
      <c r="L45" s="136">
        <f t="shared" si="4"/>
        <v>68148</v>
      </c>
      <c r="M45" s="137">
        <f t="shared" si="5"/>
        <v>-279006.89</v>
      </c>
      <c r="N45" s="139" t="str">
        <f t="array" ref="N45">IF($P45&lt;&gt;"",IF(MAXIFS(Investment!$L:$L,Investment!$D:$D,LEFT($P45,40)&amp;"*"),MAXIFS(Investment!$L:$L,Investment!$D:$D,LEFT($P45,40)&amp;"*"),IFERROR(INDEX(Selection!$H:$H, MATCH($P45,Selection!$F:$F,0))/IF(OR(INDEX(Selection!$C:$C, MATCH($P45,Selection!$F:$F,0))="LN",INDEX(Selection!$C:$C, MATCH($P45,Selection!$F:$F,0))="US"),Investment!$K$7,1),"")),"")</f>
        <v/>
      </c>
      <c r="O45" s="144" t="str">
        <f>IF($P45&lt;&gt;"",IF(MAXIFS(Investment!$AG:$AG,Investment!$D:$D,LEFT($P45,40)&amp;"*"),MAXIFS(Investment!$AG:$AG,Investment!$D:$D,LEFT($P45,40)&amp;"*"),""),"")</f>
        <v/>
      </c>
      <c r="P45" s="135"/>
      <c r="Q45" s="136"/>
      <c r="R45" s="134"/>
    </row>
    <row r="46">
      <c r="A46" s="125">
        <v>43567.0</v>
      </c>
      <c r="B46" s="127" t="s">
        <v>243</v>
      </c>
      <c r="C46" s="127" t="s">
        <v>244</v>
      </c>
      <c r="D46" s="127" t="s">
        <v>263</v>
      </c>
      <c r="E46" s="128"/>
      <c r="F46" s="130"/>
      <c r="G46" s="132">
        <v>-12.47</v>
      </c>
      <c r="H46" s="133" t="s">
        <v>386</v>
      </c>
      <c r="I46" s="134">
        <f t="shared" ref="I46:J46" si="48">IFS(AND($B46&lt;&gt;"",$E46&lt;&gt;""),IF(INDEX(N:N,MATCH($C46,$P:$P,0),1)&lt;&gt;"",$E46*INDEX(N:N,MATCH($C46,$P:$P,0),1)+$G46,""),AND($B46&lt;&gt;"",$D46="COST"),$G46,TRUE,)</f>
        <v>-12.47</v>
      </c>
      <c r="J46" s="134">
        <f t="shared" si="48"/>
        <v>-12.47</v>
      </c>
      <c r="K46" s="135" t="str">
        <f t="shared" si="3"/>
        <v>iShares USD Treasury Bond 20+yr UCITS ETF</v>
      </c>
      <c r="L46" s="136">
        <f t="shared" si="4"/>
        <v>68148</v>
      </c>
      <c r="M46" s="137">
        <f t="shared" si="5"/>
        <v>-279006.89</v>
      </c>
      <c r="N46" s="139" t="str">
        <f t="array" ref="N46">IF($P46&lt;&gt;"",IF(MAXIFS(Investment!$L:$L,Investment!$D:$D,LEFT($P46,40)&amp;"*"),MAXIFS(Investment!$L:$L,Investment!$D:$D,LEFT($P46,40)&amp;"*"),IFERROR(INDEX(Selection!$H:$H, MATCH($P46,Selection!$F:$F,0))/IF(OR(INDEX(Selection!$C:$C, MATCH($P46,Selection!$F:$F,0))="LN",INDEX(Selection!$C:$C, MATCH($P46,Selection!$F:$F,0))="US"),Investment!$K$7,1),"")),"")</f>
        <v/>
      </c>
      <c r="O46" s="144" t="str">
        <f>IF($P46&lt;&gt;"",IF(MAXIFS(Investment!$AG:$AG,Investment!$D:$D,LEFT($P46,40)&amp;"*"),MAXIFS(Investment!$AG:$AG,Investment!$D:$D,LEFT($P46,40)&amp;"*"),""),"")</f>
        <v/>
      </c>
      <c r="P46" s="135"/>
      <c r="Q46" s="136"/>
      <c r="R46" s="134"/>
    </row>
    <row r="47">
      <c r="A47" s="125">
        <v>43567.0</v>
      </c>
      <c r="B47" s="127" t="s">
        <v>307</v>
      </c>
      <c r="C47" s="127" t="s">
        <v>308</v>
      </c>
      <c r="D47" s="127" t="s">
        <v>245</v>
      </c>
      <c r="E47" s="128">
        <v>-26.0</v>
      </c>
      <c r="F47" s="130">
        <v>48.69</v>
      </c>
      <c r="G47" s="132">
        <v>1265.94</v>
      </c>
      <c r="H47" s="133" t="s">
        <v>387</v>
      </c>
      <c r="I47" s="134">
        <f t="shared" ref="I47:J47" si="49">IFS(AND($B47&lt;&gt;"",$E47&lt;&gt;""),IF(INDEX(N:N,MATCH($C47,$P:$P,0),1)&lt;&gt;"",$E47*INDEX(N:N,MATCH($C47,$P:$P,0),1)+$G47,""),AND($B47&lt;&gt;"",$D47="COST"),$G47,TRUE,)</f>
        <v>17.16</v>
      </c>
      <c r="J47" s="134">
        <f t="shared" si="49"/>
        <v>71.83830588</v>
      </c>
      <c r="K47" s="135" t="str">
        <f t="shared" si="3"/>
        <v>Vanguard S&amp;P 500 UCITS ETF</v>
      </c>
      <c r="L47" s="136">
        <f t="shared" si="4"/>
        <v>4429</v>
      </c>
      <c r="M47" s="137">
        <f t="shared" si="5"/>
        <v>-189831.65</v>
      </c>
      <c r="N47" s="139" t="str">
        <f t="array" ref="N47">IF($P47&lt;&gt;"",IF(MAXIFS(Investment!$L:$L,Investment!$D:$D,LEFT($P47,40)&amp;"*"),MAXIFS(Investment!$L:$L,Investment!$D:$D,LEFT($P47,40)&amp;"*"),IFERROR(INDEX(Selection!$H:$H, MATCH($P47,Selection!$F:$F,0))/IF(OR(INDEX(Selection!$C:$C, MATCH($P47,Selection!$F:$F,0))="LN",INDEX(Selection!$C:$C, MATCH($P47,Selection!$F:$F,0))="US"),Investment!$K$7,1),"")),"")</f>
        <v/>
      </c>
      <c r="O47" s="144" t="str">
        <f>IF($P47&lt;&gt;"",IF(MAXIFS(Investment!$AG:$AG,Investment!$D:$D,LEFT($P47,40)&amp;"*"),MAXIFS(Investment!$AG:$AG,Investment!$D:$D,LEFT($P47,40)&amp;"*"),""),"")</f>
        <v/>
      </c>
      <c r="P47" s="135"/>
      <c r="Q47" s="136"/>
      <c r="R47" s="134"/>
    </row>
    <row r="48">
      <c r="A48" s="125">
        <v>43566.0</v>
      </c>
      <c r="B48" s="127" t="s">
        <v>307</v>
      </c>
      <c r="C48" s="127" t="s">
        <v>308</v>
      </c>
      <c r="D48" s="127" t="s">
        <v>390</v>
      </c>
      <c r="E48" s="216"/>
      <c r="F48" s="139"/>
      <c r="G48" s="132">
        <v>-125.08</v>
      </c>
      <c r="H48" s="133" t="s">
        <v>391</v>
      </c>
      <c r="I48" s="134" t="str">
        <f t="shared" ref="I48:J48" si="50">IFS(AND($B48&lt;&gt;"",$E48&lt;&gt;""),IF(INDEX(N:N,MATCH($C48,$P:$P,0),1)&lt;&gt;"",$E48*INDEX(N:N,MATCH($C48,$P:$P,0),1)+$G48,""),AND($B48&lt;&gt;"",$D48="COST"),$G48,TRUE,)</f>
        <v/>
      </c>
      <c r="J48" s="134" t="str">
        <f t="shared" si="50"/>
        <v/>
      </c>
      <c r="K48" s="135" t="str">
        <f t="shared" si="3"/>
        <v>Vanguard S&amp;P 500 UCITS ETF</v>
      </c>
      <c r="L48" s="136">
        <f t="shared" si="4"/>
        <v>4429</v>
      </c>
      <c r="M48" s="137">
        <f t="shared" si="5"/>
        <v>-189831.65</v>
      </c>
      <c r="N48" s="139" t="str">
        <f t="array" ref="N48">IF($P48&lt;&gt;"",IF(MAXIFS(Investment!$L:$L,Investment!$D:$D,LEFT($P48,40)&amp;"*"),MAXIFS(Investment!$L:$L,Investment!$D:$D,LEFT($P48,40)&amp;"*"),IFERROR(INDEX(Selection!$H:$H, MATCH($P48,Selection!$F:$F,0))/IF(OR(INDEX(Selection!$C:$C, MATCH($P48,Selection!$F:$F,0))="LN",INDEX(Selection!$C:$C, MATCH($P48,Selection!$F:$F,0))="US"),Investment!$K$7,1),"")),"")</f>
        <v/>
      </c>
      <c r="O48" s="144" t="str">
        <f>IF($P48&lt;&gt;"",IF(MAXIFS(Investment!$AG:$AG,Investment!$D:$D,LEFT($P48,40)&amp;"*"),MAXIFS(Investment!$AG:$AG,Investment!$D:$D,LEFT($P48,40)&amp;"*"),""),"")</f>
        <v/>
      </c>
      <c r="P48" s="135"/>
      <c r="Q48" s="136"/>
      <c r="R48" s="134"/>
    </row>
    <row r="49">
      <c r="A49" s="125">
        <v>43565.0</v>
      </c>
      <c r="B49" s="127" t="s">
        <v>307</v>
      </c>
      <c r="C49" s="127" t="s">
        <v>308</v>
      </c>
      <c r="D49" s="127" t="s">
        <v>390</v>
      </c>
      <c r="E49" s="128"/>
      <c r="F49" s="130"/>
      <c r="G49" s="132">
        <v>17.94</v>
      </c>
      <c r="H49" s="206" t="s">
        <v>395</v>
      </c>
      <c r="I49" s="134" t="str">
        <f t="shared" ref="I49:J49" si="51">IFS(AND($B49&lt;&gt;"",$E49&lt;&gt;""),IF(INDEX(N:N,MATCH($C49,$P:$P,0),1)&lt;&gt;"",$E49*INDEX(N:N,MATCH($C49,$P:$P,0),1)+$G49,""),AND($B49&lt;&gt;"",$D49="COST"),$G49,TRUE,)</f>
        <v/>
      </c>
      <c r="J49" s="134" t="str">
        <f t="shared" si="51"/>
        <v/>
      </c>
      <c r="K49" s="135" t="str">
        <f t="shared" si="3"/>
        <v>Vanguard S&amp;P 500 UCITS ETF</v>
      </c>
      <c r="L49" s="136">
        <f t="shared" si="4"/>
        <v>4429</v>
      </c>
      <c r="M49" s="137">
        <f t="shared" si="5"/>
        <v>-189831.65</v>
      </c>
      <c r="N49" s="139" t="str">
        <f t="array" ref="N49">IF($P49&lt;&gt;"",IF(MAXIFS(Investment!$L:$L,Investment!$D:$D,LEFT($P49,40)&amp;"*"),MAXIFS(Investment!$L:$L,Investment!$D:$D,LEFT($P49,40)&amp;"*"),IFERROR(INDEX(Selection!$H:$H, MATCH($P49,Selection!$F:$F,0))/IF(OR(INDEX(Selection!$C:$C, MATCH($P49,Selection!$F:$F,0))="LN",INDEX(Selection!$C:$C, MATCH($P49,Selection!$F:$F,0))="US"),Investment!$K$7,1),"")),"")</f>
        <v/>
      </c>
      <c r="O49" s="144" t="str">
        <f>IF($P49&lt;&gt;"",IF(MAXIFS(Investment!$AG:$AG,Investment!$D:$D,LEFT($P49,40)&amp;"*"),MAXIFS(Investment!$AG:$AG,Investment!$D:$D,LEFT($P49,40)&amp;"*"),""),"")</f>
        <v/>
      </c>
      <c r="P49" s="135"/>
      <c r="Q49" s="136"/>
      <c r="R49" s="134"/>
    </row>
    <row r="50">
      <c r="A50" s="125">
        <v>43565.0</v>
      </c>
      <c r="B50" s="127" t="s">
        <v>307</v>
      </c>
      <c r="C50" s="127" t="s">
        <v>308</v>
      </c>
      <c r="D50" s="127" t="s">
        <v>390</v>
      </c>
      <c r="E50" s="216"/>
      <c r="F50" s="139"/>
      <c r="G50" s="132">
        <v>1098.21</v>
      </c>
      <c r="H50" s="133" t="s">
        <v>396</v>
      </c>
      <c r="I50" s="134" t="str">
        <f t="shared" ref="I50:J50" si="52">IFS(AND($B50&lt;&gt;"",$E50&lt;&gt;""),IF(INDEX(N:N,MATCH($C50,$P:$P,0),1)&lt;&gt;"",$E50*INDEX(N:N,MATCH($C50,$P:$P,0),1)+$G50,""),AND($B50&lt;&gt;"",$D50="COST"),$G50,TRUE,)</f>
        <v/>
      </c>
      <c r="J50" s="134" t="str">
        <f t="shared" si="52"/>
        <v/>
      </c>
      <c r="K50" s="135" t="str">
        <f t="shared" si="3"/>
        <v>Vanguard S&amp;P 500 UCITS ETF</v>
      </c>
      <c r="L50" s="136">
        <f t="shared" si="4"/>
        <v>4429</v>
      </c>
      <c r="M50" s="137">
        <f t="shared" si="5"/>
        <v>-189831.65</v>
      </c>
      <c r="N50" s="139" t="str">
        <f t="array" ref="N50">IF($P50&lt;&gt;"",IF(MAXIFS(Investment!$L:$L,Investment!$D:$D,LEFT($P50,40)&amp;"*"),MAXIFS(Investment!$L:$L,Investment!$D:$D,LEFT($P50,40)&amp;"*"),IFERROR(INDEX(Selection!$H:$H, MATCH($P50,Selection!$F:$F,0))/IF(OR(INDEX(Selection!$C:$C, MATCH($P50,Selection!$F:$F,0))="LN",INDEX(Selection!$C:$C, MATCH($P50,Selection!$F:$F,0))="US"),Investment!$K$7,1),"")),"")</f>
        <v/>
      </c>
      <c r="O50" s="144" t="str">
        <f>IF($P50&lt;&gt;"",IF(MAXIFS(Investment!$AG:$AG,Investment!$D:$D,LEFT($P50,40)&amp;"*"),MAXIFS(Investment!$AG:$AG,Investment!$D:$D,LEFT($P50,40)&amp;"*"),""),"")</f>
        <v/>
      </c>
      <c r="P50" s="135"/>
      <c r="Q50" s="136"/>
      <c r="R50" s="134"/>
    </row>
    <row r="51">
      <c r="A51" s="217">
        <v>43560.0</v>
      </c>
      <c r="B51" s="150" t="s">
        <v>307</v>
      </c>
      <c r="C51" s="150" t="s">
        <v>308</v>
      </c>
      <c r="D51" s="150" t="s">
        <v>245</v>
      </c>
      <c r="E51" s="216">
        <v>-30.0</v>
      </c>
      <c r="F51" s="139">
        <v>48.75</v>
      </c>
      <c r="G51" s="134">
        <v>1462.5</v>
      </c>
      <c r="H51" s="151" t="s">
        <v>397</v>
      </c>
      <c r="I51" s="134">
        <f t="shared" ref="I51:J51" si="53">IFS(AND($B51&lt;&gt;"",$E51&lt;&gt;""),IF(INDEX(N:N,MATCH($C51,$P:$P,0),1)&lt;&gt;"",$E51*INDEX(N:N,MATCH($C51,$P:$P,0),1)+$G51,""),AND($B51&lt;&gt;"",$D51="COST"),$G51,TRUE,)</f>
        <v>21.6</v>
      </c>
      <c r="J51" s="134">
        <f t="shared" si="53"/>
        <v>84.69035294</v>
      </c>
      <c r="K51" s="135" t="str">
        <f t="shared" si="3"/>
        <v>Vanguard S&amp;P 500 UCITS ETF</v>
      </c>
      <c r="L51" s="136">
        <f t="shared" si="4"/>
        <v>4429</v>
      </c>
      <c r="M51" s="137">
        <f t="shared" si="5"/>
        <v>-189831.65</v>
      </c>
      <c r="N51" s="139" t="str">
        <f t="array" ref="N51">IF($P51&lt;&gt;"",IF(MAXIFS(Investment!$L:$L,Investment!$D:$D,LEFT($P51,40)&amp;"*"),MAXIFS(Investment!$L:$L,Investment!$D:$D,LEFT($P51,40)&amp;"*"),IFERROR(INDEX(Selection!$H:$H, MATCH($P51,Selection!$F:$F,0))/IF(OR(INDEX(Selection!$C:$C, MATCH($P51,Selection!$F:$F,0))="LN",INDEX(Selection!$C:$C, MATCH($P51,Selection!$F:$F,0))="US"),Investment!$K$7,1),"")),"")</f>
        <v/>
      </c>
      <c r="O51" s="144" t="str">
        <f>IF($P51&lt;&gt;"",IF(MAXIFS(Investment!$AG:$AG,Investment!$D:$D,LEFT($P51,40)&amp;"*"),MAXIFS(Investment!$AG:$AG,Investment!$D:$D,LEFT($P51,40)&amp;"*"),""),"")</f>
        <v/>
      </c>
      <c r="P51" s="135"/>
      <c r="Q51" s="136"/>
      <c r="R51" s="134"/>
    </row>
    <row r="52">
      <c r="A52" s="125">
        <v>43560.0</v>
      </c>
      <c r="B52" s="56" t="s">
        <v>217</v>
      </c>
      <c r="C52" s="56" t="s">
        <v>220</v>
      </c>
      <c r="D52" s="56" t="s">
        <v>245</v>
      </c>
      <c r="E52" s="51">
        <v>-155.0</v>
      </c>
      <c r="F52" s="218">
        <v>7.44</v>
      </c>
      <c r="G52" s="132">
        <v>1153.2</v>
      </c>
      <c r="H52" s="133" t="s">
        <v>398</v>
      </c>
      <c r="I52" s="134">
        <f t="shared" ref="I52:J52" si="54">IFS(AND($B52&lt;&gt;"",$E52&lt;&gt;""),IF(INDEX(N:N,MATCH($C52,$P:$P,0),1)&lt;&gt;"",$E52*INDEX(N:N,MATCH($C52,$P:$P,0),1)+$G52,""),AND($B52&lt;&gt;"",$D52="COST"),$G52,TRUE,)</f>
        <v>41.075</v>
      </c>
      <c r="J52" s="134">
        <f t="shared" si="54"/>
        <v>6.661352941</v>
      </c>
      <c r="K52" s="135" t="str">
        <f t="shared" si="3"/>
        <v>ETFS All Commodities</v>
      </c>
      <c r="L52" s="136">
        <f t="shared" si="4"/>
        <v>8177</v>
      </c>
      <c r="M52" s="137">
        <f t="shared" si="5"/>
        <v>-60085.79</v>
      </c>
      <c r="N52" s="139" t="str">
        <f t="array" ref="N52">IF($P52&lt;&gt;"",IF(MAXIFS(Investment!$L:$L,Investment!$D:$D,LEFT($P52,40)&amp;"*"),MAXIFS(Investment!$L:$L,Investment!$D:$D,LEFT($P52,40)&amp;"*"),IFERROR(INDEX(Selection!$H:$H, MATCH($P52,Selection!$F:$F,0))/IF(OR(INDEX(Selection!$C:$C, MATCH($P52,Selection!$F:$F,0))="LN",INDEX(Selection!$C:$C, MATCH($P52,Selection!$F:$F,0))="US"),Investment!$K$7,1),"")),"")</f>
        <v/>
      </c>
      <c r="O52" s="144" t="str">
        <f>IF($P52&lt;&gt;"",IF(MAXIFS(Investment!$AG:$AG,Investment!$D:$D,LEFT($P52,40)&amp;"*"),MAXIFS(Investment!$AG:$AG,Investment!$D:$D,LEFT($P52,40)&amp;"*"),""),"")</f>
        <v/>
      </c>
      <c r="P52" s="135"/>
      <c r="Q52" s="136"/>
      <c r="R52" s="134"/>
    </row>
    <row r="53">
      <c r="A53" s="125">
        <v>43557.0</v>
      </c>
      <c r="B53" s="56" t="s">
        <v>217</v>
      </c>
      <c r="C53" s="56" t="s">
        <v>220</v>
      </c>
      <c r="D53" s="56" t="s">
        <v>245</v>
      </c>
      <c r="E53" s="51">
        <v>-145.0</v>
      </c>
      <c r="F53" s="218">
        <v>7.432</v>
      </c>
      <c r="G53" s="132">
        <v>1077.64</v>
      </c>
      <c r="H53" s="133" t="s">
        <v>399</v>
      </c>
      <c r="I53" s="134">
        <f t="shared" ref="I53:J53" si="55">IFS(AND($B53&lt;&gt;"",$E53&lt;&gt;""),IF(INDEX(N:N,MATCH($C53,$P:$P,0),1)&lt;&gt;"",$E53*INDEX(N:N,MATCH($C53,$P:$P,0),1)+$G53,""),AND($B53&lt;&gt;"",$D53="COST"),$G53,TRUE,)</f>
        <v>37.265</v>
      </c>
      <c r="J53" s="134">
        <f t="shared" si="55"/>
        <v>5.071588235</v>
      </c>
      <c r="K53" s="135" t="str">
        <f t="shared" si="3"/>
        <v>ETFS All Commodities</v>
      </c>
      <c r="L53" s="136">
        <f t="shared" si="4"/>
        <v>8177</v>
      </c>
      <c r="M53" s="137">
        <f t="shared" si="5"/>
        <v>-60085.79</v>
      </c>
      <c r="N53" s="139" t="str">
        <f t="array" ref="N53">IF($P53&lt;&gt;"",IF(MAXIFS(Investment!$L:$L,Investment!$D:$D,LEFT($P53,40)&amp;"*"),MAXIFS(Investment!$L:$L,Investment!$D:$D,LEFT($P53,40)&amp;"*"),IFERROR(INDEX(Selection!$H:$H, MATCH($P53,Selection!$F:$F,0))/IF(OR(INDEX(Selection!$C:$C, MATCH($P53,Selection!$F:$F,0))="LN",INDEX(Selection!$C:$C, MATCH($P53,Selection!$F:$F,0))="US"),Investment!$K$7,1),"")),"")</f>
        <v/>
      </c>
      <c r="O53" s="144" t="str">
        <f>IF($P53&lt;&gt;"",IF(MAXIFS(Investment!$AG:$AG,Investment!$D:$D,LEFT($P53,40)&amp;"*"),MAXIFS(Investment!$AG:$AG,Investment!$D:$D,LEFT($P53,40)&amp;"*"),""),"")</f>
        <v/>
      </c>
      <c r="P53" s="135"/>
      <c r="Q53" s="136"/>
      <c r="R53" s="134"/>
    </row>
    <row r="54">
      <c r="A54" s="125">
        <v>43557.0</v>
      </c>
      <c r="B54" s="56" t="s">
        <v>217</v>
      </c>
      <c r="C54" s="56" t="s">
        <v>220</v>
      </c>
      <c r="D54" s="56" t="s">
        <v>245</v>
      </c>
      <c r="E54" s="51">
        <v>-220.0</v>
      </c>
      <c r="F54" s="218">
        <v>7.42</v>
      </c>
      <c r="G54" s="132">
        <v>1632.4</v>
      </c>
      <c r="H54" s="133" t="s">
        <v>400</v>
      </c>
      <c r="I54" s="134">
        <f t="shared" ref="I54:J54" si="56">IFS(AND($B54&lt;&gt;"",$E54&lt;&gt;""),IF(INDEX(N:N,MATCH($C54,$P:$P,0),1)&lt;&gt;"",$E54*INDEX(N:N,MATCH($C54,$P:$P,0),1)+$G54,""),AND($B54&lt;&gt;"",$D54="COST"),$G54,TRUE,)</f>
        <v>53.9</v>
      </c>
      <c r="J54" s="134">
        <f t="shared" si="56"/>
        <v>5.054823529</v>
      </c>
      <c r="K54" s="219" t="str">
        <f t="shared" si="3"/>
        <v>ETFS All Commodities</v>
      </c>
      <c r="L54" s="150">
        <f t="shared" si="4"/>
        <v>8177</v>
      </c>
      <c r="M54" s="150">
        <f t="shared" si="5"/>
        <v>-60085.79</v>
      </c>
      <c r="N54" s="139" t="str">
        <f t="array" ref="N54">IF($P54&lt;&gt;"",IF(MAXIFS(Investment!$L:$L,Investment!$D:$D,LEFT($P54,40)&amp;"*"),MAXIFS(Investment!$L:$L,Investment!$D:$D,LEFT($P54,40)&amp;"*"),IFERROR(INDEX(Selection!$H:$H, MATCH($P54,Selection!$F:$F,0))/IF(OR(INDEX(Selection!$C:$C, MATCH($P54,Selection!$F:$F,0))="LN",INDEX(Selection!$C:$C, MATCH($P54,Selection!$F:$F,0))="US"),Investment!$K$7,1),"")),"")</f>
        <v/>
      </c>
      <c r="O54" s="144" t="str">
        <f>IF($P54&lt;&gt;"",IF(MAXIFS(Investment!$AG:$AG,Investment!$D:$D,LEFT($P54,40)&amp;"*"),MAXIFS(Investment!$AG:$AG,Investment!$D:$D,LEFT($P54,40)&amp;"*"),""),"")</f>
        <v/>
      </c>
      <c r="P54" s="135"/>
      <c r="Q54" s="136"/>
      <c r="R54" s="134"/>
    </row>
    <row r="55">
      <c r="A55" s="125">
        <v>43557.0</v>
      </c>
      <c r="B55" s="56" t="s">
        <v>217</v>
      </c>
      <c r="C55" s="56" t="s">
        <v>220</v>
      </c>
      <c r="D55" s="56" t="s">
        <v>245</v>
      </c>
      <c r="E55" s="51">
        <v>-200.0</v>
      </c>
      <c r="F55" s="218">
        <v>7.42</v>
      </c>
      <c r="G55" s="132">
        <v>1484.0</v>
      </c>
      <c r="H55" s="133" t="s">
        <v>401</v>
      </c>
      <c r="I55" s="134">
        <f t="shared" ref="I55:J55" si="57">IFS(AND($B55&lt;&gt;"",$E55&lt;&gt;""),IF(INDEX(N:N,MATCH($C55,$P:$P,0),1)&lt;&gt;"",$E55*INDEX(N:N,MATCH($C55,$P:$P,0),1)+$G55,""),AND($B55&lt;&gt;"",$D55="COST"),$G55,TRUE,)</f>
        <v>49</v>
      </c>
      <c r="J55" s="134">
        <f t="shared" si="57"/>
        <v>4.595294118</v>
      </c>
      <c r="K55" s="219" t="str">
        <f t="shared" si="3"/>
        <v>ETFS All Commodities</v>
      </c>
      <c r="L55" s="150">
        <f t="shared" si="4"/>
        <v>8177</v>
      </c>
      <c r="M55" s="150">
        <f t="shared" si="5"/>
        <v>-60085.79</v>
      </c>
      <c r="N55" s="139" t="str">
        <f t="array" ref="N55">IF($P55&lt;&gt;"",IF(MAXIFS(Investment!$L:$L,Investment!$D:$D,LEFT($P55,40)&amp;"*"),MAXIFS(Investment!$L:$L,Investment!$D:$D,LEFT($P55,40)&amp;"*"),IFERROR(INDEX(Selection!$H:$H, MATCH($P55,Selection!$F:$F,0))/IF(OR(INDEX(Selection!$C:$C, MATCH($P55,Selection!$F:$F,0))="LN",INDEX(Selection!$C:$C, MATCH($P55,Selection!$F:$F,0))="US"),Investment!$K$7,1),"")),"")</f>
        <v/>
      </c>
      <c r="O55" s="144" t="str">
        <f>IF($P55&lt;&gt;"",IF(MAXIFS(Investment!$AG:$AG,Investment!$D:$D,LEFT($P55,40)&amp;"*"),MAXIFS(Investment!$AG:$AG,Investment!$D:$D,LEFT($P55,40)&amp;"*"),""),"")</f>
        <v/>
      </c>
      <c r="P55" s="135"/>
      <c r="Q55" s="136"/>
      <c r="R55" s="134"/>
    </row>
    <row r="56">
      <c r="A56" s="125">
        <v>43556.0</v>
      </c>
      <c r="B56" s="56"/>
      <c r="C56" s="56"/>
      <c r="D56" s="56" t="s">
        <v>268</v>
      </c>
      <c r="E56" s="51"/>
      <c r="F56" s="218"/>
      <c r="G56" s="132">
        <v>-500.0</v>
      </c>
      <c r="H56" s="133" t="s">
        <v>269</v>
      </c>
      <c r="I56" s="134" t="str">
        <f t="shared" ref="I56:J56" si="58">IFS(AND($B56&lt;&gt;"",$E56&lt;&gt;""),IF(INDEX(N:N,MATCH($C56,$P:$P,0),1)&lt;&gt;"",$E56*INDEX(N:N,MATCH($C56,$P:$P,0),1)+$G56,""),AND($B56&lt;&gt;"",$D56="COST"),$G56,TRUE,)</f>
        <v/>
      </c>
      <c r="J56" s="134" t="str">
        <f t="shared" si="58"/>
        <v/>
      </c>
      <c r="K56" s="219" t="str">
        <f t="shared" si="3"/>
        <v/>
      </c>
      <c r="L56" s="150" t="str">
        <f t="shared" si="4"/>
        <v/>
      </c>
      <c r="M56" s="150" t="str">
        <f t="shared" si="5"/>
        <v/>
      </c>
      <c r="N56" s="139" t="str">
        <f t="array" ref="N56">IF($P56&lt;&gt;"",IF(MAXIFS(Investment!$L:$L,Investment!$D:$D,LEFT($P56,40)&amp;"*"),MAXIFS(Investment!$L:$L,Investment!$D:$D,LEFT($P56,40)&amp;"*"),IFERROR(INDEX(Selection!$H:$H, MATCH($P56,Selection!$F:$F,0))/IF(OR(INDEX(Selection!$C:$C, MATCH($P56,Selection!$F:$F,0))="LN",INDEX(Selection!$C:$C, MATCH($P56,Selection!$F:$F,0))="US"),Investment!$K$7,1),"")),"")</f>
        <v/>
      </c>
      <c r="O56" s="144" t="str">
        <f>IF($P56&lt;&gt;"",IF(MAXIFS(Investment!$AG:$AG,Investment!$D:$D,LEFT($P56,40)&amp;"*"),MAXIFS(Investment!$AG:$AG,Investment!$D:$D,LEFT($P56,40)&amp;"*"),""),"")</f>
        <v/>
      </c>
      <c r="P56" s="135"/>
      <c r="Q56" s="136"/>
      <c r="R56" s="134"/>
    </row>
    <row r="57">
      <c r="A57" s="125">
        <v>43556.0</v>
      </c>
      <c r="B57" s="56"/>
      <c r="C57" s="56"/>
      <c r="D57" s="56" t="s">
        <v>263</v>
      </c>
      <c r="E57" s="51"/>
      <c r="F57" s="218"/>
      <c r="G57" s="132">
        <v>-618.92</v>
      </c>
      <c r="H57" s="133" t="s">
        <v>402</v>
      </c>
      <c r="I57" s="134" t="str">
        <f t="shared" ref="I57:J57" si="59">IFS(AND($B57&lt;&gt;"",$E57&lt;&gt;""),IF(INDEX(N:N,MATCH($C57,$P:$P,0),1)&lt;&gt;"",$E57*INDEX(N:N,MATCH($C57,$P:$P,0),1)+$G57,""),AND($B57&lt;&gt;"",$D57="COST"),$G57,TRUE,)</f>
        <v/>
      </c>
      <c r="J57" s="134" t="str">
        <f t="shared" si="59"/>
        <v/>
      </c>
      <c r="K57" s="219" t="str">
        <f t="shared" si="3"/>
        <v/>
      </c>
      <c r="L57" s="150" t="str">
        <f t="shared" si="4"/>
        <v/>
      </c>
      <c r="M57" s="150" t="str">
        <f t="shared" si="5"/>
        <v/>
      </c>
      <c r="N57" s="139" t="str">
        <f t="array" ref="N57">IF($P57&lt;&gt;"",IF(MAXIFS(Investment!$L:$L,Investment!$D:$D,LEFT($P57,40)&amp;"*"),MAXIFS(Investment!$L:$L,Investment!$D:$D,LEFT($P57,40)&amp;"*"),IFERROR(INDEX(Selection!$H:$H, MATCH($P57,Selection!$F:$F,0))/IF(OR(INDEX(Selection!$C:$C, MATCH($P57,Selection!$F:$F,0))="LN",INDEX(Selection!$C:$C, MATCH($P57,Selection!$F:$F,0))="US"),Investment!$K$7,1),"")),"")</f>
        <v/>
      </c>
      <c r="O57" s="144" t="str">
        <f>IF($P57&lt;&gt;"",IF(MAXIFS(Investment!$AG:$AG,Investment!$D:$D,LEFT($P57,40)&amp;"*"),MAXIFS(Investment!$AG:$AG,Investment!$D:$D,LEFT($P57,40)&amp;"*"),""),"")</f>
        <v/>
      </c>
      <c r="P57" s="135"/>
      <c r="Q57" s="136"/>
      <c r="R57" s="134"/>
    </row>
    <row r="58">
      <c r="A58" s="125">
        <v>43549.0</v>
      </c>
      <c r="B58" s="56" t="s">
        <v>243</v>
      </c>
      <c r="C58" s="56" t="s">
        <v>403</v>
      </c>
      <c r="D58" s="56" t="s">
        <v>263</v>
      </c>
      <c r="E58" s="51"/>
      <c r="F58" s="218"/>
      <c r="G58" s="132">
        <v>-51.46</v>
      </c>
      <c r="H58" s="133" t="s">
        <v>404</v>
      </c>
      <c r="I58" s="134">
        <f t="shared" ref="I58:J58" si="60">IFS(AND($B58&lt;&gt;"",$E58&lt;&gt;""),IF(INDEX(N:N,MATCH($C58,$P:$P,0),1)&lt;&gt;"",$E58*INDEX(N:N,MATCH($C58,$P:$P,0),1)+$G58,""),AND($B58&lt;&gt;"",$D58="COST"),$G58,TRUE,)</f>
        <v>-51.46</v>
      </c>
      <c r="J58" s="134">
        <f t="shared" si="60"/>
        <v>-51.46</v>
      </c>
      <c r="K58" s="219" t="str">
        <f t="shared" si="3"/>
        <v>iShares USD Treasury Bond 20+yr UCITS ETF USD Dist</v>
      </c>
      <c r="L58" s="150">
        <f t="shared" si="4"/>
        <v>0</v>
      </c>
      <c r="M58" s="150">
        <f t="shared" si="5"/>
        <v>27424.23</v>
      </c>
      <c r="N58" s="139" t="str">
        <f t="array" ref="N58">IF($P58&lt;&gt;"",IF(MAXIFS(Investment!$L:$L,Investment!$D:$D,LEFT($P58,40)&amp;"*"),MAXIFS(Investment!$L:$L,Investment!$D:$D,LEFT($P58,40)&amp;"*"),IFERROR(INDEX(Selection!$H:$H, MATCH($P58,Selection!$F:$F,0))/IF(OR(INDEX(Selection!$C:$C, MATCH($P58,Selection!$F:$F,0))="LN",INDEX(Selection!$C:$C, MATCH($P58,Selection!$F:$F,0))="US"),Investment!$K$7,1),"")),"")</f>
        <v/>
      </c>
      <c r="O58" s="144" t="str">
        <f>IF($P58&lt;&gt;"",IF(MAXIFS(Investment!$AG:$AG,Investment!$D:$D,LEFT($P58,40)&amp;"*"),MAXIFS(Investment!$AG:$AG,Investment!$D:$D,LEFT($P58,40)&amp;"*"),""),"")</f>
        <v/>
      </c>
      <c r="P58" s="135"/>
      <c r="Q58" s="136"/>
      <c r="R58" s="134"/>
    </row>
    <row r="59">
      <c r="A59" s="125">
        <v>43549.0</v>
      </c>
      <c r="B59" s="56" t="s">
        <v>243</v>
      </c>
      <c r="C59" s="56" t="s">
        <v>403</v>
      </c>
      <c r="D59" s="56" t="s">
        <v>245</v>
      </c>
      <c r="E59" s="51">
        <v>-60000.0</v>
      </c>
      <c r="F59" s="218">
        <v>4.113</v>
      </c>
      <c r="G59" s="132">
        <v>246774.25</v>
      </c>
      <c r="H59" s="133" t="s">
        <v>405</v>
      </c>
      <c r="I59" s="134">
        <f t="shared" ref="I59:J59" si="61">IFS(AND($B59&lt;&gt;"",$E59&lt;&gt;""),IF(INDEX(N:N,MATCH($C59,$P:$P,0),1)&lt;&gt;"",$E59*INDEX(N:N,MATCH($C59,$P:$P,0),1)+$G59,""),AND($B59&lt;&gt;"",$D59="COST"),$G59,TRUE,)</f>
        <v>-6113.75</v>
      </c>
      <c r="J59" s="134">
        <f t="shared" si="61"/>
        <v>11559.23824</v>
      </c>
      <c r="K59" s="219" t="str">
        <f t="shared" si="3"/>
        <v>iShares USD Treasury Bond 20+yr UCITS ETF USD Dist</v>
      </c>
      <c r="L59" s="150">
        <f t="shared" si="4"/>
        <v>0</v>
      </c>
      <c r="M59" s="150">
        <f t="shared" si="5"/>
        <v>27424.23</v>
      </c>
      <c r="N59" s="139" t="str">
        <f t="array" ref="N59">IF($P59&lt;&gt;"",IF(MAXIFS(Investment!$L:$L,Investment!$D:$D,LEFT($P59,40)&amp;"*"),MAXIFS(Investment!$L:$L,Investment!$D:$D,LEFT($P59,40)&amp;"*"),IFERROR(INDEX(Selection!$H:$H, MATCH($P59,Selection!$F:$F,0))/IF(OR(INDEX(Selection!$C:$C, MATCH($P59,Selection!$F:$F,0))="LN",INDEX(Selection!$C:$C, MATCH($P59,Selection!$F:$F,0))="US"),Investment!$K$7,1),"")),"")</f>
        <v/>
      </c>
      <c r="O59" s="144" t="str">
        <f>IF($P59&lt;&gt;"",IF(MAXIFS(Investment!$AG:$AG,Investment!$D:$D,LEFT($P59,40)&amp;"*"),MAXIFS(Investment!$AG:$AG,Investment!$D:$D,LEFT($P59,40)&amp;"*"),""),"")</f>
        <v/>
      </c>
      <c r="P59" s="135"/>
      <c r="Q59" s="136"/>
      <c r="R59" s="134"/>
    </row>
    <row r="60">
      <c r="A60" s="125">
        <v>43549.0</v>
      </c>
      <c r="B60" s="56" t="s">
        <v>243</v>
      </c>
      <c r="C60" s="56" t="s">
        <v>403</v>
      </c>
      <c r="D60" s="56" t="s">
        <v>263</v>
      </c>
      <c r="E60" s="51"/>
      <c r="F60" s="218"/>
      <c r="G60" s="132">
        <v>-12.88</v>
      </c>
      <c r="H60" s="133" t="s">
        <v>406</v>
      </c>
      <c r="I60" s="134">
        <f t="shared" ref="I60:J60" si="62">IFS(AND($B60&lt;&gt;"",$E60&lt;&gt;""),IF(INDEX(N:N,MATCH($C60,$P:$P,0),1)&lt;&gt;"",$E60*INDEX(N:N,MATCH($C60,$P:$P,0),1)+$G60,""),AND($B60&lt;&gt;"",$D60="COST"),$G60,TRUE,)</f>
        <v>-12.88</v>
      </c>
      <c r="J60" s="134">
        <f t="shared" si="62"/>
        <v>-12.88</v>
      </c>
      <c r="K60" s="219" t="str">
        <f t="shared" si="3"/>
        <v>iShares USD Treasury Bond 20+yr UCITS ETF USD Dist</v>
      </c>
      <c r="L60" s="150">
        <f t="shared" si="4"/>
        <v>0</v>
      </c>
      <c r="M60" s="150">
        <f t="shared" si="5"/>
        <v>27424.23</v>
      </c>
      <c r="N60" s="139" t="str">
        <f t="array" ref="N60">IF($P60&lt;&gt;"",IF(MAXIFS(Investment!$L:$L,Investment!$D:$D,LEFT($P60,40)&amp;"*"),MAXIFS(Investment!$L:$L,Investment!$D:$D,LEFT($P60,40)&amp;"*"),IFERROR(INDEX(Selection!$H:$H, MATCH($P60,Selection!$F:$F,0))/IF(OR(INDEX(Selection!$C:$C, MATCH($P60,Selection!$F:$F,0))="LN",INDEX(Selection!$C:$C, MATCH($P60,Selection!$F:$F,0))="US"),Investment!$K$7,1),"")),"")</f>
        <v/>
      </c>
      <c r="O60" s="144" t="str">
        <f>IF($P60&lt;&gt;"",IF(MAXIFS(Investment!$AG:$AG,Investment!$D:$D,LEFT($P60,40)&amp;"*"),MAXIFS(Investment!$AG:$AG,Investment!$D:$D,LEFT($P60,40)&amp;"*"),""),"")</f>
        <v/>
      </c>
      <c r="P60" s="135"/>
      <c r="Q60" s="136"/>
      <c r="R60" s="134"/>
    </row>
    <row r="61">
      <c r="A61" s="125">
        <v>43549.0</v>
      </c>
      <c r="B61" s="56" t="s">
        <v>243</v>
      </c>
      <c r="C61" s="56" t="s">
        <v>403</v>
      </c>
      <c r="D61" s="56" t="s">
        <v>245</v>
      </c>
      <c r="E61" s="51">
        <v>-13195.0</v>
      </c>
      <c r="F61" s="218">
        <v>4.113</v>
      </c>
      <c r="G61" s="132">
        <v>54273.96</v>
      </c>
      <c r="H61" s="133" t="s">
        <v>407</v>
      </c>
      <c r="I61" s="134">
        <f t="shared" ref="I61:J61" si="63">IFS(AND($B61&lt;&gt;"",$E61&lt;&gt;""),IF(INDEX(N:N,MATCH($C61,$P:$P,0),1)&lt;&gt;"",$E61*INDEX(N:N,MATCH($C61,$P:$P,0),1)+$G61,""),AND($B61&lt;&gt;"",$D61="COST"),$G61,TRUE,)</f>
        <v>-1340.326</v>
      </c>
      <c r="J61" s="134">
        <f t="shared" si="63"/>
        <v>2546.258663</v>
      </c>
      <c r="K61" s="219" t="str">
        <f t="shared" si="3"/>
        <v>iShares USD Treasury Bond 20+yr UCITS ETF USD Dist</v>
      </c>
      <c r="L61" s="150">
        <f t="shared" si="4"/>
        <v>0</v>
      </c>
      <c r="M61" s="150">
        <f t="shared" si="5"/>
        <v>27424.23</v>
      </c>
      <c r="N61" s="139" t="str">
        <f t="array" ref="N61">IF($P61&lt;&gt;"",IF(MAXIFS(Investment!$L:$L,Investment!$D:$D,LEFT($P61,40)&amp;"*"),MAXIFS(Investment!$L:$L,Investment!$D:$D,LEFT($P61,40)&amp;"*"),IFERROR(INDEX(Selection!$H:$H, MATCH($P61,Selection!$F:$F,0))/IF(OR(INDEX(Selection!$C:$C, MATCH($P61,Selection!$F:$F,0))="LN",INDEX(Selection!$C:$C, MATCH($P61,Selection!$F:$F,0))="US"),Investment!$K$7,1),"")),"")</f>
        <v/>
      </c>
      <c r="O61" s="144" t="str">
        <f>IF($P61&lt;&gt;"",IF(MAXIFS(Investment!$AG:$AG,Investment!$D:$D,LEFT($P61,40)&amp;"*"),MAXIFS(Investment!$AG:$AG,Investment!$D:$D,LEFT($P61,40)&amp;"*"),""),"")</f>
        <v/>
      </c>
      <c r="P61" s="135"/>
      <c r="Q61" s="136"/>
      <c r="R61" s="134"/>
    </row>
    <row r="62">
      <c r="A62" s="125">
        <v>43543.0</v>
      </c>
      <c r="B62" s="56" t="s">
        <v>307</v>
      </c>
      <c r="C62" s="56" t="s">
        <v>308</v>
      </c>
      <c r="D62" s="56" t="s">
        <v>245</v>
      </c>
      <c r="E62" s="51">
        <v>-22.0</v>
      </c>
      <c r="F62" s="218">
        <v>47.68</v>
      </c>
      <c r="G62" s="132">
        <v>1048.96</v>
      </c>
      <c r="H62" s="133" t="s">
        <v>408</v>
      </c>
      <c r="I62" s="134">
        <f t="shared" ref="I62:J62" si="64">IFS(AND($B62&lt;&gt;"",$E62&lt;&gt;""),IF(INDEX(N:N,MATCH($C62,$P:$P,0),1)&lt;&gt;"",$E62*INDEX(N:N,MATCH($C62,$P:$P,0),1)+$G62,""),AND($B62&lt;&gt;"",$D62="COST"),$G62,TRUE,)</f>
        <v>-7.7</v>
      </c>
      <c r="J62" s="134">
        <f t="shared" si="64"/>
        <v>38.56625882</v>
      </c>
      <c r="K62" s="219" t="str">
        <f t="shared" si="3"/>
        <v>Vanguard S&amp;P 500 UCITS ETF</v>
      </c>
      <c r="L62" s="150">
        <f t="shared" si="4"/>
        <v>4429</v>
      </c>
      <c r="M62" s="150">
        <f t="shared" si="5"/>
        <v>-189831.65</v>
      </c>
      <c r="N62" s="139" t="str">
        <f t="array" ref="N62">IF($P62&lt;&gt;"",IF(MAXIFS(Investment!$L:$L,Investment!$D:$D,LEFT($P62,40)&amp;"*"),MAXIFS(Investment!$L:$L,Investment!$D:$D,LEFT($P62,40)&amp;"*"),IFERROR(INDEX(Selection!$H:$H, MATCH($P62,Selection!$F:$F,0))/IF(OR(INDEX(Selection!$C:$C, MATCH($P62,Selection!$F:$F,0))="LN",INDEX(Selection!$C:$C, MATCH($P62,Selection!$F:$F,0))="US"),Investment!$K$7,1),"")),"")</f>
        <v/>
      </c>
      <c r="O62" s="144" t="str">
        <f>IF($P62&lt;&gt;"",IF(MAXIFS(Investment!$AG:$AG,Investment!$D:$D,LEFT($P62,40)&amp;"*"),MAXIFS(Investment!$AG:$AG,Investment!$D:$D,LEFT($P62,40)&amp;"*"),""),"")</f>
        <v/>
      </c>
      <c r="P62" s="135"/>
      <c r="Q62" s="136"/>
      <c r="R62" s="134"/>
    </row>
    <row r="63">
      <c r="A63" s="125">
        <v>43532.0</v>
      </c>
      <c r="B63" s="56" t="s">
        <v>243</v>
      </c>
      <c r="C63" s="56" t="s">
        <v>403</v>
      </c>
      <c r="D63" s="56" t="s">
        <v>263</v>
      </c>
      <c r="E63" s="51"/>
      <c r="F63" s="218"/>
      <c r="G63" s="132">
        <v>-2.73</v>
      </c>
      <c r="H63" s="133" t="s">
        <v>414</v>
      </c>
      <c r="I63" s="134">
        <f t="shared" ref="I63:J63" si="65">IFS(AND($B63&lt;&gt;"",$E63&lt;&gt;""),IF(INDEX(N:N,MATCH($C63,$P:$P,0),1)&lt;&gt;"",$E63*INDEX(N:N,MATCH($C63,$P:$P,0),1)+$G63,""),AND($B63&lt;&gt;"",$D63="COST"),$G63,TRUE,)</f>
        <v>-2.73</v>
      </c>
      <c r="J63" s="134">
        <f t="shared" si="65"/>
        <v>-2.73</v>
      </c>
      <c r="K63" s="219" t="str">
        <f t="shared" si="3"/>
        <v>iShares USD Treasury Bond 20+yr UCITS ETF USD Dist</v>
      </c>
      <c r="L63" s="150">
        <f t="shared" si="4"/>
        <v>0</v>
      </c>
      <c r="M63" s="150">
        <f t="shared" si="5"/>
        <v>27424.23</v>
      </c>
      <c r="N63" s="139" t="str">
        <f t="array" ref="N63">IF($P63&lt;&gt;"",IF(MAXIFS(Investment!$L:$L,Investment!$D:$D,LEFT($P63,40)&amp;"*"),MAXIFS(Investment!$L:$L,Investment!$D:$D,LEFT($P63,40)&amp;"*"),IFERROR(INDEX(Selection!$H:$H, MATCH($P63,Selection!$F:$F,0))/IF(OR(INDEX(Selection!$C:$C, MATCH($P63,Selection!$F:$F,0))="LN",INDEX(Selection!$C:$C, MATCH($P63,Selection!$F:$F,0))="US"),Investment!$K$7,1),"")),"")</f>
        <v/>
      </c>
      <c r="O63" s="144" t="str">
        <f>IF($P63&lt;&gt;"",IF(MAXIFS(Investment!$AG:$AG,Investment!$D:$D,LEFT($P63,40)&amp;"*"),MAXIFS(Investment!$AG:$AG,Investment!$D:$D,LEFT($P63,40)&amp;"*"),""),"")</f>
        <v/>
      </c>
      <c r="P63" s="135"/>
      <c r="Q63" s="136"/>
      <c r="R63" s="134"/>
    </row>
    <row r="64">
      <c r="A64" s="125">
        <v>43532.0</v>
      </c>
      <c r="B64" s="56" t="s">
        <v>243</v>
      </c>
      <c r="C64" s="56" t="s">
        <v>403</v>
      </c>
      <c r="D64" s="56" t="s">
        <v>245</v>
      </c>
      <c r="E64" s="51">
        <v>-900.0</v>
      </c>
      <c r="F64" s="218">
        <v>4.054</v>
      </c>
      <c r="G64" s="132">
        <v>3649.01</v>
      </c>
      <c r="H64" s="133" t="s">
        <v>415</v>
      </c>
      <c r="I64" s="134">
        <f t="shared" ref="I64:J64" si="66">IFS(AND($B64&lt;&gt;"",$E64&lt;&gt;""),IF(INDEX(N:N,MATCH($C64,$P:$P,0),1)&lt;&gt;"",$E64*INDEX(N:N,MATCH($C64,$P:$P,0),1)+$G64,""),AND($B64&lt;&gt;"",$D64="COST"),$G64,TRUE,)</f>
        <v>-144.31</v>
      </c>
      <c r="J64" s="134">
        <f t="shared" si="66"/>
        <v>120.7848235</v>
      </c>
      <c r="K64" s="219" t="str">
        <f t="shared" si="3"/>
        <v>iShares USD Treasury Bond 20+yr UCITS ETF USD Dist</v>
      </c>
      <c r="L64" s="150">
        <f t="shared" si="4"/>
        <v>0</v>
      </c>
      <c r="M64" s="150">
        <f t="shared" si="5"/>
        <v>27424.23</v>
      </c>
      <c r="N64" s="139" t="str">
        <f t="array" ref="N64">IF($P64&lt;&gt;"",IF(MAXIFS(Investment!$L:$L,Investment!$D:$D,LEFT($P64,40)&amp;"*"),MAXIFS(Investment!$L:$L,Investment!$D:$D,LEFT($P64,40)&amp;"*"),IFERROR(INDEX(Selection!$H:$H, MATCH($P64,Selection!$F:$F,0))/IF(OR(INDEX(Selection!$C:$C, MATCH($P64,Selection!$F:$F,0))="LN",INDEX(Selection!$C:$C, MATCH($P64,Selection!$F:$F,0))="US"),Investment!$K$7,1),"")),"")</f>
        <v/>
      </c>
      <c r="O64" s="144" t="str">
        <f>IF($P64&lt;&gt;"",IF(MAXIFS(Investment!$AG:$AG,Investment!$D:$D,LEFT($P64,40)&amp;"*"),MAXIFS(Investment!$AG:$AG,Investment!$D:$D,LEFT($P64,40)&amp;"*"),""),"")</f>
        <v/>
      </c>
      <c r="P64" s="135"/>
      <c r="Q64" s="136"/>
      <c r="R64" s="134"/>
    </row>
    <row r="65">
      <c r="A65" s="125">
        <v>43532.0</v>
      </c>
      <c r="B65" s="56" t="s">
        <v>217</v>
      </c>
      <c r="C65" s="56" t="s">
        <v>220</v>
      </c>
      <c r="D65" s="56" t="s">
        <v>222</v>
      </c>
      <c r="E65" s="51">
        <v>185.0</v>
      </c>
      <c r="F65" s="218">
        <v>7.298</v>
      </c>
      <c r="G65" s="132">
        <v>-1350.13</v>
      </c>
      <c r="H65" s="133" t="s">
        <v>421</v>
      </c>
      <c r="I65" s="134">
        <f t="shared" ref="I65:J65" si="67">IFS(AND($B65&lt;&gt;"",$E65&lt;&gt;""),IF(INDEX(N:N,MATCH($C65,$P:$P,0),1)&lt;&gt;"",$E65*INDEX(N:N,MATCH($C65,$P:$P,0),1)+$G65,""),AND($B65&lt;&gt;"",$D65="COST"),$G65,TRUE,)</f>
        <v>-22.755</v>
      </c>
      <c r="J65" s="134">
        <f t="shared" si="67"/>
        <v>18.31935294</v>
      </c>
      <c r="K65" s="219" t="str">
        <f t="shared" si="3"/>
        <v>ETFS All Commodities</v>
      </c>
      <c r="L65" s="150">
        <f t="shared" si="4"/>
        <v>8177</v>
      </c>
      <c r="M65" s="150">
        <f t="shared" si="5"/>
        <v>-60085.79</v>
      </c>
      <c r="N65" s="139" t="str">
        <f t="array" ref="N65">IF($P65&lt;&gt;"",IF(MAXIFS(Investment!$L:$L,Investment!$D:$D,LEFT($P65,40)&amp;"*"),MAXIFS(Investment!$L:$L,Investment!$D:$D,LEFT($P65,40)&amp;"*"),IFERROR(INDEX(Selection!$H:$H, MATCH($P65,Selection!$F:$F,0))/IF(OR(INDEX(Selection!$C:$C, MATCH($P65,Selection!$F:$F,0))="LN",INDEX(Selection!$C:$C, MATCH($P65,Selection!$F:$F,0))="US"),Investment!$K$7,1),"")),"")</f>
        <v/>
      </c>
      <c r="O65" s="144" t="str">
        <f>IF($P65&lt;&gt;"",IF(MAXIFS(Investment!$AG:$AG,Investment!$D:$D,LEFT($P65,40)&amp;"*"),MAXIFS(Investment!$AG:$AG,Investment!$D:$D,LEFT($P65,40)&amp;"*"),""),"")</f>
        <v/>
      </c>
      <c r="P65" s="135"/>
      <c r="Q65" s="136"/>
      <c r="R65" s="134"/>
    </row>
    <row r="66">
      <c r="A66" s="125">
        <v>43532.0</v>
      </c>
      <c r="B66" s="56" t="s">
        <v>277</v>
      </c>
      <c r="C66" s="56" t="s">
        <v>278</v>
      </c>
      <c r="D66" s="56" t="s">
        <v>245</v>
      </c>
      <c r="E66" s="51">
        <v>-8.0</v>
      </c>
      <c r="F66" s="218">
        <v>172.6</v>
      </c>
      <c r="G66" s="132">
        <v>1380.8</v>
      </c>
      <c r="H66" s="133" t="s">
        <v>427</v>
      </c>
      <c r="I66" s="134">
        <f t="shared" ref="I66:J66" si="68">IFS(AND($B66&lt;&gt;"",$E66&lt;&gt;""),IF(INDEX(N:N,MATCH($C66,$P:$P,0),1)&lt;&gt;"",$E66*INDEX(N:N,MATCH($C66,$P:$P,0),1)+$G66,""),AND($B66&lt;&gt;"",$D66="COST"),$G66,TRUE,)</f>
        <v>-31.12</v>
      </c>
      <c r="J66" s="134">
        <f t="shared" si="68"/>
        <v>55.74305882</v>
      </c>
      <c r="K66" s="219" t="str">
        <f t="shared" si="3"/>
        <v>iShares USD Treasury Bond 7-10yr UCITS ETF</v>
      </c>
      <c r="L66" s="150">
        <f t="shared" si="4"/>
        <v>622</v>
      </c>
      <c r="M66" s="150">
        <f t="shared" si="5"/>
        <v>-96952.49</v>
      </c>
      <c r="N66" s="139" t="str">
        <f t="array" ref="N66">IF($P66&lt;&gt;"",IF(MAXIFS(Investment!$L:$L,Investment!$D:$D,LEFT($P66,40)&amp;"*"),MAXIFS(Investment!$L:$L,Investment!$D:$D,LEFT($P66,40)&amp;"*"),IFERROR(INDEX(Selection!$H:$H, MATCH($P66,Selection!$F:$F,0))/IF(OR(INDEX(Selection!$C:$C, MATCH($P66,Selection!$F:$F,0))="LN",INDEX(Selection!$C:$C, MATCH($P66,Selection!$F:$F,0))="US"),Investment!$K$7,1),"")),"")</f>
        <v/>
      </c>
      <c r="O66" s="144" t="str">
        <f>IF($P66&lt;&gt;"",IF(MAXIFS(Investment!$AG:$AG,Investment!$D:$D,LEFT($P66,40)&amp;"*"),MAXIFS(Investment!$AG:$AG,Investment!$D:$D,LEFT($P66,40)&amp;"*"),""),"")</f>
        <v/>
      </c>
      <c r="P66" s="135"/>
      <c r="Q66" s="136"/>
      <c r="R66" s="134"/>
    </row>
    <row r="67">
      <c r="A67" s="125">
        <v>43531.0</v>
      </c>
      <c r="B67" s="56" t="s">
        <v>243</v>
      </c>
      <c r="C67" s="56" t="s">
        <v>403</v>
      </c>
      <c r="D67" s="56" t="s">
        <v>245</v>
      </c>
      <c r="E67" s="51">
        <v>-10.0</v>
      </c>
      <c r="F67" s="218">
        <v>4.041</v>
      </c>
      <c r="G67" s="132">
        <v>40.41</v>
      </c>
      <c r="H67" s="133" t="s">
        <v>431</v>
      </c>
      <c r="I67" s="134">
        <f t="shared" ref="I67:J67" si="69">IFS(AND($B67&lt;&gt;"",$E67&lt;&gt;""),IF(INDEX(N:N,MATCH($C67,$P:$P,0),1)&lt;&gt;"",$E67*INDEX(N:N,MATCH($C67,$P:$P,0),1)+$G67,""),AND($B67&lt;&gt;"",$D67="COST"),$G67,TRUE,)</f>
        <v>-1.738</v>
      </c>
      <c r="J67" s="134">
        <f t="shared" si="69"/>
        <v>1.207498039</v>
      </c>
      <c r="K67" s="219" t="str">
        <f t="shared" si="3"/>
        <v>iShares USD Treasury Bond 20+yr UCITS ETF USD Dist</v>
      </c>
      <c r="L67" s="150">
        <f t="shared" si="4"/>
        <v>0</v>
      </c>
      <c r="M67" s="150">
        <f t="shared" si="5"/>
        <v>27424.23</v>
      </c>
      <c r="N67" s="139" t="str">
        <f t="array" ref="N67">IF($P67&lt;&gt;"",IF(MAXIFS(Investment!$L:$L,Investment!$D:$D,LEFT($P67,40)&amp;"*"),MAXIFS(Investment!$L:$L,Investment!$D:$D,LEFT($P67,40)&amp;"*"),IFERROR(INDEX(Selection!$H:$H, MATCH($P67,Selection!$F:$F,0))/IF(OR(INDEX(Selection!$C:$C, MATCH($P67,Selection!$F:$F,0))="LN",INDEX(Selection!$C:$C, MATCH($P67,Selection!$F:$F,0))="US"),Investment!$K$7,1),"")),"")</f>
        <v/>
      </c>
      <c r="O67" s="144" t="str">
        <f>IF($P67&lt;&gt;"",IF(MAXIFS(Investment!$AG:$AG,Investment!$D:$D,LEFT($P67,40)&amp;"*"),MAXIFS(Investment!$AG:$AG,Investment!$D:$D,LEFT($P67,40)&amp;"*"),""),"")</f>
        <v/>
      </c>
      <c r="P67" s="135"/>
      <c r="Q67" s="136"/>
      <c r="R67" s="134"/>
    </row>
    <row r="68">
      <c r="A68" s="125">
        <v>43531.0</v>
      </c>
      <c r="B68" s="56" t="s">
        <v>243</v>
      </c>
      <c r="C68" s="56" t="s">
        <v>403</v>
      </c>
      <c r="D68" s="56" t="s">
        <v>263</v>
      </c>
      <c r="E68" s="51"/>
      <c r="F68" s="218"/>
      <c r="G68" s="132">
        <v>-2.01</v>
      </c>
      <c r="H68" s="133" t="s">
        <v>432</v>
      </c>
      <c r="I68" s="134">
        <f t="shared" ref="I68:J68" si="70">IFS(AND($B68&lt;&gt;"",$E68&lt;&gt;""),IF(INDEX(N:N,MATCH($C68,$P:$P,0),1)&lt;&gt;"",$E68*INDEX(N:N,MATCH($C68,$P:$P,0),1)+$G68,""),AND($B68&lt;&gt;"",$D68="COST"),$G68,TRUE,)</f>
        <v>-2.01</v>
      </c>
      <c r="J68" s="134">
        <f t="shared" si="70"/>
        <v>-2.01</v>
      </c>
      <c r="K68" s="219" t="str">
        <f t="shared" si="3"/>
        <v>iShares USD Treasury Bond 20+yr UCITS ETF USD Dist</v>
      </c>
      <c r="L68" s="150">
        <f t="shared" si="4"/>
        <v>0</v>
      </c>
      <c r="M68" s="150">
        <f t="shared" si="5"/>
        <v>27424.23</v>
      </c>
      <c r="N68" s="139" t="str">
        <f t="array" ref="N68">IF($P68&lt;&gt;"",IF(MAXIFS(Investment!$L:$L,Investment!$D:$D,LEFT($P68,40)&amp;"*"),MAXIFS(Investment!$L:$L,Investment!$D:$D,LEFT($P68,40)&amp;"*"),IFERROR(INDEX(Selection!$H:$H, MATCH($P68,Selection!$F:$F,0))/IF(OR(INDEX(Selection!$C:$C, MATCH($P68,Selection!$F:$F,0))="LN",INDEX(Selection!$C:$C, MATCH($P68,Selection!$F:$F,0))="US"),Investment!$K$7,1),"")),"")</f>
        <v/>
      </c>
      <c r="O68" s="144" t="str">
        <f>IF($P68&lt;&gt;"",IF(MAXIFS(Investment!$AG:$AG,Investment!$D:$D,LEFT($P68,40)&amp;"*"),MAXIFS(Investment!$AG:$AG,Investment!$D:$D,LEFT($P68,40)&amp;"*"),""),"")</f>
        <v/>
      </c>
      <c r="P68" s="135"/>
      <c r="Q68" s="136"/>
      <c r="R68" s="134"/>
    </row>
    <row r="69">
      <c r="A69" s="125">
        <v>43530.0</v>
      </c>
      <c r="B69" s="56" t="s">
        <v>277</v>
      </c>
      <c r="C69" s="56" t="s">
        <v>278</v>
      </c>
      <c r="D69" s="56" t="s">
        <v>245</v>
      </c>
      <c r="E69" s="51">
        <v>-6.0</v>
      </c>
      <c r="F69" s="218">
        <v>169.9</v>
      </c>
      <c r="G69" s="132">
        <v>1019.4</v>
      </c>
      <c r="H69" s="133" t="s">
        <v>433</v>
      </c>
      <c r="I69" s="134">
        <f t="shared" ref="I69:J69" si="71">IFS(AND($B69&lt;&gt;"",$E69&lt;&gt;""),IF(INDEX(N:N,MATCH($C69,$P:$P,0),1)&lt;&gt;"",$E69*INDEX(N:N,MATCH($C69,$P:$P,0),1)+$G69,""),AND($B69&lt;&gt;"",$D69="COST"),$G69,TRUE,)</f>
        <v>-39.54</v>
      </c>
      <c r="J69" s="134">
        <f t="shared" si="71"/>
        <v>25.60729412</v>
      </c>
      <c r="K69" s="219" t="str">
        <f t="shared" si="3"/>
        <v>iShares USD Treasury Bond 7-10yr UCITS ETF</v>
      </c>
      <c r="L69" s="150">
        <f t="shared" si="4"/>
        <v>622</v>
      </c>
      <c r="M69" s="150">
        <f t="shared" si="5"/>
        <v>-96952.49</v>
      </c>
      <c r="N69" s="139" t="str">
        <f t="array" ref="N69">IF($P69&lt;&gt;"",IF(MAXIFS(Investment!$L:$L,Investment!$D:$D,LEFT($P69,40)&amp;"*"),MAXIFS(Investment!$L:$L,Investment!$D:$D,LEFT($P69,40)&amp;"*"),IFERROR(INDEX(Selection!$H:$H, MATCH($P69,Selection!$F:$F,0))/IF(OR(INDEX(Selection!$C:$C, MATCH($P69,Selection!$F:$F,0))="LN",INDEX(Selection!$C:$C, MATCH($P69,Selection!$F:$F,0))="US"),Investment!$K$7,1),"")),"")</f>
        <v/>
      </c>
      <c r="O69" s="144" t="str">
        <f>IF($P69&lt;&gt;"",IF(MAXIFS(Investment!$AG:$AG,Investment!$D:$D,LEFT($P69,40)&amp;"*"),MAXIFS(Investment!$AG:$AG,Investment!$D:$D,LEFT($P69,40)&amp;"*"),""),"")</f>
        <v/>
      </c>
      <c r="P69" s="135"/>
      <c r="Q69" s="136"/>
      <c r="R69" s="134"/>
    </row>
    <row r="70">
      <c r="A70" s="125">
        <v>43529.0</v>
      </c>
      <c r="B70" s="56"/>
      <c r="C70" s="56"/>
      <c r="D70" s="56" t="s">
        <v>268</v>
      </c>
      <c r="E70" s="51"/>
      <c r="F70" s="218"/>
      <c r="G70" s="132">
        <v>-700.0</v>
      </c>
      <c r="H70" s="133" t="s">
        <v>434</v>
      </c>
      <c r="I70" s="134" t="str">
        <f t="shared" ref="I70:J70" si="72">IFS(AND($B70&lt;&gt;"",$E70&lt;&gt;""),IF(INDEX(N:N,MATCH($C70,$P:$P,0),1)&lt;&gt;"",$E70*INDEX(N:N,MATCH($C70,$P:$P,0),1)+$G70,""),AND($B70&lt;&gt;"",$D70="COST"),$G70,TRUE,)</f>
        <v/>
      </c>
      <c r="J70" s="134" t="str">
        <f t="shared" si="72"/>
        <v/>
      </c>
      <c r="K70" s="219" t="str">
        <f t="shared" si="3"/>
        <v/>
      </c>
      <c r="L70" s="150" t="str">
        <f t="shared" si="4"/>
        <v/>
      </c>
      <c r="M70" s="150" t="str">
        <f t="shared" si="5"/>
        <v/>
      </c>
      <c r="N70" s="139" t="str">
        <f t="array" ref="N70">IF($P70&lt;&gt;"",IF(MAXIFS(Investment!$L:$L,Investment!$D:$D,LEFT($P70,40)&amp;"*"),MAXIFS(Investment!$L:$L,Investment!$D:$D,LEFT($P70,40)&amp;"*"),IFERROR(INDEX(Selection!$H:$H, MATCH($P70,Selection!$F:$F,0))/IF(OR(INDEX(Selection!$C:$C, MATCH($P70,Selection!$F:$F,0))="LN",INDEX(Selection!$C:$C, MATCH($P70,Selection!$F:$F,0))="US"),Investment!$K$7,1),"")),"")</f>
        <v/>
      </c>
      <c r="O70" s="144" t="str">
        <f>IF($P70&lt;&gt;"",IF(MAXIFS(Investment!$AG:$AG,Investment!$D:$D,LEFT($P70,40)&amp;"*"),MAXIFS(Investment!$AG:$AG,Investment!$D:$D,LEFT($P70,40)&amp;"*"),""),"")</f>
        <v/>
      </c>
      <c r="P70" s="135"/>
      <c r="Q70" s="136"/>
      <c r="R70" s="134"/>
    </row>
    <row r="71">
      <c r="A71" s="125">
        <v>43528.0</v>
      </c>
      <c r="B71" s="56"/>
      <c r="C71" s="56"/>
      <c r="D71" s="56" t="s">
        <v>263</v>
      </c>
      <c r="E71" s="51"/>
      <c r="F71" s="218"/>
      <c r="G71" s="132">
        <v>-534.72</v>
      </c>
      <c r="H71" s="133" t="s">
        <v>435</v>
      </c>
      <c r="I71" s="134" t="str">
        <f t="shared" ref="I71:J71" si="73">IFS(AND($B71&lt;&gt;"",$E71&lt;&gt;""),IF(INDEX(N:N,MATCH($C71,$P:$P,0),1)&lt;&gt;"",$E71*INDEX(N:N,MATCH($C71,$P:$P,0),1)+$G71,""),AND($B71&lt;&gt;"",$D71="COST"),$G71,TRUE,)</f>
        <v/>
      </c>
      <c r="J71" s="134" t="str">
        <f t="shared" si="73"/>
        <v/>
      </c>
      <c r="K71" s="219" t="str">
        <f t="shared" si="3"/>
        <v/>
      </c>
      <c r="L71" s="150" t="str">
        <f t="shared" si="4"/>
        <v/>
      </c>
      <c r="M71" s="150" t="str">
        <f t="shared" si="5"/>
        <v/>
      </c>
      <c r="N71" s="139" t="str">
        <f t="array" ref="N71">IF($P71&lt;&gt;"",IF(MAXIFS(Investment!$L:$L,Investment!$D:$D,LEFT($P71,40)&amp;"*"),MAXIFS(Investment!$L:$L,Investment!$D:$D,LEFT($P71,40)&amp;"*"),IFERROR(INDEX(Selection!$H:$H, MATCH($P71,Selection!$F:$F,0))/IF(OR(INDEX(Selection!$C:$C, MATCH($P71,Selection!$F:$F,0))="LN",INDEX(Selection!$C:$C, MATCH($P71,Selection!$F:$F,0))="US"),Investment!$K$7,1),"")),"")</f>
        <v/>
      </c>
      <c r="O71" s="144" t="str">
        <f>IF($P71&lt;&gt;"",IF(MAXIFS(Investment!$AG:$AG,Investment!$D:$D,LEFT($P71,40)&amp;"*"),MAXIFS(Investment!$AG:$AG,Investment!$D:$D,LEFT($P71,40)&amp;"*"),""),"")</f>
        <v/>
      </c>
      <c r="P71" s="135"/>
      <c r="Q71" s="136"/>
      <c r="R71" s="134"/>
    </row>
    <row r="72">
      <c r="A72" s="125">
        <v>43528.0</v>
      </c>
      <c r="B72" s="56" t="s">
        <v>307</v>
      </c>
      <c r="C72" s="56" t="s">
        <v>308</v>
      </c>
      <c r="D72" s="56" t="s">
        <v>245</v>
      </c>
      <c r="E72" s="51">
        <v>-75.0</v>
      </c>
      <c r="F72" s="218">
        <v>47.18</v>
      </c>
      <c r="G72" s="132">
        <v>3538.5</v>
      </c>
      <c r="H72" s="133" t="s">
        <v>436</v>
      </c>
      <c r="I72" s="134">
        <f t="shared" ref="I72:J72" si="74">IFS(AND($B72&lt;&gt;"",$E72&lt;&gt;""),IF(INDEX(N:N,MATCH($C72,$P:$P,0),1)&lt;&gt;"",$E72*INDEX(N:N,MATCH($C72,$P:$P,0),1)+$G72,""),AND($B72&lt;&gt;"",$D72="COST"),$G72,TRUE,)</f>
        <v>-63.75</v>
      </c>
      <c r="J72" s="134">
        <f t="shared" si="74"/>
        <v>93.97588235</v>
      </c>
      <c r="K72" s="219" t="str">
        <f t="shared" si="3"/>
        <v>Vanguard S&amp;P 500 UCITS ETF</v>
      </c>
      <c r="L72" s="150">
        <f t="shared" si="4"/>
        <v>4429</v>
      </c>
      <c r="M72" s="150">
        <f t="shared" si="5"/>
        <v>-189831.65</v>
      </c>
      <c r="N72" s="139" t="str">
        <f t="array" ref="N72">IF($P72&lt;&gt;"",IF(MAXIFS(Investment!$L:$L,Investment!$D:$D,LEFT($P72,40)&amp;"*"),MAXIFS(Investment!$L:$L,Investment!$D:$D,LEFT($P72,40)&amp;"*"),IFERROR(INDEX(Selection!$H:$H, MATCH($P72,Selection!$F:$F,0))/IF(OR(INDEX(Selection!$C:$C, MATCH($P72,Selection!$F:$F,0))="LN",INDEX(Selection!$C:$C, MATCH($P72,Selection!$F:$F,0))="US"),Investment!$K$7,1),"")),"")</f>
        <v/>
      </c>
      <c r="O72" s="144" t="str">
        <f>IF($P72&lt;&gt;"",IF(MAXIFS(Investment!$AG:$AG,Investment!$D:$D,LEFT($P72,40)&amp;"*"),MAXIFS(Investment!$AG:$AG,Investment!$D:$D,LEFT($P72,40)&amp;"*"),""),"")</f>
        <v/>
      </c>
      <c r="P72" s="135"/>
      <c r="Q72" s="136"/>
      <c r="R72" s="134"/>
    </row>
    <row r="73">
      <c r="A73" s="125">
        <v>43521.0</v>
      </c>
      <c r="B73" s="56" t="s">
        <v>307</v>
      </c>
      <c r="C73" s="56" t="s">
        <v>308</v>
      </c>
      <c r="D73" s="56" t="s">
        <v>245</v>
      </c>
      <c r="E73" s="51">
        <v>-29.0</v>
      </c>
      <c r="F73" s="218">
        <v>47.0248</v>
      </c>
      <c r="G73" s="132">
        <v>1363.72</v>
      </c>
      <c r="H73" s="133" t="s">
        <v>437</v>
      </c>
      <c r="I73" s="134">
        <f t="shared" ref="I73:J73" si="75">IFS(AND($B73&lt;&gt;"",$E73&lt;&gt;""),IF(INDEX(N:N,MATCH($C73,$P:$P,0),1)&lt;&gt;"",$E73*INDEX(N:N,MATCH($C73,$P:$P,0),1)+$G73,""),AND($B73&lt;&gt;"",$D73="COST"),$G73,TRUE,)</f>
        <v>-29.15</v>
      </c>
      <c r="J73" s="134">
        <f t="shared" si="75"/>
        <v>31.83734118</v>
      </c>
      <c r="K73" s="219" t="str">
        <f t="shared" si="3"/>
        <v>Vanguard S&amp;P 500 UCITS ETF</v>
      </c>
      <c r="L73" s="150">
        <f t="shared" si="4"/>
        <v>4429</v>
      </c>
      <c r="M73" s="150">
        <f t="shared" si="5"/>
        <v>-189831.65</v>
      </c>
      <c r="N73" s="139" t="str">
        <f t="array" ref="N73">IF($P73&lt;&gt;"",IF(MAXIFS(Investment!$L:$L,Investment!$D:$D,LEFT($P73,40)&amp;"*"),MAXIFS(Investment!$L:$L,Investment!$D:$D,LEFT($P73,40)&amp;"*"),IFERROR(INDEX(Selection!$H:$H, MATCH($P73,Selection!$F:$F,0))/IF(OR(INDEX(Selection!$C:$C, MATCH($P73,Selection!$F:$F,0))="LN",INDEX(Selection!$C:$C, MATCH($P73,Selection!$F:$F,0))="US"),Investment!$K$7,1),"")),"")</f>
        <v/>
      </c>
      <c r="O73" s="144" t="str">
        <f>IF($P73&lt;&gt;"",IF(MAXIFS(Investment!$AG:$AG,Investment!$D:$D,LEFT($P73,40)&amp;"*"),MAXIFS(Investment!$AG:$AG,Investment!$D:$D,LEFT($P73,40)&amp;"*"),""),"")</f>
        <v/>
      </c>
      <c r="P73" s="135"/>
      <c r="Q73" s="136"/>
      <c r="R73" s="134"/>
    </row>
    <row r="74">
      <c r="A74" s="125">
        <v>43521.0</v>
      </c>
      <c r="B74" s="56" t="s">
        <v>307</v>
      </c>
      <c r="C74" s="56" t="s">
        <v>308</v>
      </c>
      <c r="D74" s="56" t="s">
        <v>245</v>
      </c>
      <c r="E74" s="51">
        <v>-1.0</v>
      </c>
      <c r="F74" s="218">
        <v>47.04</v>
      </c>
      <c r="G74" s="132">
        <v>47.04</v>
      </c>
      <c r="H74" s="133" t="s">
        <v>438</v>
      </c>
      <c r="I74" s="134">
        <f t="shared" ref="I74:J74" si="76">IFS(AND($B74&lt;&gt;"",$E74&lt;&gt;""),IF(INDEX(N:N,MATCH($C74,$P:$P,0),1)&lt;&gt;"",$E74*INDEX(N:N,MATCH($C74,$P:$P,0),1)+$G74,""),AND($B74&lt;&gt;"",$D74="COST"),$G74,TRUE,)</f>
        <v>-0.99</v>
      </c>
      <c r="J74" s="134">
        <f t="shared" si="76"/>
        <v>1.113011765</v>
      </c>
      <c r="K74" s="219" t="str">
        <f t="shared" si="3"/>
        <v>Vanguard S&amp;P 500 UCITS ETF</v>
      </c>
      <c r="L74" s="150">
        <f t="shared" si="4"/>
        <v>4429</v>
      </c>
      <c r="M74" s="150">
        <f t="shared" si="5"/>
        <v>-189831.65</v>
      </c>
      <c r="N74" s="139" t="str">
        <f t="array" ref="N74">IF($P74&lt;&gt;"",IF(MAXIFS(Investment!$L:$L,Investment!$D:$D,LEFT($P74,40)&amp;"*"),MAXIFS(Investment!$L:$L,Investment!$D:$D,LEFT($P74,40)&amp;"*"),IFERROR(INDEX(Selection!$H:$H, MATCH($P74,Selection!$F:$F,0))/IF(OR(INDEX(Selection!$C:$C, MATCH($P74,Selection!$F:$F,0))="LN",INDEX(Selection!$C:$C, MATCH($P74,Selection!$F:$F,0))="US"),Investment!$K$7,1),"")),"")</f>
        <v/>
      </c>
      <c r="O74" s="144" t="str">
        <f>IF($P74&lt;&gt;"",IF(MAXIFS(Investment!$AG:$AG,Investment!$D:$D,LEFT($P74,40)&amp;"*"),MAXIFS(Investment!$AG:$AG,Investment!$D:$D,LEFT($P74,40)&amp;"*"),""),"")</f>
        <v/>
      </c>
      <c r="P74" s="135"/>
      <c r="Q74" s="136"/>
      <c r="R74" s="134"/>
    </row>
    <row r="75">
      <c r="A75" s="125">
        <v>43509.0</v>
      </c>
      <c r="B75" s="56" t="s">
        <v>307</v>
      </c>
      <c r="C75" s="56" t="s">
        <v>308</v>
      </c>
      <c r="D75" s="56" t="s">
        <v>245</v>
      </c>
      <c r="E75" s="51">
        <v>-45.0</v>
      </c>
      <c r="F75" s="218">
        <v>46.45</v>
      </c>
      <c r="G75" s="132">
        <v>2090.25</v>
      </c>
      <c r="H75" s="133" t="s">
        <v>439</v>
      </c>
      <c r="I75" s="134">
        <f t="shared" ref="I75:J75" si="77">IFS(AND($B75&lt;&gt;"",$E75&lt;&gt;""),IF(INDEX(N:N,MATCH($C75,$P:$P,0),1)&lt;&gt;"",$E75*INDEX(N:N,MATCH($C75,$P:$P,0),1)+$G75,""),AND($B75&lt;&gt;"",$D75="COST"),$G75,TRUE,)</f>
        <v>-71.1</v>
      </c>
      <c r="J75" s="134">
        <f t="shared" si="77"/>
        <v>23.53552941</v>
      </c>
      <c r="K75" s="219" t="str">
        <f t="shared" si="3"/>
        <v>Vanguard S&amp;P 500 UCITS ETF</v>
      </c>
      <c r="L75" s="150">
        <f t="shared" si="4"/>
        <v>4429</v>
      </c>
      <c r="M75" s="150">
        <f t="shared" si="5"/>
        <v>-189831.65</v>
      </c>
      <c r="N75" s="139" t="str">
        <f t="array" ref="N75">IF($P75&lt;&gt;"",IF(MAXIFS(Investment!$L:$L,Investment!$D:$D,LEFT($P75,40)&amp;"*"),MAXIFS(Investment!$L:$L,Investment!$D:$D,LEFT($P75,40)&amp;"*"),IFERROR(INDEX(Selection!$H:$H, MATCH($P75,Selection!$F:$F,0))/IF(OR(INDEX(Selection!$C:$C, MATCH($P75,Selection!$F:$F,0))="LN",INDEX(Selection!$C:$C, MATCH($P75,Selection!$F:$F,0))="US"),Investment!$K$7,1),"")),"")</f>
        <v/>
      </c>
      <c r="O75" s="144" t="str">
        <f>IF($P75&lt;&gt;"",IF(MAXIFS(Investment!$AG:$AG,Investment!$D:$D,LEFT($P75,40)&amp;"*"),MAXIFS(Investment!$AG:$AG,Investment!$D:$D,LEFT($P75,40)&amp;"*"),""),"")</f>
        <v/>
      </c>
      <c r="P75" s="135"/>
      <c r="Q75" s="136"/>
      <c r="R75" s="134"/>
    </row>
    <row r="76">
      <c r="A76" s="125">
        <v>43509.0</v>
      </c>
      <c r="B76" s="56" t="s">
        <v>307</v>
      </c>
      <c r="C76" s="56" t="s">
        <v>308</v>
      </c>
      <c r="D76" s="56" t="s">
        <v>245</v>
      </c>
      <c r="E76" s="51">
        <v>-38.0</v>
      </c>
      <c r="F76" s="218">
        <v>46.135</v>
      </c>
      <c r="G76" s="132">
        <v>1753.13</v>
      </c>
      <c r="H76" s="133" t="s">
        <v>441</v>
      </c>
      <c r="I76" s="134">
        <f t="shared" ref="I76:J76" si="78">IFS(AND($B76&lt;&gt;"",$E76&lt;&gt;""),IF(INDEX(N:N,MATCH($C76,$P:$P,0),1)&lt;&gt;"",$E76*INDEX(N:N,MATCH($C76,$P:$P,0),1)+$G76,""),AND($B76&lt;&gt;"",$D76="COST"),$G76,TRUE,)</f>
        <v>-72.01</v>
      </c>
      <c r="J76" s="134">
        <f t="shared" si="78"/>
        <v>7.904447059</v>
      </c>
      <c r="K76" s="219" t="str">
        <f t="shared" si="3"/>
        <v>Vanguard S&amp;P 500 UCITS ETF</v>
      </c>
      <c r="L76" s="150">
        <f t="shared" si="4"/>
        <v>4429</v>
      </c>
      <c r="M76" s="150">
        <f t="shared" si="5"/>
        <v>-189831.65</v>
      </c>
      <c r="N76" s="139" t="str">
        <f t="array" ref="N76">IF($P76&lt;&gt;"",IF(MAXIFS(Investment!$L:$L,Investment!$D:$D,LEFT($P76,40)&amp;"*"),MAXIFS(Investment!$L:$L,Investment!$D:$D,LEFT($P76,40)&amp;"*"),IFERROR(INDEX(Selection!$H:$H, MATCH($P76,Selection!$F:$F,0))/IF(OR(INDEX(Selection!$C:$C, MATCH($P76,Selection!$F:$F,0))="LN",INDEX(Selection!$C:$C, MATCH($P76,Selection!$F:$F,0))="US"),Investment!$K$7,1),"")),"")</f>
        <v/>
      </c>
      <c r="O76" s="144" t="str">
        <f>IF($P76&lt;&gt;"",IF(MAXIFS(Investment!$AG:$AG,Investment!$D:$D,LEFT($P76,40)&amp;"*"),MAXIFS(Investment!$AG:$AG,Investment!$D:$D,LEFT($P76,40)&amp;"*"),""),"")</f>
        <v/>
      </c>
      <c r="P76" s="135"/>
      <c r="Q76" s="136"/>
      <c r="R76" s="134"/>
    </row>
    <row r="77">
      <c r="A77" s="125">
        <v>43508.0</v>
      </c>
      <c r="B77" s="56" t="s">
        <v>307</v>
      </c>
      <c r="C77" s="56" t="s">
        <v>308</v>
      </c>
      <c r="D77" s="56" t="s">
        <v>245</v>
      </c>
      <c r="E77" s="51">
        <v>-14.0</v>
      </c>
      <c r="F77" s="218">
        <v>45.916</v>
      </c>
      <c r="G77" s="132">
        <v>642.83</v>
      </c>
      <c r="H77" s="133" t="s">
        <v>444</v>
      </c>
      <c r="I77" s="134">
        <f t="shared" ref="I77:J77" si="79">IFS(AND($B77&lt;&gt;"",$E77&lt;&gt;""),IF(INDEX(N:N,MATCH($C77,$P:$P,0),1)&lt;&gt;"",$E77*INDEX(N:N,MATCH($C77,$P:$P,0),1)+$G77,""),AND($B77&lt;&gt;"",$D77="COST"),$G77,TRUE,)</f>
        <v>-29.59</v>
      </c>
      <c r="J77" s="134">
        <f t="shared" si="79"/>
        <v>-0.1478352941</v>
      </c>
      <c r="K77" s="219" t="str">
        <f t="shared" si="3"/>
        <v>Vanguard S&amp;P 500 UCITS ETF</v>
      </c>
      <c r="L77" s="150">
        <f t="shared" si="4"/>
        <v>4429</v>
      </c>
      <c r="M77" s="150">
        <f t="shared" si="5"/>
        <v>-189831.65</v>
      </c>
      <c r="N77" s="139" t="str">
        <f t="array" ref="N77">IF($P77&lt;&gt;"",IF(MAXIFS(Investment!$L:$L,Investment!$D:$D,LEFT($P77,40)&amp;"*"),MAXIFS(Investment!$L:$L,Investment!$D:$D,LEFT($P77,40)&amp;"*"),IFERROR(INDEX(Selection!$H:$H, MATCH($P77,Selection!$F:$F,0))/IF(OR(INDEX(Selection!$C:$C, MATCH($P77,Selection!$F:$F,0))="LN",INDEX(Selection!$C:$C, MATCH($P77,Selection!$F:$F,0))="US"),Investment!$K$7,1),"")),"")</f>
        <v/>
      </c>
      <c r="O77" s="144" t="str">
        <f>IF($P77&lt;&gt;"",IF(MAXIFS(Investment!$AG:$AG,Investment!$D:$D,LEFT($P77,40)&amp;"*"),MAXIFS(Investment!$AG:$AG,Investment!$D:$D,LEFT($P77,40)&amp;"*"),""),"")</f>
        <v/>
      </c>
      <c r="P77" s="135"/>
      <c r="Q77" s="136"/>
      <c r="R77" s="134"/>
    </row>
    <row r="78">
      <c r="A78" s="125">
        <v>43508.0</v>
      </c>
      <c r="B78" s="56" t="s">
        <v>217</v>
      </c>
      <c r="C78" s="56" t="s">
        <v>220</v>
      </c>
      <c r="D78" s="56" t="s">
        <v>222</v>
      </c>
      <c r="E78" s="51">
        <v>170.0</v>
      </c>
      <c r="F78" s="218">
        <v>7.213</v>
      </c>
      <c r="G78" s="132">
        <v>-1226.21</v>
      </c>
      <c r="H78" s="133" t="s">
        <v>448</v>
      </c>
      <c r="I78" s="134">
        <f t="shared" ref="I78:J78" si="80">IFS(AND($B78&lt;&gt;"",$E78&lt;&gt;""),IF(INDEX(N:N,MATCH($C78,$P:$P,0),1)&lt;&gt;"",$E78*INDEX(N:N,MATCH($C78,$P:$P,0),1)+$G78,""),AND($B78&lt;&gt;"",$D78="COST"),$G78,TRUE,)</f>
        <v>-6.46</v>
      </c>
      <c r="J78" s="134">
        <f t="shared" si="80"/>
        <v>31.284</v>
      </c>
      <c r="K78" s="219" t="str">
        <f t="shared" si="3"/>
        <v>ETFS All Commodities</v>
      </c>
      <c r="L78" s="150">
        <f t="shared" si="4"/>
        <v>8177</v>
      </c>
      <c r="M78" s="150">
        <f t="shared" si="5"/>
        <v>-60085.79</v>
      </c>
      <c r="N78" s="139" t="str">
        <f t="array" ref="N78">IF($P78&lt;&gt;"",IF(MAXIFS(Investment!$L:$L,Investment!$D:$D,LEFT($P78,40)&amp;"*"),MAXIFS(Investment!$L:$L,Investment!$D:$D,LEFT($P78,40)&amp;"*"),IFERROR(INDEX(Selection!$H:$H, MATCH($P78,Selection!$F:$F,0))/IF(OR(INDEX(Selection!$C:$C, MATCH($P78,Selection!$F:$F,0))="LN",INDEX(Selection!$C:$C, MATCH($P78,Selection!$F:$F,0))="US"),Investment!$K$7,1),"")),"")</f>
        <v/>
      </c>
      <c r="O78" s="144" t="str">
        <f>IF($P78&lt;&gt;"",IF(MAXIFS(Investment!$AG:$AG,Investment!$D:$D,LEFT($P78,40)&amp;"*"),MAXIFS(Investment!$AG:$AG,Investment!$D:$D,LEFT($P78,40)&amp;"*"),""),"")</f>
        <v/>
      </c>
      <c r="P78" s="135"/>
      <c r="Q78" s="136"/>
      <c r="R78" s="134"/>
    </row>
    <row r="79">
      <c r="A79" s="125">
        <v>43508.0</v>
      </c>
      <c r="B79" s="56" t="s">
        <v>217</v>
      </c>
      <c r="C79" s="56" t="s">
        <v>220</v>
      </c>
      <c r="D79" s="56" t="s">
        <v>222</v>
      </c>
      <c r="E79" s="51">
        <v>30.0</v>
      </c>
      <c r="F79" s="218">
        <v>7.2139</v>
      </c>
      <c r="G79" s="132">
        <v>-216.42</v>
      </c>
      <c r="H79" s="133" t="s">
        <v>449</v>
      </c>
      <c r="I79" s="134">
        <f t="shared" ref="I79:J79" si="81">IFS(AND($B79&lt;&gt;"",$E79&lt;&gt;""),IF(INDEX(N:N,MATCH($C79,$P:$P,0),1)&lt;&gt;"",$E79*INDEX(N:N,MATCH($C79,$P:$P,0),1)+$G79,""),AND($B79&lt;&gt;"",$D79="COST"),$G79,TRUE,)</f>
        <v>-1.17</v>
      </c>
      <c r="J79" s="134">
        <f t="shared" si="81"/>
        <v>5.490705882</v>
      </c>
      <c r="K79" s="219" t="str">
        <f t="shared" si="3"/>
        <v>ETFS All Commodities</v>
      </c>
      <c r="L79" s="150">
        <f t="shared" si="4"/>
        <v>8177</v>
      </c>
      <c r="M79" s="150">
        <f t="shared" si="5"/>
        <v>-60085.79</v>
      </c>
      <c r="N79" s="139" t="str">
        <f t="array" ref="N79">IF($P79&lt;&gt;"",IF(MAXIFS(Investment!$L:$L,Investment!$D:$D,LEFT($P79,40)&amp;"*"),MAXIFS(Investment!$L:$L,Investment!$D:$D,LEFT($P79,40)&amp;"*"),IFERROR(INDEX(Selection!$H:$H, MATCH($P79,Selection!$F:$F,0))/IF(OR(INDEX(Selection!$C:$C, MATCH($P79,Selection!$F:$F,0))="LN",INDEX(Selection!$C:$C, MATCH($P79,Selection!$F:$F,0))="US"),Investment!$K$7,1),"")),"")</f>
        <v/>
      </c>
      <c r="O79" s="144" t="str">
        <f>IF($P79&lt;&gt;"",IF(MAXIFS(Investment!$AG:$AG,Investment!$D:$D,LEFT($P79,40)&amp;"*"),MAXIFS(Investment!$AG:$AG,Investment!$D:$D,LEFT($P79,40)&amp;"*"),""),"")</f>
        <v/>
      </c>
      <c r="P79" s="135"/>
      <c r="Q79" s="136"/>
      <c r="R79" s="134"/>
    </row>
    <row r="80">
      <c r="A80" s="125">
        <v>43508.0</v>
      </c>
      <c r="B80" s="56" t="s">
        <v>307</v>
      </c>
      <c r="C80" s="56" t="s">
        <v>308</v>
      </c>
      <c r="D80" s="56" t="s">
        <v>245</v>
      </c>
      <c r="E80" s="51">
        <v>-54.0</v>
      </c>
      <c r="F80" s="218">
        <v>45.9159</v>
      </c>
      <c r="G80" s="132">
        <v>2479.46</v>
      </c>
      <c r="H80" s="133" t="s">
        <v>453</v>
      </c>
      <c r="I80" s="134">
        <f t="shared" ref="I80:J80" si="82">IFS(AND($B80&lt;&gt;"",$E80&lt;&gt;""),IF(INDEX(N:N,MATCH($C80,$P:$P,0),1)&lt;&gt;"",$E80*INDEX(N:N,MATCH($C80,$P:$P,0),1)+$G80,""),AND($B80&lt;&gt;"",$D80="COST"),$G80,TRUE,)</f>
        <v>-114.16</v>
      </c>
      <c r="J80" s="134">
        <f t="shared" si="82"/>
        <v>-0.5973647059</v>
      </c>
      <c r="K80" s="219" t="str">
        <f t="shared" si="3"/>
        <v>Vanguard S&amp;P 500 UCITS ETF</v>
      </c>
      <c r="L80" s="150">
        <f t="shared" si="4"/>
        <v>4429</v>
      </c>
      <c r="M80" s="150">
        <f t="shared" si="5"/>
        <v>-189831.65</v>
      </c>
      <c r="N80" s="139" t="str">
        <f t="array" ref="N80">IF($P80&lt;&gt;"",IF(MAXIFS(Investment!$L:$L,Investment!$D:$D,LEFT($P80,40)&amp;"*"),MAXIFS(Investment!$L:$L,Investment!$D:$D,LEFT($P80,40)&amp;"*"),IFERROR(INDEX(Selection!$H:$H, MATCH($P80,Selection!$F:$F,0))/IF(OR(INDEX(Selection!$C:$C, MATCH($P80,Selection!$F:$F,0))="LN",INDEX(Selection!$C:$C, MATCH($P80,Selection!$F:$F,0))="US"),Investment!$K$7,1),"")),"")</f>
        <v/>
      </c>
      <c r="O80" s="144" t="str">
        <f>IF($P80&lt;&gt;"",IF(MAXIFS(Investment!$AG:$AG,Investment!$D:$D,LEFT($P80,40)&amp;"*"),MAXIFS(Investment!$AG:$AG,Investment!$D:$D,LEFT($P80,40)&amp;"*"),""),"")</f>
        <v/>
      </c>
      <c r="P80" s="135"/>
      <c r="Q80" s="136"/>
      <c r="R80" s="134"/>
    </row>
    <row r="81">
      <c r="A81" s="125">
        <v>43504.0</v>
      </c>
      <c r="B81" s="56" t="s">
        <v>243</v>
      </c>
      <c r="C81" s="56" t="s">
        <v>403</v>
      </c>
      <c r="D81" s="56" t="s">
        <v>245</v>
      </c>
      <c r="E81" s="51">
        <v>-270.0</v>
      </c>
      <c r="F81" s="218">
        <v>4.038</v>
      </c>
      <c r="G81" s="132">
        <v>1090.17</v>
      </c>
      <c r="H81" s="133" t="s">
        <v>454</v>
      </c>
      <c r="I81" s="134">
        <f t="shared" ref="I81:J81" si="83">IFS(AND($B81&lt;&gt;"",$E81&lt;&gt;""),IF(INDEX(N:N,MATCH($C81,$P:$P,0),1)&lt;&gt;"",$E81*INDEX(N:N,MATCH($C81,$P:$P,0),1)+$G81,""),AND($B81&lt;&gt;"",$D81="COST"),$G81,TRUE,)</f>
        <v>-47.826</v>
      </c>
      <c r="J81" s="134">
        <f t="shared" si="83"/>
        <v>31.70244706</v>
      </c>
      <c r="K81" s="219" t="str">
        <f t="shared" si="3"/>
        <v>iShares USD Treasury Bond 20+yr UCITS ETF USD Dist</v>
      </c>
      <c r="L81" s="150">
        <f t="shared" si="4"/>
        <v>0</v>
      </c>
      <c r="M81" s="150">
        <f t="shared" si="5"/>
        <v>27424.23</v>
      </c>
      <c r="N81" s="139" t="str">
        <f t="array" ref="N81">IF($P81&lt;&gt;"",IF(MAXIFS(Investment!$L:$L,Investment!$D:$D,LEFT($P81,40)&amp;"*"),MAXIFS(Investment!$L:$L,Investment!$D:$D,LEFT($P81,40)&amp;"*"),IFERROR(INDEX(Selection!$H:$H, MATCH($P81,Selection!$F:$F,0))/IF(OR(INDEX(Selection!$C:$C, MATCH($P81,Selection!$F:$F,0))="LN",INDEX(Selection!$C:$C, MATCH($P81,Selection!$F:$F,0))="US"),Investment!$K$7,1),"")),"")</f>
        <v/>
      </c>
      <c r="O81" s="144" t="str">
        <f>IF($P81&lt;&gt;"",IF(MAXIFS(Investment!$AG:$AG,Investment!$D:$D,LEFT($P81,40)&amp;"*"),MAXIFS(Investment!$AG:$AG,Investment!$D:$D,LEFT($P81,40)&amp;"*"),""),"")</f>
        <v/>
      </c>
      <c r="P81" s="135"/>
      <c r="Q81" s="136"/>
      <c r="R81" s="134"/>
    </row>
    <row r="82">
      <c r="A82" s="125">
        <v>43504.0</v>
      </c>
      <c r="B82" s="56" t="s">
        <v>243</v>
      </c>
      <c r="C82" s="56" t="s">
        <v>403</v>
      </c>
      <c r="D82" s="56" t="s">
        <v>263</v>
      </c>
      <c r="E82" s="51"/>
      <c r="F82" s="218"/>
      <c r="G82" s="132">
        <v>-2.22</v>
      </c>
      <c r="H82" s="133" t="s">
        <v>458</v>
      </c>
      <c r="I82" s="134">
        <f t="shared" ref="I82:J82" si="84">IFS(AND($B82&lt;&gt;"",$E82&lt;&gt;""),IF(INDEX(N:N,MATCH($C82,$P:$P,0),1)&lt;&gt;"",$E82*INDEX(N:N,MATCH($C82,$P:$P,0),1)+$G82,""),AND($B82&lt;&gt;"",$D82="COST"),$G82,TRUE,)</f>
        <v>-2.22</v>
      </c>
      <c r="J82" s="134">
        <f t="shared" si="84"/>
        <v>-2.22</v>
      </c>
      <c r="K82" s="219" t="str">
        <f t="shared" si="3"/>
        <v>iShares USD Treasury Bond 20+yr UCITS ETF USD Dist</v>
      </c>
      <c r="L82" s="150">
        <f t="shared" si="4"/>
        <v>0</v>
      </c>
      <c r="M82" s="150">
        <f t="shared" si="5"/>
        <v>27424.23</v>
      </c>
      <c r="N82" s="139" t="str">
        <f t="array" ref="N82">IF($P82&lt;&gt;"",IF(MAXIFS(Investment!$L:$L,Investment!$D:$D,LEFT($P82,40)&amp;"*"),MAXIFS(Investment!$L:$L,Investment!$D:$D,LEFT($P82,40)&amp;"*"),IFERROR(INDEX(Selection!$H:$H, MATCH($P82,Selection!$F:$F,0))/IF(OR(INDEX(Selection!$C:$C, MATCH($P82,Selection!$F:$F,0))="LN",INDEX(Selection!$C:$C, MATCH($P82,Selection!$F:$F,0))="US"),Investment!$K$7,1),"")),"")</f>
        <v/>
      </c>
      <c r="O82" s="144" t="str">
        <f>IF($P82&lt;&gt;"",IF(MAXIFS(Investment!$AG:$AG,Investment!$D:$D,LEFT($P82,40)&amp;"*"),MAXIFS(Investment!$AG:$AG,Investment!$D:$D,LEFT($P82,40)&amp;"*"),""),"")</f>
        <v/>
      </c>
      <c r="P82" s="135"/>
      <c r="Q82" s="136"/>
      <c r="R82" s="134"/>
    </row>
    <row r="83">
      <c r="A83" s="125">
        <v>43504.0</v>
      </c>
      <c r="B83" s="56" t="s">
        <v>277</v>
      </c>
      <c r="C83" s="56" t="s">
        <v>278</v>
      </c>
      <c r="D83" s="56" t="s">
        <v>245</v>
      </c>
      <c r="E83" s="51">
        <v>-6.0</v>
      </c>
      <c r="F83" s="218">
        <v>170.5</v>
      </c>
      <c r="G83" s="132">
        <v>1023.0</v>
      </c>
      <c r="H83" s="133" t="s">
        <v>462</v>
      </c>
      <c r="I83" s="134">
        <f t="shared" ref="I83:J83" si="85">IFS(AND($B83&lt;&gt;"",$E83&lt;&gt;""),IF(INDEX(N:N,MATCH($C83,$P:$P,0),1)&lt;&gt;"",$E83*INDEX(N:N,MATCH($C83,$P:$P,0),1)+$G83,""),AND($B83&lt;&gt;"",$D83="COST"),$G83,TRUE,)</f>
        <v>-35.94</v>
      </c>
      <c r="J83" s="134">
        <f t="shared" si="85"/>
        <v>29.20729412</v>
      </c>
      <c r="K83" s="219" t="str">
        <f t="shared" si="3"/>
        <v>iShares USD Treasury Bond 7-10yr UCITS ETF</v>
      </c>
      <c r="L83" s="150">
        <f t="shared" si="4"/>
        <v>622</v>
      </c>
      <c r="M83" s="150">
        <f t="shared" si="5"/>
        <v>-96952.49</v>
      </c>
      <c r="N83" s="139" t="str">
        <f t="array" ref="N83">IF($P83&lt;&gt;"",IF(MAXIFS(Investment!$L:$L,Investment!$D:$D,LEFT($P83,40)&amp;"*"),MAXIFS(Investment!$L:$L,Investment!$D:$D,LEFT($P83,40)&amp;"*"),IFERROR(INDEX(Selection!$H:$H, MATCH($P83,Selection!$F:$F,0))/IF(OR(INDEX(Selection!$C:$C, MATCH($P83,Selection!$F:$F,0))="LN",INDEX(Selection!$C:$C, MATCH($P83,Selection!$F:$F,0))="US"),Investment!$K$7,1),"")),"")</f>
        <v/>
      </c>
      <c r="O83" s="144" t="str">
        <f>IF($P83&lt;&gt;"",IF(MAXIFS(Investment!$AG:$AG,Investment!$D:$D,LEFT($P83,40)&amp;"*"),MAXIFS(Investment!$AG:$AG,Investment!$D:$D,LEFT($P83,40)&amp;"*"),""),"")</f>
        <v/>
      </c>
      <c r="P83" s="135"/>
      <c r="Q83" s="136"/>
      <c r="R83" s="134"/>
    </row>
    <row r="84">
      <c r="A84" s="125">
        <v>43504.0</v>
      </c>
      <c r="B84" s="56" t="s">
        <v>243</v>
      </c>
      <c r="C84" s="56" t="s">
        <v>403</v>
      </c>
      <c r="D84" s="56" t="s">
        <v>245</v>
      </c>
      <c r="E84" s="51">
        <v>-816.0</v>
      </c>
      <c r="F84" s="218">
        <v>4.031</v>
      </c>
      <c r="G84" s="132">
        <v>3289.3</v>
      </c>
      <c r="H84" s="133" t="s">
        <v>463</v>
      </c>
      <c r="I84" s="134">
        <f t="shared" ref="I84:J84" si="86">IFS(AND($B84&lt;&gt;"",$E84&lt;&gt;""),IF(INDEX(N:N,MATCH($C84,$P:$P,0),1)&lt;&gt;"",$E84*INDEX(N:N,MATCH($C84,$P:$P,0),1)+$G84,""),AND($B84&lt;&gt;"",$D84="COST"),$G84,TRUE,)</f>
        <v>-149.9768</v>
      </c>
      <c r="J84" s="134">
        <f t="shared" si="86"/>
        <v>90.37584</v>
      </c>
      <c r="K84" s="219" t="str">
        <f t="shared" si="3"/>
        <v>iShares USD Treasury Bond 20+yr UCITS ETF USD Dist</v>
      </c>
      <c r="L84" s="150">
        <f t="shared" si="4"/>
        <v>0</v>
      </c>
      <c r="M84" s="150">
        <f t="shared" si="5"/>
        <v>27424.23</v>
      </c>
      <c r="N84" s="139" t="str">
        <f t="array" ref="N84">IF($P84&lt;&gt;"",IF(MAXIFS(Investment!$L:$L,Investment!$D:$D,LEFT($P84,40)&amp;"*"),MAXIFS(Investment!$L:$L,Investment!$D:$D,LEFT($P84,40)&amp;"*"),IFERROR(INDEX(Selection!$H:$H, MATCH($P84,Selection!$F:$F,0))/IF(OR(INDEX(Selection!$C:$C, MATCH($P84,Selection!$F:$F,0))="LN",INDEX(Selection!$C:$C, MATCH($P84,Selection!$F:$F,0))="US"),Investment!$K$7,1),"")),"")</f>
        <v/>
      </c>
      <c r="O84" s="144" t="str">
        <f>IF($P84&lt;&gt;"",IF(MAXIFS(Investment!$AG:$AG,Investment!$D:$D,LEFT($P84,40)&amp;"*"),MAXIFS(Investment!$AG:$AG,Investment!$D:$D,LEFT($P84,40)&amp;"*"),""),"")</f>
        <v/>
      </c>
      <c r="P84" s="135"/>
      <c r="Q84" s="136"/>
      <c r="R84" s="134"/>
    </row>
    <row r="85">
      <c r="A85" s="125">
        <v>43504.0</v>
      </c>
      <c r="B85" s="56" t="s">
        <v>243</v>
      </c>
      <c r="C85" s="56" t="s">
        <v>403</v>
      </c>
      <c r="D85" s="56" t="s">
        <v>263</v>
      </c>
      <c r="E85" s="51"/>
      <c r="F85" s="218"/>
      <c r="G85" s="132">
        <v>-2.66</v>
      </c>
      <c r="H85" s="133" t="s">
        <v>466</v>
      </c>
      <c r="I85" s="134">
        <f t="shared" ref="I85:J85" si="87">IFS(AND($B85&lt;&gt;"",$E85&lt;&gt;""),IF(INDEX(N:N,MATCH($C85,$P:$P,0),1)&lt;&gt;"",$E85*INDEX(N:N,MATCH($C85,$P:$P,0),1)+$G85,""),AND($B85&lt;&gt;"",$D85="COST"),$G85,TRUE,)</f>
        <v>-2.66</v>
      </c>
      <c r="J85" s="134">
        <f t="shared" si="87"/>
        <v>-2.66</v>
      </c>
      <c r="K85" s="219" t="str">
        <f t="shared" si="3"/>
        <v>iShares USD Treasury Bond 20+yr UCITS ETF USD Dist</v>
      </c>
      <c r="L85" s="150">
        <f t="shared" si="4"/>
        <v>0</v>
      </c>
      <c r="M85" s="150">
        <f t="shared" si="5"/>
        <v>27424.23</v>
      </c>
      <c r="N85" s="139" t="str">
        <f t="array" ref="N85">IF($P85&lt;&gt;"",IF(MAXIFS(Investment!$L:$L,Investment!$D:$D,LEFT($P85,40)&amp;"*"),MAXIFS(Investment!$L:$L,Investment!$D:$D,LEFT($P85,40)&amp;"*"),IFERROR(INDEX(Selection!$H:$H, MATCH($P85,Selection!$F:$F,0))/IF(OR(INDEX(Selection!$C:$C, MATCH($P85,Selection!$F:$F,0))="LN",INDEX(Selection!$C:$C, MATCH($P85,Selection!$F:$F,0))="US"),Investment!$K$7,1),"")),"")</f>
        <v/>
      </c>
      <c r="O85" s="144" t="str">
        <f>IF($P85&lt;&gt;"",IF(MAXIFS(Investment!$AG:$AG,Investment!$D:$D,LEFT($P85,40)&amp;"*"),MAXIFS(Investment!$AG:$AG,Investment!$D:$D,LEFT($P85,40)&amp;"*"),""),"")</f>
        <v/>
      </c>
      <c r="P85" s="135"/>
      <c r="Q85" s="136"/>
      <c r="R85" s="134"/>
    </row>
    <row r="86">
      <c r="A86" s="125">
        <v>43503.0</v>
      </c>
      <c r="B86" s="56" t="s">
        <v>277</v>
      </c>
      <c r="C86" s="56" t="s">
        <v>278</v>
      </c>
      <c r="D86" s="56" t="s">
        <v>245</v>
      </c>
      <c r="E86" s="51">
        <v>-7.0</v>
      </c>
      <c r="F86" s="218">
        <v>169.97</v>
      </c>
      <c r="G86" s="132">
        <v>1189.79</v>
      </c>
      <c r="H86" s="133" t="s">
        <v>470</v>
      </c>
      <c r="I86" s="134">
        <f t="shared" ref="I86:J86" si="88">IFS(AND($B86&lt;&gt;"",$E86&lt;&gt;""),IF(INDEX(N:N,MATCH($C86,$P:$P,0),1)&lt;&gt;"",$E86*INDEX(N:N,MATCH($C86,$P:$P,0),1)+$G86,""),AND($B86&lt;&gt;"",$D86="COST"),$G86,TRUE,)</f>
        <v>-45.64</v>
      </c>
      <c r="J86" s="134">
        <f t="shared" si="88"/>
        <v>30.36517647</v>
      </c>
      <c r="K86" s="219" t="str">
        <f t="shared" si="3"/>
        <v>iShares USD Treasury Bond 7-10yr UCITS ETF</v>
      </c>
      <c r="L86" s="150">
        <f t="shared" si="4"/>
        <v>622</v>
      </c>
      <c r="M86" s="150">
        <f t="shared" si="5"/>
        <v>-96952.49</v>
      </c>
      <c r="N86" s="139" t="str">
        <f t="array" ref="N86">IF($P86&lt;&gt;"",IF(MAXIFS(Investment!$L:$L,Investment!$D:$D,LEFT($P86,40)&amp;"*"),MAXIFS(Investment!$L:$L,Investment!$D:$D,LEFT($P86,40)&amp;"*"),IFERROR(INDEX(Selection!$H:$H, MATCH($P86,Selection!$F:$F,0))/IF(OR(INDEX(Selection!$C:$C, MATCH($P86,Selection!$F:$F,0))="LN",INDEX(Selection!$C:$C, MATCH($P86,Selection!$F:$F,0))="US"),Investment!$K$7,1),"")),"")</f>
        <v/>
      </c>
      <c r="O86" s="144" t="str">
        <f>IF($P86&lt;&gt;"",IF(MAXIFS(Investment!$AG:$AG,Investment!$D:$D,LEFT($P86,40)&amp;"*"),MAXIFS(Investment!$AG:$AG,Investment!$D:$D,LEFT($P86,40)&amp;"*"),""),"")</f>
        <v/>
      </c>
      <c r="P86" s="135"/>
      <c r="Q86" s="136"/>
      <c r="R86" s="134"/>
    </row>
    <row r="87">
      <c r="A87" s="125">
        <v>43503.0</v>
      </c>
      <c r="B87" s="56" t="s">
        <v>243</v>
      </c>
      <c r="C87" s="56" t="s">
        <v>403</v>
      </c>
      <c r="D87" s="56" t="s">
        <v>245</v>
      </c>
      <c r="E87" s="51">
        <v>-500.0</v>
      </c>
      <c r="F87" s="218">
        <v>4.006</v>
      </c>
      <c r="G87" s="132">
        <v>2003.03</v>
      </c>
      <c r="H87" s="133" t="s">
        <v>471</v>
      </c>
      <c r="I87" s="134">
        <f t="shared" ref="I87:J87" si="89">IFS(AND($B87&lt;&gt;"",$E87&lt;&gt;""),IF(INDEX(N:N,MATCH($C87,$P:$P,0),1)&lt;&gt;"",$E87*INDEX(N:N,MATCH($C87,$P:$P,0),1)+$G87,""),AND($B87&lt;&gt;"",$D87="COST"),$G87,TRUE,)</f>
        <v>-104.37</v>
      </c>
      <c r="J87" s="134">
        <f t="shared" si="89"/>
        <v>42.90490196</v>
      </c>
      <c r="K87" s="219" t="str">
        <f t="shared" si="3"/>
        <v>iShares USD Treasury Bond 20+yr UCITS ETF USD Dist</v>
      </c>
      <c r="L87" s="150">
        <f t="shared" si="4"/>
        <v>0</v>
      </c>
      <c r="M87" s="150">
        <f t="shared" si="5"/>
        <v>27424.23</v>
      </c>
      <c r="N87" s="139" t="str">
        <f t="array" ref="N87">IF($P87&lt;&gt;"",IF(MAXIFS(Investment!$L:$L,Investment!$D:$D,LEFT($P87,40)&amp;"*"),MAXIFS(Investment!$L:$L,Investment!$D:$D,LEFT($P87,40)&amp;"*"),IFERROR(INDEX(Selection!$H:$H, MATCH($P87,Selection!$F:$F,0))/IF(OR(INDEX(Selection!$C:$C, MATCH($P87,Selection!$F:$F,0))="LN",INDEX(Selection!$C:$C, MATCH($P87,Selection!$F:$F,0))="US"),Investment!$K$7,1),"")),"")</f>
        <v/>
      </c>
      <c r="O87" s="144" t="str">
        <f>IF($P87&lt;&gt;"",IF(MAXIFS(Investment!$AG:$AG,Investment!$D:$D,LEFT($P87,40)&amp;"*"),MAXIFS(Investment!$AG:$AG,Investment!$D:$D,LEFT($P87,40)&amp;"*"),""),"")</f>
        <v/>
      </c>
      <c r="P87" s="135"/>
      <c r="Q87" s="136"/>
      <c r="R87" s="134"/>
    </row>
    <row r="88">
      <c r="A88" s="125">
        <v>43503.0</v>
      </c>
      <c r="B88" s="56" t="s">
        <v>243</v>
      </c>
      <c r="C88" s="56" t="s">
        <v>403</v>
      </c>
      <c r="D88" s="56" t="s">
        <v>263</v>
      </c>
      <c r="E88" s="51"/>
      <c r="F88" s="218"/>
      <c r="G88" s="132">
        <v>-2.4</v>
      </c>
      <c r="H88" s="133" t="s">
        <v>472</v>
      </c>
      <c r="I88" s="134">
        <f t="shared" ref="I88:J88" si="90">IFS(AND($B88&lt;&gt;"",$E88&lt;&gt;""),IF(INDEX(N:N,MATCH($C88,$P:$P,0),1)&lt;&gt;"",$E88*INDEX(N:N,MATCH($C88,$P:$P,0),1)+$G88,""),AND($B88&lt;&gt;"",$D88="COST"),$G88,TRUE,)</f>
        <v>-2.4</v>
      </c>
      <c r="J88" s="134">
        <f t="shared" si="90"/>
        <v>-2.4</v>
      </c>
      <c r="K88" s="219" t="str">
        <f t="shared" si="3"/>
        <v>iShares USD Treasury Bond 20+yr UCITS ETF USD Dist</v>
      </c>
      <c r="L88" s="150">
        <f t="shared" si="4"/>
        <v>0</v>
      </c>
      <c r="M88" s="150">
        <f t="shared" si="5"/>
        <v>27424.23</v>
      </c>
      <c r="N88" s="139" t="str">
        <f t="array" ref="N88">IF($P88&lt;&gt;"",IF(MAXIFS(Investment!$L:$L,Investment!$D:$D,LEFT($P88,40)&amp;"*"),MAXIFS(Investment!$L:$L,Investment!$D:$D,LEFT($P88,40)&amp;"*"),IFERROR(INDEX(Selection!$H:$H, MATCH($P88,Selection!$F:$F,0))/IF(OR(INDEX(Selection!$C:$C, MATCH($P88,Selection!$F:$F,0))="LN",INDEX(Selection!$C:$C, MATCH($P88,Selection!$F:$F,0))="US"),Investment!$K$7,1),"")),"")</f>
        <v/>
      </c>
      <c r="O88" s="144" t="str">
        <f>IF($P88&lt;&gt;"",IF(MAXIFS(Investment!$AG:$AG,Investment!$D:$D,LEFT($P88,40)&amp;"*"),MAXIFS(Investment!$AG:$AG,Investment!$D:$D,LEFT($P88,40)&amp;"*"),""),"")</f>
        <v/>
      </c>
      <c r="P88" s="135"/>
      <c r="Q88" s="136"/>
      <c r="R88" s="134"/>
    </row>
    <row r="89">
      <c r="A89" s="125">
        <v>43503.0</v>
      </c>
      <c r="B89" s="56" t="s">
        <v>243</v>
      </c>
      <c r="C89" s="56" t="s">
        <v>403</v>
      </c>
      <c r="D89" s="56" t="s">
        <v>263</v>
      </c>
      <c r="E89" s="51"/>
      <c r="F89" s="218"/>
      <c r="G89" s="132">
        <v>-2.2</v>
      </c>
      <c r="H89" s="133" t="s">
        <v>474</v>
      </c>
      <c r="I89" s="134">
        <f t="shared" ref="I89:J89" si="91">IFS(AND($B89&lt;&gt;"",$E89&lt;&gt;""),IF(INDEX(N:N,MATCH($C89,$P:$P,0),1)&lt;&gt;"",$E89*INDEX(N:N,MATCH($C89,$P:$P,0),1)+$G89,""),AND($B89&lt;&gt;"",$D89="COST"),$G89,TRUE,)</f>
        <v>-2.2</v>
      </c>
      <c r="J89" s="134">
        <f t="shared" si="91"/>
        <v>-2.2</v>
      </c>
      <c r="K89" s="219" t="str">
        <f t="shared" si="3"/>
        <v>iShares USD Treasury Bond 20+yr UCITS ETF USD Dist</v>
      </c>
      <c r="L89" s="150">
        <f t="shared" si="4"/>
        <v>0</v>
      </c>
      <c r="M89" s="150">
        <f t="shared" si="5"/>
        <v>27424.23</v>
      </c>
      <c r="N89" s="139" t="str">
        <f t="array" ref="N89">IF($P89&lt;&gt;"",IF(MAXIFS(Investment!$L:$L,Investment!$D:$D,LEFT($P89,40)&amp;"*"),MAXIFS(Investment!$L:$L,Investment!$D:$D,LEFT($P89,40)&amp;"*"),IFERROR(INDEX(Selection!$H:$H, MATCH($P89,Selection!$F:$F,0))/IF(OR(INDEX(Selection!$C:$C, MATCH($P89,Selection!$F:$F,0))="LN",INDEX(Selection!$C:$C, MATCH($P89,Selection!$F:$F,0))="US"),Investment!$K$7,1),"")),"")</f>
        <v/>
      </c>
      <c r="O89" s="144" t="str">
        <f>IF($P89&lt;&gt;"",IF(MAXIFS(Investment!$AG:$AG,Investment!$D:$D,LEFT($P89,40)&amp;"*"),MAXIFS(Investment!$AG:$AG,Investment!$D:$D,LEFT($P89,40)&amp;"*"),""),"")</f>
        <v/>
      </c>
      <c r="P89" s="135"/>
      <c r="Q89" s="136"/>
      <c r="R89" s="134"/>
    </row>
    <row r="90">
      <c r="A90" s="125">
        <v>43503.0</v>
      </c>
      <c r="B90" s="56" t="s">
        <v>243</v>
      </c>
      <c r="C90" s="56" t="s">
        <v>403</v>
      </c>
      <c r="D90" s="56" t="s">
        <v>245</v>
      </c>
      <c r="E90" s="51">
        <v>-255.0</v>
      </c>
      <c r="F90" s="218">
        <v>3.992</v>
      </c>
      <c r="G90" s="132">
        <v>1017.88</v>
      </c>
      <c r="H90" s="133" t="s">
        <v>477</v>
      </c>
      <c r="I90" s="134">
        <f t="shared" ref="I90:J90" si="92">IFS(AND($B90&lt;&gt;"",$E90&lt;&gt;""),IF(INDEX(N:N,MATCH($C90,$P:$P,0),1)&lt;&gt;"",$E90*INDEX(N:N,MATCH($C90,$P:$P,0),1)+$G90,""),AND($B90&lt;&gt;"",$D90="COST"),$G90,TRUE,)</f>
        <v>-56.894</v>
      </c>
      <c r="J90" s="134">
        <f t="shared" si="92"/>
        <v>18.2162</v>
      </c>
      <c r="K90" s="219" t="str">
        <f t="shared" si="3"/>
        <v>iShares USD Treasury Bond 20+yr UCITS ETF USD Dist</v>
      </c>
      <c r="L90" s="150">
        <f t="shared" si="4"/>
        <v>0</v>
      </c>
      <c r="M90" s="150">
        <f t="shared" si="5"/>
        <v>27424.23</v>
      </c>
      <c r="N90" s="139" t="str">
        <f t="array" ref="N90">IF($P90&lt;&gt;"",IF(MAXIFS(Investment!$L:$L,Investment!$D:$D,LEFT($P90,40)&amp;"*"),MAXIFS(Investment!$L:$L,Investment!$D:$D,LEFT($P90,40)&amp;"*"),IFERROR(INDEX(Selection!$H:$H, MATCH($P90,Selection!$F:$F,0))/IF(OR(INDEX(Selection!$C:$C, MATCH($P90,Selection!$F:$F,0))="LN",INDEX(Selection!$C:$C, MATCH($P90,Selection!$F:$F,0))="US"),Investment!$K$7,1),"")),"")</f>
        <v/>
      </c>
      <c r="O90" s="144" t="str">
        <f>IF($P90&lt;&gt;"",IF(MAXIFS(Investment!$AG:$AG,Investment!$D:$D,LEFT($P90,40)&amp;"*"),MAXIFS(Investment!$AG:$AG,Investment!$D:$D,LEFT($P90,40)&amp;"*"),""),"")</f>
        <v/>
      </c>
      <c r="P90" s="135"/>
      <c r="Q90" s="136"/>
      <c r="R90" s="134"/>
    </row>
    <row r="91">
      <c r="A91" s="125">
        <v>43501.0</v>
      </c>
      <c r="B91" s="56" t="s">
        <v>307</v>
      </c>
      <c r="C91" s="56" t="s">
        <v>308</v>
      </c>
      <c r="D91" s="56" t="s">
        <v>245</v>
      </c>
      <c r="E91" s="51">
        <v>-27.0</v>
      </c>
      <c r="F91" s="218">
        <v>45.3759</v>
      </c>
      <c r="G91" s="132">
        <v>1225.15</v>
      </c>
      <c r="H91" s="133" t="s">
        <v>481</v>
      </c>
      <c r="I91" s="134">
        <f t="shared" ref="I91:J91" si="93">IFS(AND($B91&lt;&gt;"",$E91&lt;&gt;""),IF(INDEX(N:N,MATCH($C91,$P:$P,0),1)&lt;&gt;"",$E91*INDEX(N:N,MATCH($C91,$P:$P,0),1)+$G91,""),AND($B91&lt;&gt;"",$D91="COST"),$G91,TRUE,)</f>
        <v>-71.66</v>
      </c>
      <c r="J91" s="134">
        <f t="shared" si="93"/>
        <v>-14.87868235</v>
      </c>
      <c r="K91" s="219" t="str">
        <f t="shared" si="3"/>
        <v>Vanguard S&amp;P 500 UCITS ETF</v>
      </c>
      <c r="L91" s="150">
        <f t="shared" si="4"/>
        <v>4429</v>
      </c>
      <c r="M91" s="150">
        <f t="shared" si="5"/>
        <v>-189831.65</v>
      </c>
      <c r="N91" s="139" t="str">
        <f t="array" ref="N91">IF($P91&lt;&gt;"",IF(MAXIFS(Investment!$L:$L,Investment!$D:$D,LEFT($P91,40)&amp;"*"),MAXIFS(Investment!$L:$L,Investment!$D:$D,LEFT($P91,40)&amp;"*"),IFERROR(INDEX(Selection!$H:$H, MATCH($P91,Selection!$F:$F,0))/IF(OR(INDEX(Selection!$C:$C, MATCH($P91,Selection!$F:$F,0))="LN",INDEX(Selection!$C:$C, MATCH($P91,Selection!$F:$F,0))="US"),Investment!$K$7,1),"")),"")</f>
        <v/>
      </c>
      <c r="O91" s="144" t="str">
        <f>IF($P91&lt;&gt;"",IF(MAXIFS(Investment!$AG:$AG,Investment!$D:$D,LEFT($P91,40)&amp;"*"),MAXIFS(Investment!$AG:$AG,Investment!$D:$D,LEFT($P91,40)&amp;"*"),""),"")</f>
        <v/>
      </c>
      <c r="P91" s="135"/>
      <c r="Q91" s="136"/>
      <c r="R91" s="134"/>
    </row>
    <row r="92">
      <c r="A92" s="125">
        <v>43501.0</v>
      </c>
      <c r="B92" s="56"/>
      <c r="C92" s="56"/>
      <c r="D92" s="56" t="s">
        <v>268</v>
      </c>
      <c r="E92" s="51"/>
      <c r="F92" s="218"/>
      <c r="G92" s="132">
        <v>-400.0</v>
      </c>
      <c r="H92" s="133" t="s">
        <v>482</v>
      </c>
      <c r="I92" s="134" t="str">
        <f t="shared" ref="I92:J92" si="94">IFS(AND($B92&lt;&gt;"",$E92&lt;&gt;""),IF(INDEX(N:N,MATCH($C92,$P:$P,0),1)&lt;&gt;"",$E92*INDEX(N:N,MATCH($C92,$P:$P,0),1)+$G92,""),AND($B92&lt;&gt;"",$D92="COST"),$G92,TRUE,)</f>
        <v/>
      </c>
      <c r="J92" s="134" t="str">
        <f t="shared" si="94"/>
        <v/>
      </c>
      <c r="K92" s="219" t="str">
        <f t="shared" si="3"/>
        <v/>
      </c>
      <c r="L92" s="150" t="str">
        <f t="shared" si="4"/>
        <v/>
      </c>
      <c r="M92" s="150" t="str">
        <f t="shared" si="5"/>
        <v/>
      </c>
      <c r="N92" s="139" t="str">
        <f t="array" ref="N92">IF($P92&lt;&gt;"",IF(MAXIFS(Investment!$L:$L,Investment!$D:$D,LEFT($P92,40)&amp;"*"),MAXIFS(Investment!$L:$L,Investment!$D:$D,LEFT($P92,40)&amp;"*"),IFERROR(INDEX(Selection!$H:$H, MATCH($P92,Selection!$F:$F,0))/IF(OR(INDEX(Selection!$C:$C, MATCH($P92,Selection!$F:$F,0))="LN",INDEX(Selection!$C:$C, MATCH($P92,Selection!$F:$F,0))="US"),Investment!$K$7,1),"")),"")</f>
        <v/>
      </c>
      <c r="O92" s="144" t="str">
        <f>IF($P92&lt;&gt;"",IF(MAXIFS(Investment!$AG:$AG,Investment!$D:$D,LEFT($P92,40)&amp;"*"),MAXIFS(Investment!$AG:$AG,Investment!$D:$D,LEFT($P92,40)&amp;"*"),""),"")</f>
        <v/>
      </c>
      <c r="P92" s="135"/>
      <c r="Q92" s="136"/>
      <c r="R92" s="134"/>
    </row>
    <row r="93">
      <c r="A93" s="125">
        <v>43497.0</v>
      </c>
      <c r="B93" s="56"/>
      <c r="C93" s="56"/>
      <c r="D93" s="56" t="s">
        <v>263</v>
      </c>
      <c r="E93" s="51"/>
      <c r="F93" s="218"/>
      <c r="G93" s="132">
        <v>-5.0</v>
      </c>
      <c r="H93" s="133" t="s">
        <v>489</v>
      </c>
      <c r="I93" s="134" t="str">
        <f t="shared" ref="I93:J93" si="95">IFS(AND($B93&lt;&gt;"",$E93&lt;&gt;""),IF(INDEX(N:N,MATCH($C93,$P:$P,0),1)&lt;&gt;"",$E93*INDEX(N:N,MATCH($C93,$P:$P,0),1)+$G93,""),AND($B93&lt;&gt;"",$D93="COST"),$G93,TRUE,)</f>
        <v/>
      </c>
      <c r="J93" s="134" t="str">
        <f t="shared" si="95"/>
        <v/>
      </c>
      <c r="K93" s="219" t="str">
        <f t="shared" si="3"/>
        <v/>
      </c>
      <c r="L93" s="150" t="str">
        <f t="shared" si="4"/>
        <v/>
      </c>
      <c r="M93" s="150" t="str">
        <f t="shared" si="5"/>
        <v/>
      </c>
      <c r="N93" s="139" t="str">
        <f t="array" ref="N93">IF($P93&lt;&gt;"",IF(MAXIFS(Investment!$L:$L,Investment!$D:$D,LEFT($P93,40)&amp;"*"),MAXIFS(Investment!$L:$L,Investment!$D:$D,LEFT($P93,40)&amp;"*"),IFERROR(INDEX(Selection!$H:$H, MATCH($P93,Selection!$F:$F,0))/IF(OR(INDEX(Selection!$C:$C, MATCH($P93,Selection!$F:$F,0))="LN",INDEX(Selection!$C:$C, MATCH($P93,Selection!$F:$F,0))="US"),Investment!$K$7,1),"")),"")</f>
        <v/>
      </c>
      <c r="O93" s="144" t="str">
        <f>IF($P93&lt;&gt;"",IF(MAXIFS(Investment!$AG:$AG,Investment!$D:$D,LEFT($P93,40)&amp;"*"),MAXIFS(Investment!$AG:$AG,Investment!$D:$D,LEFT($P93,40)&amp;"*"),""),"")</f>
        <v/>
      </c>
      <c r="P93" s="135"/>
      <c r="Q93" s="136"/>
      <c r="R93" s="134"/>
    </row>
    <row r="94">
      <c r="A94" s="125">
        <v>43497.0</v>
      </c>
      <c r="B94" s="56"/>
      <c r="C94" s="56"/>
      <c r="D94" s="56" t="s">
        <v>263</v>
      </c>
      <c r="E94" s="51"/>
      <c r="F94" s="218"/>
      <c r="G94" s="132">
        <v>-5.0</v>
      </c>
      <c r="H94" s="133" t="s">
        <v>489</v>
      </c>
      <c r="I94" s="134" t="str">
        <f t="shared" ref="I94:J94" si="96">IFS(AND($B94&lt;&gt;"",$E94&lt;&gt;""),IF(INDEX(N:N,MATCH($C94,$P:$P,0),1)&lt;&gt;"",$E94*INDEX(N:N,MATCH($C94,$P:$P,0),1)+$G94,""),AND($B94&lt;&gt;"",$D94="COST"),$G94,TRUE,)</f>
        <v/>
      </c>
      <c r="J94" s="134" t="str">
        <f t="shared" si="96"/>
        <v/>
      </c>
      <c r="K94" s="219" t="str">
        <f t="shared" si="3"/>
        <v/>
      </c>
      <c r="L94" s="150" t="str">
        <f t="shared" si="4"/>
        <v/>
      </c>
      <c r="M94" s="150" t="str">
        <f t="shared" si="5"/>
        <v/>
      </c>
      <c r="N94" s="139" t="str">
        <f t="array" ref="N94">IF($P94&lt;&gt;"",IF(MAXIFS(Investment!$L:$L,Investment!$D:$D,LEFT($P94,40)&amp;"*"),MAXIFS(Investment!$L:$L,Investment!$D:$D,LEFT($P94,40)&amp;"*"),IFERROR(INDEX(Selection!$H:$H, MATCH($P94,Selection!$F:$F,0))/IF(OR(INDEX(Selection!$C:$C, MATCH($P94,Selection!$F:$F,0))="LN",INDEX(Selection!$C:$C, MATCH($P94,Selection!$F:$F,0))="US"),Investment!$K$7,1),"")),"")</f>
        <v/>
      </c>
      <c r="O94" s="144" t="str">
        <f>IF($P94&lt;&gt;"",IF(MAXIFS(Investment!$AG:$AG,Investment!$D:$D,LEFT($P94,40)&amp;"*"),MAXIFS(Investment!$AG:$AG,Investment!$D:$D,LEFT($P94,40)&amp;"*"),""),"")</f>
        <v/>
      </c>
      <c r="P94" s="135"/>
      <c r="Q94" s="136"/>
      <c r="R94" s="134"/>
    </row>
    <row r="95">
      <c r="A95" s="125">
        <v>43497.0</v>
      </c>
      <c r="B95" s="56"/>
      <c r="C95" s="56"/>
      <c r="D95" s="56" t="s">
        <v>263</v>
      </c>
      <c r="E95" s="51"/>
      <c r="F95" s="218"/>
      <c r="G95" s="132">
        <v>5.0</v>
      </c>
      <c r="H95" s="133" t="s">
        <v>495</v>
      </c>
      <c r="I95" s="134" t="str">
        <f t="shared" ref="I95:J95" si="97">IFS(AND($B95&lt;&gt;"",$E95&lt;&gt;""),IF(INDEX(N:N,MATCH($C95,$P:$P,0),1)&lt;&gt;"",$E95*INDEX(N:N,MATCH($C95,$P:$P,0),1)+$G95,""),AND($B95&lt;&gt;"",$D95="COST"),$G95,TRUE,)</f>
        <v/>
      </c>
      <c r="J95" s="134" t="str">
        <f t="shared" si="97"/>
        <v/>
      </c>
      <c r="K95" s="219" t="str">
        <f t="shared" si="3"/>
        <v/>
      </c>
      <c r="L95" s="150" t="str">
        <f t="shared" si="4"/>
        <v/>
      </c>
      <c r="M95" s="150" t="str">
        <f t="shared" si="5"/>
        <v/>
      </c>
      <c r="N95" s="139" t="str">
        <f t="array" ref="N95">IF($P95&lt;&gt;"",IF(MAXIFS(Investment!$L:$L,Investment!$D:$D,LEFT($P95,40)&amp;"*"),MAXIFS(Investment!$L:$L,Investment!$D:$D,LEFT($P95,40)&amp;"*"),IFERROR(INDEX(Selection!$H:$H, MATCH($P95,Selection!$F:$F,0))/IF(OR(INDEX(Selection!$C:$C, MATCH($P95,Selection!$F:$F,0))="LN",INDEX(Selection!$C:$C, MATCH($P95,Selection!$F:$F,0))="US"),Investment!$K$7,1),"")),"")</f>
        <v/>
      </c>
      <c r="O95" s="144" t="str">
        <f>IF($P95&lt;&gt;"",IF(MAXIFS(Investment!$AG:$AG,Investment!$D:$D,LEFT($P95,40)&amp;"*"),MAXIFS(Investment!$AG:$AG,Investment!$D:$D,LEFT($P95,40)&amp;"*"),""),"")</f>
        <v/>
      </c>
      <c r="P95" s="135"/>
      <c r="Q95" s="136"/>
      <c r="R95" s="134"/>
    </row>
    <row r="96">
      <c r="A96" s="125">
        <v>43497.0</v>
      </c>
      <c r="B96" s="56"/>
      <c r="C96" s="56"/>
      <c r="D96" s="56" t="s">
        <v>263</v>
      </c>
      <c r="E96" s="51"/>
      <c r="F96" s="218"/>
      <c r="G96" s="132">
        <v>-565.1</v>
      </c>
      <c r="H96" s="133" t="s">
        <v>496</v>
      </c>
      <c r="I96" s="134" t="str">
        <f t="shared" ref="I96:J96" si="98">IFS(AND($B96&lt;&gt;"",$E96&lt;&gt;""),IF(INDEX(N:N,MATCH($C96,$P:$P,0),1)&lt;&gt;"",$E96*INDEX(N:N,MATCH($C96,$P:$P,0),1)+$G96,""),AND($B96&lt;&gt;"",$D96="COST"),$G96,TRUE,)</f>
        <v/>
      </c>
      <c r="J96" s="134" t="str">
        <f t="shared" si="98"/>
        <v/>
      </c>
      <c r="K96" s="219" t="str">
        <f t="shared" si="3"/>
        <v/>
      </c>
      <c r="L96" s="150" t="str">
        <f t="shared" si="4"/>
        <v/>
      </c>
      <c r="M96" s="150" t="str">
        <f t="shared" si="5"/>
        <v/>
      </c>
      <c r="N96" s="139" t="str">
        <f t="array" ref="N96">IF($P96&lt;&gt;"",IF(MAXIFS(Investment!$L:$L,Investment!$D:$D,LEFT($P96,40)&amp;"*"),MAXIFS(Investment!$L:$L,Investment!$D:$D,LEFT($P96,40)&amp;"*"),IFERROR(INDEX(Selection!$H:$H, MATCH($P96,Selection!$F:$F,0))/IF(OR(INDEX(Selection!$C:$C, MATCH($P96,Selection!$F:$F,0))="LN",INDEX(Selection!$C:$C, MATCH($P96,Selection!$F:$F,0))="US"),Investment!$K$7,1),"")),"")</f>
        <v/>
      </c>
      <c r="O96" s="144" t="str">
        <f>IF($P96&lt;&gt;"",IF(MAXIFS(Investment!$AG:$AG,Investment!$D:$D,LEFT($P96,40)&amp;"*"),MAXIFS(Investment!$AG:$AG,Investment!$D:$D,LEFT($P96,40)&amp;"*"),""),"")</f>
        <v/>
      </c>
      <c r="P96" s="135"/>
      <c r="Q96" s="136"/>
      <c r="R96" s="134"/>
    </row>
    <row r="97">
      <c r="A97" s="125">
        <v>43497.0</v>
      </c>
      <c r="B97" s="56" t="s">
        <v>307</v>
      </c>
      <c r="C97" s="56" t="s">
        <v>308</v>
      </c>
      <c r="D97" s="56" t="s">
        <v>245</v>
      </c>
      <c r="E97" s="51">
        <v>-45.0</v>
      </c>
      <c r="F97" s="218">
        <v>45.018</v>
      </c>
      <c r="G97" s="132">
        <v>2025.81</v>
      </c>
      <c r="H97" s="133" t="s">
        <v>497</v>
      </c>
      <c r="I97" s="134">
        <f t="shared" ref="I97:J97" si="99">IFS(AND($B97&lt;&gt;"",$E97&lt;&gt;""),IF(INDEX(N:N,MATCH($C97,$P:$P,0),1)&lt;&gt;"",$E97*INDEX(N:N,MATCH($C97,$P:$P,0),1)+$G97,""),AND($B97&lt;&gt;"",$D97="COST"),$G97,TRUE,)</f>
        <v>-135.54</v>
      </c>
      <c r="J97" s="134">
        <f t="shared" si="99"/>
        <v>-40.90447059</v>
      </c>
      <c r="K97" s="219" t="str">
        <f t="shared" si="3"/>
        <v>Vanguard S&amp;P 500 UCITS ETF</v>
      </c>
      <c r="L97" s="150">
        <f t="shared" si="4"/>
        <v>4429</v>
      </c>
      <c r="M97" s="150">
        <f t="shared" si="5"/>
        <v>-189831.65</v>
      </c>
      <c r="N97" s="139" t="str">
        <f t="array" ref="N97">IF($P97&lt;&gt;"",IF(MAXIFS(Investment!$L:$L,Investment!$D:$D,LEFT($P97,40)&amp;"*"),MAXIFS(Investment!$L:$L,Investment!$D:$D,LEFT($P97,40)&amp;"*"),IFERROR(INDEX(Selection!$H:$H, MATCH($P97,Selection!$F:$F,0))/IF(OR(INDEX(Selection!$C:$C, MATCH($P97,Selection!$F:$F,0))="LN",INDEX(Selection!$C:$C, MATCH($P97,Selection!$F:$F,0))="US"),Investment!$K$7,1),"")),"")</f>
        <v/>
      </c>
      <c r="O97" s="144" t="str">
        <f>IF($P97&lt;&gt;"",IF(MAXIFS(Investment!$AG:$AG,Investment!$D:$D,LEFT($P97,40)&amp;"*"),MAXIFS(Investment!$AG:$AG,Investment!$D:$D,LEFT($P97,40)&amp;"*"),""),"")</f>
        <v/>
      </c>
      <c r="P97" s="135"/>
      <c r="Q97" s="136"/>
      <c r="R97" s="134"/>
    </row>
    <row r="98">
      <c r="A98" s="125">
        <v>43497.0</v>
      </c>
      <c r="B98" s="56" t="s">
        <v>307</v>
      </c>
      <c r="C98" s="56" t="s">
        <v>308</v>
      </c>
      <c r="D98" s="56" t="s">
        <v>245</v>
      </c>
      <c r="E98" s="51">
        <v>-10.0</v>
      </c>
      <c r="F98" s="218">
        <v>44.797</v>
      </c>
      <c r="G98" s="132">
        <v>447.97</v>
      </c>
      <c r="H98" s="133" t="s">
        <v>498</v>
      </c>
      <c r="I98" s="134">
        <f t="shared" ref="I98:J98" si="100">IFS(AND($B98&lt;&gt;"",$E98&lt;&gt;""),IF(INDEX(N:N,MATCH($C98,$P:$P,0),1)&lt;&gt;"",$E98*INDEX(N:N,MATCH($C98,$P:$P,0),1)+$G98,""),AND($B98&lt;&gt;"",$D98="COST"),$G98,TRUE,)</f>
        <v>-32.33</v>
      </c>
      <c r="J98" s="134">
        <f t="shared" si="100"/>
        <v>-11.29988235</v>
      </c>
      <c r="K98" s="219" t="str">
        <f t="shared" si="3"/>
        <v>Vanguard S&amp;P 500 UCITS ETF</v>
      </c>
      <c r="L98" s="150">
        <f t="shared" si="4"/>
        <v>4429</v>
      </c>
      <c r="M98" s="150">
        <f t="shared" si="5"/>
        <v>-189831.65</v>
      </c>
      <c r="N98" s="139" t="str">
        <f t="array" ref="N98">IF($P98&lt;&gt;"",IF(MAXIFS(Investment!$L:$L,Investment!$D:$D,LEFT($P98,40)&amp;"*"),MAXIFS(Investment!$L:$L,Investment!$D:$D,LEFT($P98,40)&amp;"*"),IFERROR(INDEX(Selection!$H:$H, MATCH($P98,Selection!$F:$F,0))/IF(OR(INDEX(Selection!$C:$C, MATCH($P98,Selection!$F:$F,0))="LN",INDEX(Selection!$C:$C, MATCH($P98,Selection!$F:$F,0))="US"),Investment!$K$7,1),"")),"")</f>
        <v/>
      </c>
      <c r="O98" s="144" t="str">
        <f>IF($P98&lt;&gt;"",IF(MAXIFS(Investment!$AG:$AG,Investment!$D:$D,LEFT($P98,40)&amp;"*"),MAXIFS(Investment!$AG:$AG,Investment!$D:$D,LEFT($P98,40)&amp;"*"),""),"")</f>
        <v/>
      </c>
      <c r="P98" s="135"/>
      <c r="Q98" s="136"/>
      <c r="R98" s="134"/>
    </row>
    <row r="99">
      <c r="A99" s="125">
        <v>43497.0</v>
      </c>
      <c r="B99" s="56" t="s">
        <v>307</v>
      </c>
      <c r="C99" s="56" t="s">
        <v>308</v>
      </c>
      <c r="D99" s="56" t="s">
        <v>245</v>
      </c>
      <c r="E99" s="51">
        <v>-8.0</v>
      </c>
      <c r="F99" s="218">
        <v>44.7975</v>
      </c>
      <c r="G99" s="132">
        <v>358.38</v>
      </c>
      <c r="H99" s="133" t="s">
        <v>499</v>
      </c>
      <c r="I99" s="134">
        <f t="shared" ref="I99:J99" si="101">IFS(AND($B99&lt;&gt;"",$E99&lt;&gt;""),IF(INDEX(N:N,MATCH($C99,$P:$P,0),1)&lt;&gt;"",$E99*INDEX(N:N,MATCH($C99,$P:$P,0),1)+$G99,""),AND($B99&lt;&gt;"",$D99="COST"),$G99,TRUE,)</f>
        <v>-25.86</v>
      </c>
      <c r="J99" s="134">
        <f t="shared" si="101"/>
        <v>-9.035905882</v>
      </c>
      <c r="K99" s="219" t="str">
        <f t="shared" si="3"/>
        <v>Vanguard S&amp;P 500 UCITS ETF</v>
      </c>
      <c r="L99" s="150">
        <f t="shared" si="4"/>
        <v>4429</v>
      </c>
      <c r="M99" s="150">
        <f t="shared" si="5"/>
        <v>-189831.65</v>
      </c>
      <c r="N99" s="139" t="str">
        <f t="array" ref="N99">IF($P99&lt;&gt;"",IF(MAXIFS(Investment!$L:$L,Investment!$D:$D,LEFT($P99,40)&amp;"*"),MAXIFS(Investment!$L:$L,Investment!$D:$D,LEFT($P99,40)&amp;"*"),IFERROR(INDEX(Selection!$H:$H, MATCH($P99,Selection!$F:$F,0))/IF(OR(INDEX(Selection!$C:$C, MATCH($P99,Selection!$F:$F,0))="LN",INDEX(Selection!$C:$C, MATCH($P99,Selection!$F:$F,0))="US"),Investment!$K$7,1),"")),"")</f>
        <v/>
      </c>
      <c r="O99" s="144" t="str">
        <f>IF($P99&lt;&gt;"",IF(MAXIFS(Investment!$AG:$AG,Investment!$D:$D,LEFT($P99,40)&amp;"*"),MAXIFS(Investment!$AG:$AG,Investment!$D:$D,LEFT($P99,40)&amp;"*"),""),"")</f>
        <v/>
      </c>
      <c r="P99" s="135"/>
      <c r="Q99" s="136"/>
      <c r="R99" s="134"/>
    </row>
    <row r="100">
      <c r="A100" s="125">
        <v>43497.0</v>
      </c>
      <c r="B100" s="56" t="s">
        <v>307</v>
      </c>
      <c r="C100" s="56" t="s">
        <v>308</v>
      </c>
      <c r="D100" s="56" t="s">
        <v>245</v>
      </c>
      <c r="E100" s="51">
        <v>-5.0</v>
      </c>
      <c r="F100" s="218">
        <v>44.796</v>
      </c>
      <c r="G100" s="132">
        <v>223.98</v>
      </c>
      <c r="H100" s="133" t="s">
        <v>500</v>
      </c>
      <c r="I100" s="134">
        <f t="shared" ref="I100:J100" si="102">IFS(AND($B100&lt;&gt;"",$E100&lt;&gt;""),IF(INDEX(N:N,MATCH($C100,$P:$P,0),1)&lt;&gt;"",$E100*INDEX(N:N,MATCH($C100,$P:$P,0),1)+$G100,""),AND($B100&lt;&gt;"",$D100="COST"),$G100,TRUE,)</f>
        <v>-16.17</v>
      </c>
      <c r="J100" s="134">
        <f t="shared" si="102"/>
        <v>-5.654941176</v>
      </c>
      <c r="K100" s="219" t="str">
        <f t="shared" si="3"/>
        <v>Vanguard S&amp;P 500 UCITS ETF</v>
      </c>
      <c r="L100" s="150">
        <f t="shared" si="4"/>
        <v>4429</v>
      </c>
      <c r="M100" s="150">
        <f t="shared" si="5"/>
        <v>-189831.65</v>
      </c>
      <c r="N100" s="139" t="str">
        <f t="array" ref="N100">IF($P100&lt;&gt;"",IF(MAXIFS(Investment!$L:$L,Investment!$D:$D,LEFT($P100,40)&amp;"*"),MAXIFS(Investment!$L:$L,Investment!$D:$D,LEFT($P100,40)&amp;"*"),IFERROR(INDEX(Selection!$H:$H, MATCH($P100,Selection!$F:$F,0))/IF(OR(INDEX(Selection!$C:$C, MATCH($P100,Selection!$F:$F,0))="LN",INDEX(Selection!$C:$C, MATCH($P100,Selection!$F:$F,0))="US"),Investment!$K$7,1),"")),"")</f>
        <v/>
      </c>
      <c r="O100" s="144" t="str">
        <f>IF($P100&lt;&gt;"",IF(MAXIFS(Investment!$AG:$AG,Investment!$D:$D,LEFT($P100,40)&amp;"*"),MAXIFS(Investment!$AG:$AG,Investment!$D:$D,LEFT($P100,40)&amp;"*"),""),"")</f>
        <v/>
      </c>
      <c r="P100" s="135"/>
      <c r="Q100" s="136"/>
      <c r="R100" s="134"/>
    </row>
    <row r="101">
      <c r="A101" s="125">
        <v>43496.0</v>
      </c>
      <c r="B101" s="56" t="s">
        <v>307</v>
      </c>
      <c r="C101" s="56" t="s">
        <v>308</v>
      </c>
      <c r="D101" s="56" t="s">
        <v>263</v>
      </c>
      <c r="E101" s="51"/>
      <c r="F101" s="218"/>
      <c r="G101" s="132">
        <v>-3.89</v>
      </c>
      <c r="H101" s="133" t="s">
        <v>501</v>
      </c>
      <c r="I101" s="134">
        <f t="shared" ref="I101:J101" si="103">IFS(AND($B101&lt;&gt;"",$E101&lt;&gt;""),IF(INDEX(N:N,MATCH($C101,$P:$P,0),1)&lt;&gt;"",$E101*INDEX(N:N,MATCH($C101,$P:$P,0),1)+$G101,""),AND($B101&lt;&gt;"",$D101="COST"),$G101,TRUE,)</f>
        <v>-3.89</v>
      </c>
      <c r="J101" s="134">
        <f t="shared" si="103"/>
        <v>-3.89</v>
      </c>
      <c r="K101" s="219" t="str">
        <f t="shared" si="3"/>
        <v>Vanguard S&amp;P 500 UCITS ETF</v>
      </c>
      <c r="L101" s="150">
        <f t="shared" si="4"/>
        <v>4429</v>
      </c>
      <c r="M101" s="150">
        <f t="shared" si="5"/>
        <v>-189831.65</v>
      </c>
      <c r="N101" s="139" t="str">
        <f t="array" ref="N101">IF($P101&lt;&gt;"",IF(MAXIFS(Investment!$L:$L,Investment!$D:$D,LEFT($P101,40)&amp;"*"),MAXIFS(Investment!$L:$L,Investment!$D:$D,LEFT($P101,40)&amp;"*"),IFERROR(INDEX(Selection!$H:$H, MATCH($P101,Selection!$F:$F,0))/IF(OR(INDEX(Selection!$C:$C, MATCH($P101,Selection!$F:$F,0))="LN",INDEX(Selection!$C:$C, MATCH($P101,Selection!$F:$F,0))="US"),Investment!$K$7,1),"")),"")</f>
        <v/>
      </c>
      <c r="O101" s="144" t="str">
        <f>IF($P101&lt;&gt;"",IF(MAXIFS(Investment!$AG:$AG,Investment!$D:$D,LEFT($P101,40)&amp;"*"),MAXIFS(Investment!$AG:$AG,Investment!$D:$D,LEFT($P101,40)&amp;"*"),""),"")</f>
        <v/>
      </c>
      <c r="P101" s="135"/>
      <c r="Q101" s="136"/>
      <c r="R101" s="134"/>
    </row>
    <row r="102">
      <c r="A102" s="125">
        <v>43496.0</v>
      </c>
      <c r="B102" s="56" t="s">
        <v>307</v>
      </c>
      <c r="C102" s="56" t="s">
        <v>308</v>
      </c>
      <c r="D102" s="56" t="s">
        <v>245</v>
      </c>
      <c r="E102" s="51">
        <v>-213.0</v>
      </c>
      <c r="F102" s="218">
        <v>44.455</v>
      </c>
      <c r="G102" s="132">
        <v>9468.92</v>
      </c>
      <c r="H102" s="133" t="s">
        <v>502</v>
      </c>
      <c r="I102" s="134">
        <f t="shared" ref="I102:J102" si="104">IFS(AND($B102&lt;&gt;"",$E102&lt;&gt;""),IF(INDEX(N:N,MATCH($C102,$P:$P,0),1)&lt;&gt;"",$E102*INDEX(N:N,MATCH($C102,$P:$P,0),1)+$G102,""),AND($B102&lt;&gt;"",$D102="COST"),$G102,TRUE,)</f>
        <v>-761.47</v>
      </c>
      <c r="J102" s="134">
        <f t="shared" si="104"/>
        <v>-313.5284941</v>
      </c>
      <c r="K102" s="219" t="str">
        <f t="shared" si="3"/>
        <v>Vanguard S&amp;P 500 UCITS ETF</v>
      </c>
      <c r="L102" s="150">
        <f t="shared" si="4"/>
        <v>4429</v>
      </c>
      <c r="M102" s="150">
        <f t="shared" si="5"/>
        <v>-189831.65</v>
      </c>
      <c r="N102" s="139" t="str">
        <f t="array" ref="N102">IF($P102&lt;&gt;"",IF(MAXIFS(Investment!$L:$L,Investment!$D:$D,LEFT($P102,40)&amp;"*"),MAXIFS(Investment!$L:$L,Investment!$D:$D,LEFT($P102,40)&amp;"*"),IFERROR(INDEX(Selection!$H:$H, MATCH($P102,Selection!$F:$F,0))/IF(OR(INDEX(Selection!$C:$C, MATCH($P102,Selection!$F:$F,0))="LN",INDEX(Selection!$C:$C, MATCH($P102,Selection!$F:$F,0))="US"),Investment!$K$7,1),"")),"")</f>
        <v/>
      </c>
      <c r="O102" s="144" t="str">
        <f>IF($P102&lt;&gt;"",IF(MAXIFS(Investment!$AG:$AG,Investment!$D:$D,LEFT($P102,40)&amp;"*"),MAXIFS(Investment!$AG:$AG,Investment!$D:$D,LEFT($P102,40)&amp;"*"),""),"")</f>
        <v/>
      </c>
      <c r="P102" s="135"/>
      <c r="Q102" s="136"/>
      <c r="R102" s="134"/>
    </row>
    <row r="103">
      <c r="A103" s="125">
        <v>43486.0</v>
      </c>
      <c r="B103" s="56" t="s">
        <v>307</v>
      </c>
      <c r="C103" s="56" t="s">
        <v>308</v>
      </c>
      <c r="D103" s="56" t="s">
        <v>263</v>
      </c>
      <c r="E103" s="51"/>
      <c r="F103" s="218"/>
      <c r="G103" s="132">
        <v>-0.26</v>
      </c>
      <c r="H103" s="133" t="s">
        <v>503</v>
      </c>
      <c r="I103" s="134">
        <f t="shared" ref="I103:J103" si="105">IFS(AND($B103&lt;&gt;"",$E103&lt;&gt;""),IF(INDEX(N:N,MATCH($C103,$P:$P,0),1)&lt;&gt;"",$E103*INDEX(N:N,MATCH($C103,$P:$P,0),1)+$G103,""),AND($B103&lt;&gt;"",$D103="COST"),$G103,TRUE,)</f>
        <v>-0.26</v>
      </c>
      <c r="J103" s="134">
        <f t="shared" si="105"/>
        <v>-0.26</v>
      </c>
      <c r="K103" s="219" t="str">
        <f t="shared" si="3"/>
        <v>Vanguard S&amp;P 500 UCITS ETF</v>
      </c>
      <c r="L103" s="150">
        <f t="shared" si="4"/>
        <v>4429</v>
      </c>
      <c r="M103" s="150">
        <f t="shared" si="5"/>
        <v>-189831.65</v>
      </c>
      <c r="N103" s="139" t="str">
        <f t="array" ref="N103">IF($P103&lt;&gt;"",IF(MAXIFS(Investment!$L:$L,Investment!$D:$D,LEFT($P103,40)&amp;"*"),MAXIFS(Investment!$L:$L,Investment!$D:$D,LEFT($P103,40)&amp;"*"),IFERROR(INDEX(Selection!$H:$H, MATCH($P103,Selection!$F:$F,0))/IF(OR(INDEX(Selection!$C:$C, MATCH($P103,Selection!$F:$F,0))="LN",INDEX(Selection!$C:$C, MATCH($P103,Selection!$F:$F,0))="US"),Investment!$K$7,1),"")),"")</f>
        <v/>
      </c>
      <c r="O103" s="144" t="str">
        <f>IF($P103&lt;&gt;"",IF(MAXIFS(Investment!$AG:$AG,Investment!$D:$D,LEFT($P103,40)&amp;"*"),MAXIFS(Investment!$AG:$AG,Investment!$D:$D,LEFT($P103,40)&amp;"*"),""),"")</f>
        <v/>
      </c>
      <c r="P103" s="135"/>
      <c r="Q103" s="136"/>
      <c r="R103" s="134"/>
    </row>
    <row r="104">
      <c r="A104" s="125">
        <v>43486.0</v>
      </c>
      <c r="B104" s="56" t="s">
        <v>307</v>
      </c>
      <c r="C104" s="56" t="s">
        <v>308</v>
      </c>
      <c r="D104" s="56" t="s">
        <v>245</v>
      </c>
      <c r="E104" s="51">
        <v>-29.0</v>
      </c>
      <c r="F104" s="223">
        <f t="shared" ref="F104:F126" si="107">IF(E104,-G104/E104,"")</f>
        <v>44.48586207</v>
      </c>
      <c r="G104" s="132">
        <v>1290.09</v>
      </c>
      <c r="H104" s="133" t="s">
        <v>504</v>
      </c>
      <c r="I104" s="134">
        <f t="shared" ref="I104:J104" si="106">IFS(AND($B104&lt;&gt;"",$E104&lt;&gt;""),IF(INDEX(N:N,MATCH($C104,$P:$P,0),1)&lt;&gt;"",$E104*INDEX(N:N,MATCH($C104,$P:$P,0),1)+$G104,""),AND($B104&lt;&gt;"",$D104="COST"),$G104,TRUE,)</f>
        <v>-102.78</v>
      </c>
      <c r="J104" s="134">
        <f t="shared" si="106"/>
        <v>-41.79265882</v>
      </c>
      <c r="K104" s="219" t="str">
        <f t="shared" si="3"/>
        <v>Vanguard S&amp;P 500 UCITS ETF</v>
      </c>
      <c r="L104" s="150">
        <f t="shared" si="4"/>
        <v>4429</v>
      </c>
      <c r="M104" s="150">
        <f t="shared" si="5"/>
        <v>-189831.65</v>
      </c>
      <c r="N104" s="139" t="str">
        <f t="array" ref="N104">IF($P104&lt;&gt;"",IF(MAXIFS(Investment!$L:$L,Investment!$D:$D,LEFT($P104,40)&amp;"*"),MAXIFS(Investment!$L:$L,Investment!$D:$D,LEFT($P104,40)&amp;"*"),IFERROR(INDEX(Selection!$H:$H, MATCH($P104,Selection!$F:$F,0))/IF(OR(INDEX(Selection!$C:$C, MATCH($P104,Selection!$F:$F,0))="LN",INDEX(Selection!$C:$C, MATCH($P104,Selection!$F:$F,0))="US"),Investment!$K$7,1),"")),"")</f>
        <v/>
      </c>
      <c r="O104" s="144" t="str">
        <f>IF($P104&lt;&gt;"",IF(MAXIFS(Investment!$AG:$AG,Investment!$D:$D,LEFT($P104,40)&amp;"*"),MAXIFS(Investment!$AG:$AG,Investment!$D:$D,LEFT($P104,40)&amp;"*"),""),"")</f>
        <v/>
      </c>
      <c r="P104" s="135"/>
      <c r="Q104" s="136"/>
      <c r="R104" s="134"/>
    </row>
    <row r="105">
      <c r="A105" s="125">
        <v>43486.0</v>
      </c>
      <c r="B105" s="56" t="s">
        <v>307</v>
      </c>
      <c r="C105" s="56" t="s">
        <v>308</v>
      </c>
      <c r="D105" s="56" t="s">
        <v>263</v>
      </c>
      <c r="E105" s="51"/>
      <c r="F105" s="223" t="str">
        <f t="shared" si="107"/>
        <v/>
      </c>
      <c r="G105" s="132">
        <v>-2.01</v>
      </c>
      <c r="H105" s="133" t="s">
        <v>505</v>
      </c>
      <c r="I105" s="134">
        <f t="shared" ref="I105:J105" si="108">IFS(AND($B105&lt;&gt;"",$E105&lt;&gt;""),IF(INDEX(N:N,MATCH($C105,$P:$P,0),1)&lt;&gt;"",$E105*INDEX(N:N,MATCH($C105,$P:$P,0),1)+$G105,""),AND($B105&lt;&gt;"",$D105="COST"),$G105,TRUE,)</f>
        <v>-2.01</v>
      </c>
      <c r="J105" s="134">
        <f t="shared" si="108"/>
        <v>-2.01</v>
      </c>
      <c r="K105" s="219" t="str">
        <f t="shared" si="3"/>
        <v>Vanguard S&amp;P 500 UCITS ETF</v>
      </c>
      <c r="L105" s="150">
        <f t="shared" si="4"/>
        <v>4429</v>
      </c>
      <c r="M105" s="150">
        <f t="shared" si="5"/>
        <v>-189831.65</v>
      </c>
      <c r="N105" s="139" t="str">
        <f t="array" ref="N105">IF($P105&lt;&gt;"",IF(MAXIFS(Investment!$L:$L,Investment!$D:$D,LEFT($P105,40)&amp;"*"),MAXIFS(Investment!$L:$L,Investment!$D:$D,LEFT($P105,40)&amp;"*"),IFERROR(INDEX(Selection!$H:$H, MATCH($P105,Selection!$F:$F,0))/IF(OR(INDEX(Selection!$C:$C, MATCH($P105,Selection!$F:$F,0))="LN",INDEX(Selection!$C:$C, MATCH($P105,Selection!$F:$F,0))="US"),Investment!$K$7,1),"")),"")</f>
        <v/>
      </c>
      <c r="O105" s="144" t="str">
        <f>IF($P105&lt;&gt;"",IF(MAXIFS(Investment!$AG:$AG,Investment!$D:$D,LEFT($P105,40)&amp;"*"),MAXIFS(Investment!$AG:$AG,Investment!$D:$D,LEFT($P105,40)&amp;"*"),""),"")</f>
        <v/>
      </c>
      <c r="P105" s="135"/>
      <c r="Q105" s="136"/>
      <c r="R105" s="134"/>
    </row>
    <row r="106">
      <c r="A106" s="125">
        <v>43486.0</v>
      </c>
      <c r="B106" s="56" t="s">
        <v>307</v>
      </c>
      <c r="C106" s="56" t="s">
        <v>308</v>
      </c>
      <c r="D106" s="56" t="s">
        <v>245</v>
      </c>
      <c r="E106" s="51">
        <v>-1.0</v>
      </c>
      <c r="F106" s="223">
        <f t="shared" si="107"/>
        <v>44.5</v>
      </c>
      <c r="G106" s="132">
        <v>44.5</v>
      </c>
      <c r="H106" s="133" t="s">
        <v>506</v>
      </c>
      <c r="I106" s="134">
        <f t="shared" ref="I106:J106" si="109">IFS(AND($B106&lt;&gt;"",$E106&lt;&gt;""),IF(INDEX(N:N,MATCH($C106,$P:$P,0),1)&lt;&gt;"",$E106*INDEX(N:N,MATCH($C106,$P:$P,0),1)+$G106,""),AND($B106&lt;&gt;"",$D106="COST"),$G106,TRUE,)</f>
        <v>-3.53</v>
      </c>
      <c r="J106" s="134">
        <f t="shared" si="109"/>
        <v>-1.426988235</v>
      </c>
      <c r="K106" s="219" t="str">
        <f t="shared" si="3"/>
        <v>Vanguard S&amp;P 500 UCITS ETF</v>
      </c>
      <c r="L106" s="150">
        <f t="shared" si="4"/>
        <v>4429</v>
      </c>
      <c r="M106" s="150">
        <f t="shared" si="5"/>
        <v>-189831.65</v>
      </c>
      <c r="N106" s="139" t="str">
        <f t="array" ref="N106">IF($P106&lt;&gt;"",IF(MAXIFS(Investment!$L:$L,Investment!$D:$D,LEFT($P106,40)&amp;"*"),MAXIFS(Investment!$L:$L,Investment!$D:$D,LEFT($P106,40)&amp;"*"),IFERROR(INDEX(Selection!$H:$H, MATCH($P106,Selection!$F:$F,0))/IF(OR(INDEX(Selection!$C:$C, MATCH($P106,Selection!$F:$F,0))="LN",INDEX(Selection!$C:$C, MATCH($P106,Selection!$F:$F,0))="US"),Investment!$K$7,1),"")),"")</f>
        <v/>
      </c>
      <c r="O106" s="144" t="str">
        <f>IF($P106&lt;&gt;"",IF(MAXIFS(Investment!$AG:$AG,Investment!$D:$D,LEFT($P106,40)&amp;"*"),MAXIFS(Investment!$AG:$AG,Investment!$D:$D,LEFT($P106,40)&amp;"*"),""),"")</f>
        <v/>
      </c>
      <c r="P106" s="135"/>
      <c r="Q106" s="136"/>
      <c r="R106" s="134"/>
    </row>
    <row r="107">
      <c r="A107" s="125">
        <v>43475.0</v>
      </c>
      <c r="B107" s="56" t="s">
        <v>307</v>
      </c>
      <c r="C107" s="56" t="s">
        <v>308</v>
      </c>
      <c r="D107" s="56" t="s">
        <v>390</v>
      </c>
      <c r="E107" s="51"/>
      <c r="F107" s="223" t="str">
        <f t="shared" si="107"/>
        <v/>
      </c>
      <c r="G107" s="132">
        <v>-154.79</v>
      </c>
      <c r="H107" s="133" t="s">
        <v>507</v>
      </c>
      <c r="I107" s="134" t="str">
        <f t="shared" ref="I107:J107" si="110">IFS(AND($B107&lt;&gt;"",$E107&lt;&gt;""),IF(INDEX(N:N,MATCH($C107,$P:$P,0),1)&lt;&gt;"",$E107*INDEX(N:N,MATCH($C107,$P:$P,0),1)+$G107,""),AND($B107&lt;&gt;"",$D107="COST"),$G107,TRUE,)</f>
        <v/>
      </c>
      <c r="J107" s="134" t="str">
        <f t="shared" si="110"/>
        <v/>
      </c>
      <c r="K107" s="219" t="str">
        <f t="shared" si="3"/>
        <v>Vanguard S&amp;P 500 UCITS ETF</v>
      </c>
      <c r="L107" s="150">
        <f t="shared" si="4"/>
        <v>4429</v>
      </c>
      <c r="M107" s="150">
        <f t="shared" si="5"/>
        <v>-189831.65</v>
      </c>
      <c r="N107" s="139" t="str">
        <f t="array" ref="N107">IF($P107&lt;&gt;"",IF(MAXIFS(Investment!$L:$L,Investment!$D:$D,LEFT($P107,40)&amp;"*"),MAXIFS(Investment!$L:$L,Investment!$D:$D,LEFT($P107,40)&amp;"*"),IFERROR(INDEX(Selection!$H:$H, MATCH($P107,Selection!$F:$F,0))/IF(OR(INDEX(Selection!$C:$C, MATCH($P107,Selection!$F:$F,0))="LN",INDEX(Selection!$C:$C, MATCH($P107,Selection!$F:$F,0))="US"),Investment!$K$7,1),"")),"")</f>
        <v/>
      </c>
      <c r="O107" s="144" t="str">
        <f>IF($P107&lt;&gt;"",IF(MAXIFS(Investment!$AG:$AG,Investment!$D:$D,LEFT($P107,40)&amp;"*"),MAXIFS(Investment!$AG:$AG,Investment!$D:$D,LEFT($P107,40)&amp;"*"),""),"")</f>
        <v/>
      </c>
      <c r="P107" s="135"/>
      <c r="Q107" s="136"/>
      <c r="R107" s="134"/>
    </row>
    <row r="108">
      <c r="A108" s="125">
        <v>43474.0</v>
      </c>
      <c r="B108" s="56" t="s">
        <v>307</v>
      </c>
      <c r="C108" s="56" t="s">
        <v>308</v>
      </c>
      <c r="D108" s="56" t="s">
        <v>390</v>
      </c>
      <c r="E108" s="51"/>
      <c r="F108" s="223" t="str">
        <f t="shared" si="107"/>
        <v/>
      </c>
      <c r="G108" s="132">
        <v>1151.07</v>
      </c>
      <c r="H108" s="133" t="s">
        <v>508</v>
      </c>
      <c r="I108" s="134" t="str">
        <f t="shared" ref="I108:J108" si="111">IFS(AND($B108&lt;&gt;"",$E108&lt;&gt;""),IF(INDEX(N:N,MATCH($C108,$P:$P,0),1)&lt;&gt;"",$E108*INDEX(N:N,MATCH($C108,$P:$P,0),1)+$G108,""),AND($B108&lt;&gt;"",$D108="COST"),$G108,TRUE,)</f>
        <v/>
      </c>
      <c r="J108" s="134" t="str">
        <f t="shared" si="111"/>
        <v/>
      </c>
      <c r="K108" s="219" t="str">
        <f t="shared" si="3"/>
        <v>Vanguard S&amp;P 500 UCITS ETF</v>
      </c>
      <c r="L108" s="150">
        <f t="shared" si="4"/>
        <v>4429</v>
      </c>
      <c r="M108" s="150">
        <f t="shared" si="5"/>
        <v>-189831.65</v>
      </c>
      <c r="N108" s="139" t="str">
        <f t="array" ref="N108">IF($P108&lt;&gt;"",IF(MAXIFS(Investment!$L:$L,Investment!$D:$D,LEFT($P108,40)&amp;"*"),MAXIFS(Investment!$L:$L,Investment!$D:$D,LEFT($P108,40)&amp;"*"),IFERROR(INDEX(Selection!$H:$H, MATCH($P108,Selection!$F:$F,0))/IF(OR(INDEX(Selection!$C:$C, MATCH($P108,Selection!$F:$F,0))="LN",INDEX(Selection!$C:$C, MATCH($P108,Selection!$F:$F,0))="US"),Investment!$K$7,1),"")),"")</f>
        <v/>
      </c>
      <c r="O108" s="144" t="str">
        <f>IF($P108&lt;&gt;"",IF(MAXIFS(Investment!$AG:$AG,Investment!$D:$D,LEFT($P108,40)&amp;"*"),MAXIFS(Investment!$AG:$AG,Investment!$D:$D,LEFT($P108,40)&amp;"*"),""),"")</f>
        <v/>
      </c>
      <c r="P108" s="135"/>
      <c r="Q108" s="136"/>
      <c r="R108" s="134"/>
    </row>
    <row r="109">
      <c r="A109" s="125">
        <v>43474.0</v>
      </c>
      <c r="B109" s="56" t="s">
        <v>307</v>
      </c>
      <c r="C109" s="56" t="s">
        <v>308</v>
      </c>
      <c r="D109" s="56" t="s">
        <v>263</v>
      </c>
      <c r="E109" s="51"/>
      <c r="F109" s="223" t="str">
        <f t="shared" si="107"/>
        <v/>
      </c>
      <c r="G109" s="132">
        <v>-2.29</v>
      </c>
      <c r="H109" s="133" t="s">
        <v>509</v>
      </c>
      <c r="I109" s="134">
        <f t="shared" ref="I109:J109" si="112">IFS(AND($B109&lt;&gt;"",$E109&lt;&gt;""),IF(INDEX(N:N,MATCH($C109,$P:$P,0),1)&lt;&gt;"",$E109*INDEX(N:N,MATCH($C109,$P:$P,0),1)+$G109,""),AND($B109&lt;&gt;"",$D109="COST"),$G109,TRUE,)</f>
        <v>-2.29</v>
      </c>
      <c r="J109" s="134">
        <f t="shared" si="112"/>
        <v>-2.29</v>
      </c>
      <c r="K109" s="219" t="str">
        <f t="shared" si="3"/>
        <v>Vanguard S&amp;P 500 UCITS ETF</v>
      </c>
      <c r="L109" s="150">
        <f t="shared" si="4"/>
        <v>4429</v>
      </c>
      <c r="M109" s="150">
        <f t="shared" si="5"/>
        <v>-189831.65</v>
      </c>
      <c r="N109" s="139" t="str">
        <f t="array" ref="N109">IF($P109&lt;&gt;"",IF(MAXIFS(Investment!$L:$L,Investment!$D:$D,LEFT($P109,40)&amp;"*"),MAXIFS(Investment!$L:$L,Investment!$D:$D,LEFT($P109,40)&amp;"*"),IFERROR(INDEX(Selection!$H:$H, MATCH($P109,Selection!$F:$F,0))/IF(OR(INDEX(Selection!$C:$C, MATCH($P109,Selection!$F:$F,0))="LN",INDEX(Selection!$C:$C, MATCH($P109,Selection!$F:$F,0))="US"),Investment!$K$7,1),"")),"")</f>
        <v/>
      </c>
      <c r="O109" s="144" t="str">
        <f>IF($P109&lt;&gt;"",IF(MAXIFS(Investment!$AG:$AG,Investment!$D:$D,LEFT($P109,40)&amp;"*"),MAXIFS(Investment!$AG:$AG,Investment!$D:$D,LEFT($P109,40)&amp;"*"),""),"")</f>
        <v/>
      </c>
      <c r="P109" s="135"/>
      <c r="Q109" s="136"/>
      <c r="R109" s="134"/>
    </row>
    <row r="110">
      <c r="A110" s="125">
        <v>43474.0</v>
      </c>
      <c r="B110" s="56" t="s">
        <v>307</v>
      </c>
      <c r="C110" s="56" t="s">
        <v>308</v>
      </c>
      <c r="D110" s="56" t="s">
        <v>245</v>
      </c>
      <c r="E110" s="51">
        <v>-34.0</v>
      </c>
      <c r="F110" s="223">
        <f t="shared" si="107"/>
        <v>42.74</v>
      </c>
      <c r="G110" s="132">
        <v>1453.16</v>
      </c>
      <c r="H110" s="133" t="s">
        <v>510</v>
      </c>
      <c r="I110" s="134">
        <f t="shared" ref="I110:J110" si="113">IFS(AND($B110&lt;&gt;"",$E110&lt;&gt;""),IF(INDEX(N:N,MATCH($C110,$P:$P,0),1)&lt;&gt;"",$E110*INDEX(N:N,MATCH($C110,$P:$P,0),1)+$G110,""),AND($B110&lt;&gt;"",$D110="COST"),$G110,TRUE,)</f>
        <v>-179.86</v>
      </c>
      <c r="J110" s="134">
        <f t="shared" si="113"/>
        <v>-108.3576</v>
      </c>
      <c r="K110" s="219" t="str">
        <f t="shared" si="3"/>
        <v>Vanguard S&amp;P 500 UCITS ETF</v>
      </c>
      <c r="L110" s="150">
        <f t="shared" si="4"/>
        <v>4429</v>
      </c>
      <c r="M110" s="150">
        <f t="shared" si="5"/>
        <v>-189831.65</v>
      </c>
      <c r="N110" s="139" t="str">
        <f t="array" ref="N110">IF($P110&lt;&gt;"",IF(MAXIFS(Investment!$L:$L,Investment!$D:$D,LEFT($P110,40)&amp;"*"),MAXIFS(Investment!$L:$L,Investment!$D:$D,LEFT($P110,40)&amp;"*"),IFERROR(INDEX(Selection!$H:$H, MATCH($P110,Selection!$F:$F,0))/IF(OR(INDEX(Selection!$C:$C, MATCH($P110,Selection!$F:$F,0))="LN",INDEX(Selection!$C:$C, MATCH($P110,Selection!$F:$F,0))="US"),Investment!$K$7,1),"")),"")</f>
        <v/>
      </c>
      <c r="O110" s="144" t="str">
        <f>IF($P110&lt;&gt;"",IF(MAXIFS(Investment!$AG:$AG,Investment!$D:$D,LEFT($P110,40)&amp;"*"),MAXIFS(Investment!$AG:$AG,Investment!$D:$D,LEFT($P110,40)&amp;"*"),""),"")</f>
        <v/>
      </c>
      <c r="P110" s="135"/>
      <c r="Q110" s="136"/>
      <c r="R110" s="134"/>
    </row>
    <row r="111">
      <c r="A111" s="125">
        <v>43473.0</v>
      </c>
      <c r="B111" s="56" t="s">
        <v>243</v>
      </c>
      <c r="C111" s="56" t="s">
        <v>403</v>
      </c>
      <c r="D111" s="56" t="s">
        <v>263</v>
      </c>
      <c r="E111" s="51"/>
      <c r="F111" s="223" t="str">
        <f t="shared" si="107"/>
        <v/>
      </c>
      <c r="G111" s="132">
        <v>-2.53</v>
      </c>
      <c r="H111" s="133" t="s">
        <v>511</v>
      </c>
      <c r="I111" s="134">
        <f t="shared" ref="I111:J111" si="114">IFS(AND($B111&lt;&gt;"",$E111&lt;&gt;""),IF(INDEX(N:N,MATCH($C111,$P:$P,0),1)&lt;&gt;"",$E111*INDEX(N:N,MATCH($C111,$P:$P,0),1)+$G111,""),AND($B111&lt;&gt;"",$D111="COST"),$G111,TRUE,)</f>
        <v>-2.53</v>
      </c>
      <c r="J111" s="134">
        <f t="shared" si="114"/>
        <v>-2.53</v>
      </c>
      <c r="K111" s="219" t="str">
        <f t="shared" si="3"/>
        <v>iShares USD Treasury Bond 20+yr UCITS ETF USD Dist</v>
      </c>
      <c r="L111" s="150">
        <f t="shared" si="4"/>
        <v>0</v>
      </c>
      <c r="M111" s="150">
        <f t="shared" si="5"/>
        <v>27424.23</v>
      </c>
      <c r="N111" s="139" t="str">
        <f t="array" ref="N111">IF($P111&lt;&gt;"",IF(MAXIFS(Investment!$L:$L,Investment!$D:$D,LEFT($P111,40)&amp;"*"),MAXIFS(Investment!$L:$L,Investment!$D:$D,LEFT($P111,40)&amp;"*"),IFERROR(INDEX(Selection!$H:$H, MATCH($P111,Selection!$F:$F,0))/IF(OR(INDEX(Selection!$C:$C, MATCH($P111,Selection!$F:$F,0))="LN",INDEX(Selection!$C:$C, MATCH($P111,Selection!$F:$F,0))="US"),Investment!$K$7,1),"")),"")</f>
        <v/>
      </c>
      <c r="O111" s="144" t="str">
        <f>IF($P111&lt;&gt;"",IF(MAXIFS(Investment!$AG:$AG,Investment!$D:$D,LEFT($P111,40)&amp;"*"),MAXIFS(Investment!$AG:$AG,Investment!$D:$D,LEFT($P111,40)&amp;"*"),""),"")</f>
        <v/>
      </c>
      <c r="P111" s="135"/>
      <c r="Q111" s="136"/>
      <c r="R111" s="134"/>
    </row>
    <row r="112">
      <c r="A112" s="125">
        <v>43473.0</v>
      </c>
      <c r="B112" s="56" t="s">
        <v>243</v>
      </c>
      <c r="C112" s="56" t="s">
        <v>403</v>
      </c>
      <c r="D112" s="56" t="s">
        <v>222</v>
      </c>
      <c r="E112" s="51">
        <v>666.0</v>
      </c>
      <c r="F112" s="223">
        <f t="shared" si="107"/>
        <v>3.982507508</v>
      </c>
      <c r="G112" s="132">
        <v>-2652.35</v>
      </c>
      <c r="H112" s="133" t="s">
        <v>512</v>
      </c>
      <c r="I112" s="134">
        <f t="shared" ref="I112:J112" si="115">IFS(AND($B112&lt;&gt;"",$E112&lt;&gt;""),IF(INDEX(N:N,MATCH($C112,$P:$P,0),1)&lt;&gt;"",$E112*INDEX(N:N,MATCH($C112,$P:$P,0),1)+$G112,""),AND($B112&lt;&gt;"",$D112="COST"),$G112,TRUE,)</f>
        <v>154.7068</v>
      </c>
      <c r="J112" s="134">
        <f t="shared" si="115"/>
        <v>-41.46336941</v>
      </c>
      <c r="K112" s="219" t="str">
        <f t="shared" si="3"/>
        <v>iShares USD Treasury Bond 20+yr UCITS ETF USD Dist</v>
      </c>
      <c r="L112" s="150">
        <f t="shared" si="4"/>
        <v>0</v>
      </c>
      <c r="M112" s="150">
        <f t="shared" si="5"/>
        <v>27424.23</v>
      </c>
      <c r="N112" s="139" t="str">
        <f t="array" ref="N112">IF($P112&lt;&gt;"",IF(MAXIFS(Investment!$L:$L,Investment!$D:$D,LEFT($P112,40)&amp;"*"),MAXIFS(Investment!$L:$L,Investment!$D:$D,LEFT($P112,40)&amp;"*"),IFERROR(INDEX(Selection!$H:$H, MATCH($P112,Selection!$F:$F,0))/IF(OR(INDEX(Selection!$C:$C, MATCH($P112,Selection!$F:$F,0))="LN",INDEX(Selection!$C:$C, MATCH($P112,Selection!$F:$F,0))="US"),Investment!$K$7,1),"")),"")</f>
        <v/>
      </c>
      <c r="O112" s="144" t="str">
        <f>IF($P112&lt;&gt;"",IF(MAXIFS(Investment!$AG:$AG,Investment!$D:$D,LEFT($P112,40)&amp;"*"),MAXIFS(Investment!$AG:$AG,Investment!$D:$D,LEFT($P112,40)&amp;"*"),""),"")</f>
        <v/>
      </c>
      <c r="P112" s="135"/>
      <c r="Q112" s="136"/>
      <c r="R112" s="134"/>
    </row>
    <row r="113">
      <c r="A113" s="125">
        <v>43473.0</v>
      </c>
      <c r="B113" s="56" t="s">
        <v>277</v>
      </c>
      <c r="C113" s="56" t="s">
        <v>278</v>
      </c>
      <c r="D113" s="56" t="s">
        <v>222</v>
      </c>
      <c r="E113" s="51">
        <v>14.0</v>
      </c>
      <c r="F113" s="223">
        <f t="shared" si="107"/>
        <v>167.51</v>
      </c>
      <c r="G113" s="132">
        <v>-2345.14</v>
      </c>
      <c r="H113" s="133" t="s">
        <v>513</v>
      </c>
      <c r="I113" s="134">
        <f t="shared" ref="I113:J113" si="116">IFS(AND($B113&lt;&gt;"",$E113&lt;&gt;""),IF(INDEX(N:N,MATCH($C113,$P:$P,0),1)&lt;&gt;"",$E113*INDEX(N:N,MATCH($C113,$P:$P,0),1)+$G113,""),AND($B113&lt;&gt;"",$D113="COST"),$G113,TRUE,)</f>
        <v>125.72</v>
      </c>
      <c r="J113" s="134">
        <f t="shared" si="116"/>
        <v>-26.29035294</v>
      </c>
      <c r="K113" s="219" t="str">
        <f t="shared" si="3"/>
        <v>iShares USD Treasury Bond 7-10yr UCITS ETF</v>
      </c>
      <c r="L113" s="150">
        <f t="shared" si="4"/>
        <v>622</v>
      </c>
      <c r="M113" s="150">
        <f t="shared" si="5"/>
        <v>-96952.49</v>
      </c>
      <c r="N113" s="139" t="str">
        <f t="array" ref="N113">IF($P113&lt;&gt;"",IF(MAXIFS(Investment!$L:$L,Investment!$D:$D,LEFT($P113,40)&amp;"*"),MAXIFS(Investment!$L:$L,Investment!$D:$D,LEFT($P113,40)&amp;"*"),IFERROR(INDEX(Selection!$H:$H, MATCH($P113,Selection!$F:$F,0))/IF(OR(INDEX(Selection!$C:$C, MATCH($P113,Selection!$F:$F,0))="LN",INDEX(Selection!$C:$C, MATCH($P113,Selection!$F:$F,0))="US"),Investment!$K$7,1),"")),"")</f>
        <v/>
      </c>
      <c r="O113" s="144" t="str">
        <f>IF($P113&lt;&gt;"",IF(MAXIFS(Investment!$AG:$AG,Investment!$D:$D,LEFT($P113,40)&amp;"*"),MAXIFS(Investment!$AG:$AG,Investment!$D:$D,LEFT($P113,40)&amp;"*"),""),"")</f>
        <v/>
      </c>
      <c r="P113" s="135"/>
      <c r="Q113" s="136"/>
      <c r="R113" s="134"/>
    </row>
    <row r="114">
      <c r="A114" s="125">
        <v>43473.0</v>
      </c>
      <c r="B114" s="56" t="s">
        <v>277</v>
      </c>
      <c r="C114" s="56" t="s">
        <v>278</v>
      </c>
      <c r="D114" s="56" t="s">
        <v>263</v>
      </c>
      <c r="E114" s="51"/>
      <c r="F114" s="223" t="str">
        <f t="shared" si="107"/>
        <v/>
      </c>
      <c r="G114" s="132">
        <v>-2.47</v>
      </c>
      <c r="H114" s="133" t="s">
        <v>514</v>
      </c>
      <c r="I114" s="134">
        <f t="shared" ref="I114:J114" si="117">IFS(AND($B114&lt;&gt;"",$E114&lt;&gt;""),IF(INDEX(N:N,MATCH($C114,$P:$P,0),1)&lt;&gt;"",$E114*INDEX(N:N,MATCH($C114,$P:$P,0),1)+$G114,""),AND($B114&lt;&gt;"",$D114="COST"),$G114,TRUE,)</f>
        <v>-2.47</v>
      </c>
      <c r="J114" s="134">
        <f t="shared" si="117"/>
        <v>-2.47</v>
      </c>
      <c r="K114" s="219" t="str">
        <f t="shared" si="3"/>
        <v>iShares USD Treasury Bond 7-10yr UCITS ETF</v>
      </c>
      <c r="L114" s="150">
        <f t="shared" si="4"/>
        <v>622</v>
      </c>
      <c r="M114" s="150">
        <f t="shared" si="5"/>
        <v>-96952.49</v>
      </c>
      <c r="N114" s="139" t="str">
        <f t="array" ref="N114">IF($P114&lt;&gt;"",IF(MAXIFS(Investment!$L:$L,Investment!$D:$D,LEFT($P114,40)&amp;"*"),MAXIFS(Investment!$L:$L,Investment!$D:$D,LEFT($P114,40)&amp;"*"),IFERROR(INDEX(Selection!$H:$H, MATCH($P114,Selection!$F:$F,0))/IF(OR(INDEX(Selection!$C:$C, MATCH($P114,Selection!$F:$F,0))="LN",INDEX(Selection!$C:$C, MATCH($P114,Selection!$F:$F,0))="US"),Investment!$K$7,1),"")),"")</f>
        <v/>
      </c>
      <c r="O114" s="144" t="str">
        <f>IF($P114&lt;&gt;"",IF(MAXIFS(Investment!$AG:$AG,Investment!$D:$D,LEFT($P114,40)&amp;"*"),MAXIFS(Investment!$AG:$AG,Investment!$D:$D,LEFT($P114,40)&amp;"*"),""),"")</f>
        <v/>
      </c>
      <c r="P114" s="135"/>
      <c r="Q114" s="136"/>
      <c r="R114" s="134"/>
    </row>
    <row r="115">
      <c r="A115" s="125">
        <v>43473.0</v>
      </c>
      <c r="B115" s="56" t="s">
        <v>277</v>
      </c>
      <c r="C115" s="56" t="s">
        <v>278</v>
      </c>
      <c r="D115" s="56" t="s">
        <v>222</v>
      </c>
      <c r="E115" s="51">
        <v>14.0</v>
      </c>
      <c r="F115" s="223">
        <f t="shared" si="107"/>
        <v>167.59</v>
      </c>
      <c r="G115" s="132">
        <v>-2346.26</v>
      </c>
      <c r="H115" s="133" t="s">
        <v>526</v>
      </c>
      <c r="I115" s="134">
        <f t="shared" ref="I115:J115" si="118">IFS(AND($B115&lt;&gt;"",$E115&lt;&gt;""),IF(INDEX(N:N,MATCH($C115,$P:$P,0),1)&lt;&gt;"",$E115*INDEX(N:N,MATCH($C115,$P:$P,0),1)+$G115,""),AND($B115&lt;&gt;"",$D115="COST"),$G115,TRUE,)</f>
        <v>124.6</v>
      </c>
      <c r="J115" s="134">
        <f t="shared" si="118"/>
        <v>-27.41035294</v>
      </c>
      <c r="K115" s="219" t="str">
        <f t="shared" si="3"/>
        <v>iShares USD Treasury Bond 7-10yr UCITS ETF</v>
      </c>
      <c r="L115" s="150">
        <f t="shared" si="4"/>
        <v>622</v>
      </c>
      <c r="M115" s="150">
        <f t="shared" si="5"/>
        <v>-96952.49</v>
      </c>
      <c r="N115" s="139" t="str">
        <f t="array" ref="N115">IF($P115&lt;&gt;"",IF(MAXIFS(Investment!$L:$L,Investment!$D:$D,LEFT($P115,40)&amp;"*"),MAXIFS(Investment!$L:$L,Investment!$D:$D,LEFT($P115,40)&amp;"*"),IFERROR(INDEX(Selection!$H:$H, MATCH($P115,Selection!$F:$F,0))/IF(OR(INDEX(Selection!$C:$C, MATCH($P115,Selection!$F:$F,0))="LN",INDEX(Selection!$C:$C, MATCH($P115,Selection!$F:$F,0))="US"),Investment!$K$7,1),"")),"")</f>
        <v/>
      </c>
      <c r="O115" s="144" t="str">
        <f>IF($P115&lt;&gt;"",IF(MAXIFS(Investment!$AG:$AG,Investment!$D:$D,LEFT($P115,40)&amp;"*"),MAXIFS(Investment!$AG:$AG,Investment!$D:$D,LEFT($P115,40)&amp;"*"),""),"")</f>
        <v/>
      </c>
      <c r="P115" s="135"/>
      <c r="Q115" s="136"/>
      <c r="R115" s="134"/>
    </row>
    <row r="116">
      <c r="A116" s="125">
        <v>43473.0</v>
      </c>
      <c r="B116" s="56" t="s">
        <v>277</v>
      </c>
      <c r="C116" s="56" t="s">
        <v>278</v>
      </c>
      <c r="D116" s="56" t="s">
        <v>245</v>
      </c>
      <c r="E116" s="51">
        <v>-7.0</v>
      </c>
      <c r="F116" s="223">
        <f t="shared" si="107"/>
        <v>167.39</v>
      </c>
      <c r="G116" s="132">
        <v>1171.73</v>
      </c>
      <c r="H116" s="133" t="s">
        <v>530</v>
      </c>
      <c r="I116" s="134">
        <f t="shared" ref="I116:J116" si="119">IFS(AND($B116&lt;&gt;"",$E116&lt;&gt;""),IF(INDEX(N:N,MATCH($C116,$P:$P,0),1)&lt;&gt;"",$E116*INDEX(N:N,MATCH($C116,$P:$P,0),1)+$G116,""),AND($B116&lt;&gt;"",$D116="COST"),$G116,TRUE,)</f>
        <v>-63.7</v>
      </c>
      <c r="J116" s="134">
        <f t="shared" si="119"/>
        <v>12.30517647</v>
      </c>
      <c r="K116" s="219" t="str">
        <f t="shared" si="3"/>
        <v>iShares USD Treasury Bond 7-10yr UCITS ETF</v>
      </c>
      <c r="L116" s="150">
        <f t="shared" si="4"/>
        <v>622</v>
      </c>
      <c r="M116" s="150">
        <f t="shared" si="5"/>
        <v>-96952.49</v>
      </c>
      <c r="N116" s="139" t="str">
        <f t="array" ref="N116">IF($P116&lt;&gt;"",IF(MAXIFS(Investment!$L:$L,Investment!$D:$D,LEFT($P116,40)&amp;"*"),MAXIFS(Investment!$L:$L,Investment!$D:$D,LEFT($P116,40)&amp;"*"),IFERROR(INDEX(Selection!$H:$H, MATCH($P116,Selection!$F:$F,0))/IF(OR(INDEX(Selection!$C:$C, MATCH($P116,Selection!$F:$F,0))="LN",INDEX(Selection!$C:$C, MATCH($P116,Selection!$F:$F,0))="US"),Investment!$K$7,1),"")),"")</f>
        <v/>
      </c>
      <c r="O116" s="144" t="str">
        <f>IF($P116&lt;&gt;"",IF(MAXIFS(Investment!$AG:$AG,Investment!$D:$D,LEFT($P116,40)&amp;"*"),MAXIFS(Investment!$AG:$AG,Investment!$D:$D,LEFT($P116,40)&amp;"*"),""),"")</f>
        <v/>
      </c>
      <c r="P116" s="135"/>
      <c r="Q116" s="136"/>
      <c r="R116" s="134"/>
    </row>
    <row r="117">
      <c r="A117" s="125">
        <v>43473.0</v>
      </c>
      <c r="B117" s="56" t="s">
        <v>277</v>
      </c>
      <c r="C117" s="56" t="s">
        <v>278</v>
      </c>
      <c r="D117" s="56" t="s">
        <v>263</v>
      </c>
      <c r="E117" s="51"/>
      <c r="F117" s="223" t="str">
        <f t="shared" si="107"/>
        <v/>
      </c>
      <c r="G117" s="132">
        <v>-2.23</v>
      </c>
      <c r="H117" s="133" t="s">
        <v>531</v>
      </c>
      <c r="I117" s="134">
        <f t="shared" ref="I117:J117" si="120">IFS(AND($B117&lt;&gt;"",$E117&lt;&gt;""),IF(INDEX(N:N,MATCH($C117,$P:$P,0),1)&lt;&gt;"",$E117*INDEX(N:N,MATCH($C117,$P:$P,0),1)+$G117,""),AND($B117&lt;&gt;"",$D117="COST"),$G117,TRUE,)</f>
        <v>-2.23</v>
      </c>
      <c r="J117" s="134">
        <f t="shared" si="120"/>
        <v>-2.23</v>
      </c>
      <c r="K117" s="219" t="str">
        <f t="shared" si="3"/>
        <v>iShares USD Treasury Bond 7-10yr UCITS ETF</v>
      </c>
      <c r="L117" s="150">
        <f t="shared" si="4"/>
        <v>622</v>
      </c>
      <c r="M117" s="150">
        <f t="shared" si="5"/>
        <v>-96952.49</v>
      </c>
      <c r="N117" s="139" t="str">
        <f t="array" ref="N117">IF($P117&lt;&gt;"",IF(MAXIFS(Investment!$L:$L,Investment!$D:$D,LEFT($P117,40)&amp;"*"),MAXIFS(Investment!$L:$L,Investment!$D:$D,LEFT($P117,40)&amp;"*"),IFERROR(INDEX(Selection!$H:$H, MATCH($P117,Selection!$F:$F,0))/IF(OR(INDEX(Selection!$C:$C, MATCH($P117,Selection!$F:$F,0))="LN",INDEX(Selection!$C:$C, MATCH($P117,Selection!$F:$F,0))="US"),Investment!$K$7,1),"")),"")</f>
        <v/>
      </c>
      <c r="O117" s="144" t="str">
        <f>IF($P117&lt;&gt;"",IF(MAXIFS(Investment!$AG:$AG,Investment!$D:$D,LEFT($P117,40)&amp;"*"),MAXIFS(Investment!$AG:$AG,Investment!$D:$D,LEFT($P117,40)&amp;"*"),""),"")</f>
        <v/>
      </c>
      <c r="P117" s="135"/>
      <c r="Q117" s="136"/>
      <c r="R117" s="134"/>
    </row>
    <row r="118">
      <c r="A118" s="125">
        <v>43473.0</v>
      </c>
      <c r="B118" s="56" t="s">
        <v>307</v>
      </c>
      <c r="C118" s="56" t="s">
        <v>308</v>
      </c>
      <c r="D118" s="56" t="s">
        <v>245</v>
      </c>
      <c r="E118" s="51">
        <v>-110.0</v>
      </c>
      <c r="F118" s="223">
        <f t="shared" si="107"/>
        <v>42.536</v>
      </c>
      <c r="G118" s="132">
        <v>4678.96</v>
      </c>
      <c r="H118" s="133" t="s">
        <v>552</v>
      </c>
      <c r="I118" s="134">
        <f t="shared" ref="I118:J118" si="121">IFS(AND($B118&lt;&gt;"",$E118&lt;&gt;""),IF(INDEX(N:N,MATCH($C118,$P:$P,0),1)&lt;&gt;"",$E118*INDEX(N:N,MATCH($C118,$P:$P,0),1)+$G118,""),AND($B118&lt;&gt;"",$D118="COST"),$G118,TRUE,)</f>
        <v>-604.34</v>
      </c>
      <c r="J118" s="134">
        <f t="shared" si="121"/>
        <v>-373.0087059</v>
      </c>
      <c r="K118" s="219" t="str">
        <f t="shared" si="3"/>
        <v>Vanguard S&amp;P 500 UCITS ETF</v>
      </c>
      <c r="L118" s="150">
        <f t="shared" si="4"/>
        <v>4429</v>
      </c>
      <c r="M118" s="150">
        <f t="shared" si="5"/>
        <v>-189831.65</v>
      </c>
      <c r="N118" s="139" t="str">
        <f t="array" ref="N118">IF($P118&lt;&gt;"",IF(MAXIFS(Investment!$L:$L,Investment!$D:$D,LEFT($P118,40)&amp;"*"),MAXIFS(Investment!$L:$L,Investment!$D:$D,LEFT($P118,40)&amp;"*"),IFERROR(INDEX(Selection!$H:$H, MATCH($P118,Selection!$F:$F,0))/IF(OR(INDEX(Selection!$C:$C, MATCH($P118,Selection!$F:$F,0))="LN",INDEX(Selection!$C:$C, MATCH($P118,Selection!$F:$F,0))="US"),Investment!$K$7,1),"")),"")</f>
        <v/>
      </c>
      <c r="O118" s="144" t="str">
        <f>IF($P118&lt;&gt;"",IF(MAXIFS(Investment!$AG:$AG,Investment!$D:$D,LEFT($P118,40)&amp;"*"),MAXIFS(Investment!$AG:$AG,Investment!$D:$D,LEFT($P118,40)&amp;"*"),""),"")</f>
        <v/>
      </c>
      <c r="P118" s="135"/>
      <c r="Q118" s="136"/>
      <c r="R118" s="134"/>
    </row>
    <row r="119">
      <c r="A119" s="125">
        <v>43473.0</v>
      </c>
      <c r="B119" s="56" t="s">
        <v>307</v>
      </c>
      <c r="C119" s="56" t="s">
        <v>308</v>
      </c>
      <c r="D119" s="56" t="s">
        <v>263</v>
      </c>
      <c r="E119" s="51"/>
      <c r="F119" s="223" t="str">
        <f t="shared" si="107"/>
        <v/>
      </c>
      <c r="G119" s="132">
        <v>-2.94</v>
      </c>
      <c r="H119" s="133" t="s">
        <v>570</v>
      </c>
      <c r="I119" s="134">
        <f t="shared" ref="I119:J119" si="122">IFS(AND($B119&lt;&gt;"",$E119&lt;&gt;""),IF(INDEX(N:N,MATCH($C119,$P:$P,0),1)&lt;&gt;"",$E119*INDEX(N:N,MATCH($C119,$P:$P,0),1)+$G119,""),AND($B119&lt;&gt;"",$D119="COST"),$G119,TRUE,)</f>
        <v>-2.94</v>
      </c>
      <c r="J119" s="134">
        <f t="shared" si="122"/>
        <v>-2.94</v>
      </c>
      <c r="K119" s="219" t="str">
        <f t="shared" si="3"/>
        <v>Vanguard S&amp;P 500 UCITS ETF</v>
      </c>
      <c r="L119" s="150">
        <f t="shared" si="4"/>
        <v>4429</v>
      </c>
      <c r="M119" s="150">
        <f t="shared" si="5"/>
        <v>-189831.65</v>
      </c>
      <c r="N119" s="139" t="str">
        <f t="array" ref="N119">IF($P119&lt;&gt;"",IF(MAXIFS(Investment!$L:$L,Investment!$D:$D,LEFT($P119,40)&amp;"*"),MAXIFS(Investment!$L:$L,Investment!$D:$D,LEFT($P119,40)&amp;"*"),IFERROR(INDEX(Selection!$H:$H, MATCH($P119,Selection!$F:$F,0))/IF(OR(INDEX(Selection!$C:$C, MATCH($P119,Selection!$F:$F,0))="LN",INDEX(Selection!$C:$C, MATCH($P119,Selection!$F:$F,0))="US"),Investment!$K$7,1),"")),"")</f>
        <v/>
      </c>
      <c r="O119" s="144" t="str">
        <f>IF($P119&lt;&gt;"",IF(MAXIFS(Investment!$AG:$AG,Investment!$D:$D,LEFT($P119,40)&amp;"*"),MAXIFS(Investment!$AG:$AG,Investment!$D:$D,LEFT($P119,40)&amp;"*"),""),"")</f>
        <v/>
      </c>
      <c r="P119" s="135"/>
      <c r="Q119" s="136"/>
      <c r="R119" s="134"/>
    </row>
    <row r="120">
      <c r="A120" s="125">
        <v>43473.0</v>
      </c>
      <c r="B120" s="56" t="s">
        <v>243</v>
      </c>
      <c r="C120" s="56" t="s">
        <v>403</v>
      </c>
      <c r="D120" s="56" t="s">
        <v>263</v>
      </c>
      <c r="E120" s="51"/>
      <c r="F120" s="223" t="str">
        <f t="shared" si="107"/>
        <v/>
      </c>
      <c r="G120" s="132">
        <v>-4.42</v>
      </c>
      <c r="H120" s="133" t="s">
        <v>630</v>
      </c>
      <c r="I120" s="134">
        <f t="shared" ref="I120:J120" si="123">IFS(AND($B120&lt;&gt;"",$E120&lt;&gt;""),IF(INDEX(N:N,MATCH($C120,$P:$P,0),1)&lt;&gt;"",$E120*INDEX(N:N,MATCH($C120,$P:$P,0),1)+$G120,""),AND($B120&lt;&gt;"",$D120="COST"),$G120,TRUE,)</f>
        <v>-4.42</v>
      </c>
      <c r="J120" s="134">
        <f t="shared" si="123"/>
        <v>-4.42</v>
      </c>
      <c r="K120" s="219" t="str">
        <f t="shared" si="3"/>
        <v>iShares USD Treasury Bond 20+yr UCITS ETF USD Dist</v>
      </c>
      <c r="L120" s="150">
        <f t="shared" si="4"/>
        <v>0</v>
      </c>
      <c r="M120" s="150">
        <f t="shared" si="5"/>
        <v>27424.23</v>
      </c>
      <c r="N120" s="139" t="str">
        <f t="array" ref="N120">IF($P120&lt;&gt;"",IF(MAXIFS(Investment!$L:$L,Investment!$D:$D,LEFT($P120,40)&amp;"*"),MAXIFS(Investment!$L:$L,Investment!$D:$D,LEFT($P120,40)&amp;"*"),IFERROR(INDEX(Selection!$H:$H, MATCH($P120,Selection!$F:$F,0))/IF(OR(INDEX(Selection!$C:$C, MATCH($P120,Selection!$F:$F,0))="LN",INDEX(Selection!$C:$C, MATCH($P120,Selection!$F:$F,0))="US"),Investment!$K$7,1),"")),"")</f>
        <v/>
      </c>
      <c r="O120" s="144" t="str">
        <f>IF($P120&lt;&gt;"",IF(MAXIFS(Investment!$AG:$AG,Investment!$D:$D,LEFT($P120,40)&amp;"*"),MAXIFS(Investment!$AG:$AG,Investment!$D:$D,LEFT($P120,40)&amp;"*"),""),"")</f>
        <v/>
      </c>
      <c r="P120" s="135"/>
      <c r="Q120" s="136"/>
      <c r="R120" s="134"/>
    </row>
    <row r="121">
      <c r="A121" s="125">
        <v>43473.0</v>
      </c>
      <c r="B121" s="56" t="s">
        <v>243</v>
      </c>
      <c r="C121" s="56" t="s">
        <v>403</v>
      </c>
      <c r="D121" s="56" t="s">
        <v>222</v>
      </c>
      <c r="E121" s="51">
        <v>3038.0</v>
      </c>
      <c r="F121" s="223">
        <f t="shared" si="107"/>
        <v>3.98817314</v>
      </c>
      <c r="G121" s="132">
        <v>-12116.07</v>
      </c>
      <c r="H121" s="133" t="s">
        <v>647</v>
      </c>
      <c r="I121" s="134">
        <f t="shared" ref="I121:J121" si="124">IFS(AND($B121&lt;&gt;"",$E121&lt;&gt;""),IF(INDEX(N:N,MATCH($C121,$P:$P,0),1)&lt;&gt;"",$E121*INDEX(N:N,MATCH($C121,$P:$P,0),1)+$G121,""),AND($B121&lt;&gt;"",$D121="COST"),$G121,TRUE,)</f>
        <v>688.4924</v>
      </c>
      <c r="J121" s="134">
        <f t="shared" si="124"/>
        <v>-206.3499043</v>
      </c>
      <c r="K121" s="219" t="str">
        <f t="shared" si="3"/>
        <v>iShares USD Treasury Bond 20+yr UCITS ETF USD Dist</v>
      </c>
      <c r="L121" s="150">
        <f t="shared" si="4"/>
        <v>0</v>
      </c>
      <c r="M121" s="150">
        <f t="shared" si="5"/>
        <v>27424.23</v>
      </c>
      <c r="N121" s="139" t="str">
        <f t="array" ref="N121">IF($P121&lt;&gt;"",IF(MAXIFS(Investment!$L:$L,Investment!$D:$D,LEFT($P121,40)&amp;"*"),MAXIFS(Investment!$L:$L,Investment!$D:$D,LEFT($P121,40)&amp;"*"),IFERROR(INDEX(Selection!$H:$H, MATCH($P121,Selection!$F:$F,0))/IF(OR(INDEX(Selection!$C:$C, MATCH($P121,Selection!$F:$F,0))="LN",INDEX(Selection!$C:$C, MATCH($P121,Selection!$F:$F,0))="US"),Investment!$K$7,1),"")),"")</f>
        <v/>
      </c>
      <c r="O121" s="144" t="str">
        <f>IF($P121&lt;&gt;"",IF(MAXIFS(Investment!$AG:$AG,Investment!$D:$D,LEFT($P121,40)&amp;"*"),MAXIFS(Investment!$AG:$AG,Investment!$D:$D,LEFT($P121,40)&amp;"*"),""),"")</f>
        <v/>
      </c>
      <c r="P121" s="135"/>
      <c r="Q121" s="136"/>
      <c r="R121" s="134"/>
    </row>
    <row r="122">
      <c r="A122" s="125">
        <v>43473.0</v>
      </c>
      <c r="B122" s="56" t="s">
        <v>277</v>
      </c>
      <c r="C122" s="56" t="s">
        <v>278</v>
      </c>
      <c r="D122" s="56" t="s">
        <v>222</v>
      </c>
      <c r="E122" s="51">
        <v>14.0</v>
      </c>
      <c r="F122" s="223">
        <f t="shared" si="107"/>
        <v>167.5</v>
      </c>
      <c r="G122" s="132">
        <v>-2345.0</v>
      </c>
      <c r="H122" s="133" t="s">
        <v>664</v>
      </c>
      <c r="I122" s="134">
        <f t="shared" ref="I122:J122" si="125">IFS(AND($B122&lt;&gt;"",$E122&lt;&gt;""),IF(INDEX(N:N,MATCH($C122,$P:$P,0),1)&lt;&gt;"",$E122*INDEX(N:N,MATCH($C122,$P:$P,0),1)+$G122,""),AND($B122&lt;&gt;"",$D122="COST"),$G122,TRUE,)</f>
        <v>125.86</v>
      </c>
      <c r="J122" s="134">
        <f t="shared" si="125"/>
        <v>-26.15035294</v>
      </c>
      <c r="K122" s="219" t="str">
        <f t="shared" si="3"/>
        <v>iShares USD Treasury Bond 7-10yr UCITS ETF</v>
      </c>
      <c r="L122" s="150">
        <f t="shared" si="4"/>
        <v>622</v>
      </c>
      <c r="M122" s="150">
        <f t="shared" si="5"/>
        <v>-96952.49</v>
      </c>
      <c r="N122" s="139" t="str">
        <f t="array" ref="N122">IF($P122&lt;&gt;"",IF(MAXIFS(Investment!$L:$L,Investment!$D:$D,LEFT($P122,40)&amp;"*"),MAXIFS(Investment!$L:$L,Investment!$D:$D,LEFT($P122,40)&amp;"*"),IFERROR(INDEX(Selection!$H:$H, MATCH($P122,Selection!$F:$F,0))/IF(OR(INDEX(Selection!$C:$C, MATCH($P122,Selection!$F:$F,0))="LN",INDEX(Selection!$C:$C, MATCH($P122,Selection!$F:$F,0))="US"),Investment!$K$7,1),"")),"")</f>
        <v/>
      </c>
      <c r="O122" s="144" t="str">
        <f>IF($P122&lt;&gt;"",IF(MAXIFS(Investment!$AG:$AG,Investment!$D:$D,LEFT($P122,40)&amp;"*"),MAXIFS(Investment!$AG:$AG,Investment!$D:$D,LEFT($P122,40)&amp;"*"),""),"")</f>
        <v/>
      </c>
      <c r="P122" s="135"/>
      <c r="Q122" s="136"/>
      <c r="R122" s="134"/>
    </row>
    <row r="123">
      <c r="A123" s="125">
        <v>43469.0</v>
      </c>
      <c r="B123" s="56"/>
      <c r="C123" s="56"/>
      <c r="D123" s="56" t="s">
        <v>268</v>
      </c>
      <c r="E123" s="51"/>
      <c r="F123" s="223" t="str">
        <f t="shared" si="107"/>
        <v/>
      </c>
      <c r="G123" s="132">
        <v>-1500.0</v>
      </c>
      <c r="H123" s="133" t="s">
        <v>680</v>
      </c>
      <c r="I123" s="134" t="str">
        <f t="shared" ref="I123:J123" si="126">IFS(AND($B123&lt;&gt;"",$E123&lt;&gt;""),IF(INDEX(N:N,MATCH($C123,$P:$P,0),1)&lt;&gt;"",$E123*INDEX(N:N,MATCH($C123,$P:$P,0),1)+$G123,""),AND($B123&lt;&gt;"",$D123="COST"),$G123,TRUE,)</f>
        <v/>
      </c>
      <c r="J123" s="134" t="str">
        <f t="shared" si="126"/>
        <v/>
      </c>
      <c r="K123" s="219" t="str">
        <f t="shared" si="3"/>
        <v/>
      </c>
      <c r="L123" s="150" t="str">
        <f t="shared" si="4"/>
        <v/>
      </c>
      <c r="M123" s="150" t="str">
        <f t="shared" si="5"/>
        <v/>
      </c>
      <c r="N123" s="139" t="str">
        <f t="array" ref="N123">IF($P123&lt;&gt;"",IF(MAXIFS(Investment!$L:$L,Investment!$D:$D,LEFT($P123,40)&amp;"*"),MAXIFS(Investment!$L:$L,Investment!$D:$D,LEFT($P123,40)&amp;"*"),IFERROR(INDEX(Selection!$H:$H, MATCH($P123,Selection!$F:$F,0))/IF(OR(INDEX(Selection!$C:$C, MATCH($P123,Selection!$F:$F,0))="LN",INDEX(Selection!$C:$C, MATCH($P123,Selection!$F:$F,0))="US"),Investment!$K$7,1),"")),"")</f>
        <v/>
      </c>
      <c r="O123" s="144" t="str">
        <f>IF($P123&lt;&gt;"",IF(MAXIFS(Investment!$AG:$AG,Investment!$D:$D,LEFT($P123,40)&amp;"*"),MAXIFS(Investment!$AG:$AG,Investment!$D:$D,LEFT($P123,40)&amp;"*"),""),"")</f>
        <v/>
      </c>
      <c r="P123" s="135"/>
      <c r="Q123" s="136"/>
      <c r="R123" s="134"/>
    </row>
    <row r="124">
      <c r="A124" s="125">
        <v>43467.0</v>
      </c>
      <c r="B124" s="56"/>
      <c r="C124" s="56"/>
      <c r="D124" s="56" t="s">
        <v>263</v>
      </c>
      <c r="E124" s="51"/>
      <c r="F124" s="223" t="str">
        <f t="shared" si="107"/>
        <v/>
      </c>
      <c r="G124" s="132">
        <v>-534.69</v>
      </c>
      <c r="H124" s="133" t="s">
        <v>699</v>
      </c>
      <c r="I124" s="134" t="str">
        <f t="shared" ref="I124:J124" si="127">IFS(AND($B124&lt;&gt;"",$E124&lt;&gt;""),IF(INDEX(N:N,MATCH($C124,$P:$P,0),1)&lt;&gt;"",$E124*INDEX(N:N,MATCH($C124,$P:$P,0),1)+$G124,""),AND($B124&lt;&gt;"",$D124="COST"),$G124,TRUE,)</f>
        <v/>
      </c>
      <c r="J124" s="134" t="str">
        <f t="shared" si="127"/>
        <v/>
      </c>
      <c r="K124" s="219" t="str">
        <f t="shared" si="3"/>
        <v/>
      </c>
      <c r="L124" s="150" t="str">
        <f t="shared" si="4"/>
        <v/>
      </c>
      <c r="M124" s="150" t="str">
        <f t="shared" si="5"/>
        <v/>
      </c>
      <c r="N124" s="139" t="str">
        <f t="array" ref="N124">IF($P124&lt;&gt;"",IF(MAXIFS(Investment!$L:$L,Investment!$D:$D,LEFT($P124,40)&amp;"*"),MAXIFS(Investment!$L:$L,Investment!$D:$D,LEFT($P124,40)&amp;"*"),IFERROR(INDEX(Selection!$H:$H, MATCH($P124,Selection!$F:$F,0))/IF(OR(INDEX(Selection!$C:$C, MATCH($P124,Selection!$F:$F,0))="LN",INDEX(Selection!$C:$C, MATCH($P124,Selection!$F:$F,0))="US"),Investment!$K$7,1),"")),"")</f>
        <v/>
      </c>
      <c r="O124" s="144" t="str">
        <f>IF($P124&lt;&gt;"",IF(MAXIFS(Investment!$AG:$AG,Investment!$D:$D,LEFT($P124,40)&amp;"*"),MAXIFS(Investment!$AG:$AG,Investment!$D:$D,LEFT($P124,40)&amp;"*"),""),"")</f>
        <v/>
      </c>
      <c r="P124" s="135"/>
      <c r="Q124" s="136"/>
      <c r="R124" s="134"/>
    </row>
    <row r="125">
      <c r="A125" s="125">
        <v>43467.0</v>
      </c>
      <c r="B125" s="56" t="s">
        <v>217</v>
      </c>
      <c r="C125" s="56" t="s">
        <v>220</v>
      </c>
      <c r="D125" s="56" t="s">
        <v>222</v>
      </c>
      <c r="E125" s="51">
        <v>300.0</v>
      </c>
      <c r="F125" s="223">
        <f t="shared" si="107"/>
        <v>6.82</v>
      </c>
      <c r="G125" s="132">
        <v>-2046.0</v>
      </c>
      <c r="H125" s="133" t="s">
        <v>716</v>
      </c>
      <c r="I125" s="134">
        <f t="shared" ref="I125:J125" si="128">IFS(AND($B125&lt;&gt;"",$E125&lt;&gt;""),IF(INDEX(N:N,MATCH($C125,$P:$P,0),1)&lt;&gt;"",$E125*INDEX(N:N,MATCH($C125,$P:$P,0),1)+$G125,""),AND($B125&lt;&gt;"",$D125="COST"),$G125,TRUE,)</f>
        <v>106.5</v>
      </c>
      <c r="J125" s="134">
        <f t="shared" si="128"/>
        <v>173.1070588</v>
      </c>
      <c r="K125" s="219" t="str">
        <f t="shared" si="3"/>
        <v>ETFS All Commodities</v>
      </c>
      <c r="L125" s="150">
        <f t="shared" si="4"/>
        <v>8177</v>
      </c>
      <c r="M125" s="150">
        <f t="shared" si="5"/>
        <v>-60085.79</v>
      </c>
      <c r="N125" s="139" t="str">
        <f t="array" ref="N125">IF($P125&lt;&gt;"",IF(MAXIFS(Investment!$L:$L,Investment!$D:$D,LEFT($P125,40)&amp;"*"),MAXIFS(Investment!$L:$L,Investment!$D:$D,LEFT($P125,40)&amp;"*"),IFERROR(INDEX(Selection!$H:$H, MATCH($P125,Selection!$F:$F,0))/IF(OR(INDEX(Selection!$C:$C, MATCH($P125,Selection!$F:$F,0))="LN",INDEX(Selection!$C:$C, MATCH($P125,Selection!$F:$F,0))="US"),Investment!$K$7,1),"")),"")</f>
        <v/>
      </c>
      <c r="O125" s="144" t="str">
        <f>IF($P125&lt;&gt;"",IF(MAXIFS(Investment!$AG:$AG,Investment!$D:$D,LEFT($P125,40)&amp;"*"),MAXIFS(Investment!$AG:$AG,Investment!$D:$D,LEFT($P125,40)&amp;"*"),""),"")</f>
        <v/>
      </c>
      <c r="P125" s="135"/>
      <c r="Q125" s="136"/>
      <c r="R125" s="134"/>
    </row>
    <row r="126">
      <c r="A126" s="125">
        <v>43467.0</v>
      </c>
      <c r="B126" s="56" t="s">
        <v>307</v>
      </c>
      <c r="C126" s="56" t="s">
        <v>308</v>
      </c>
      <c r="D126" s="56" t="s">
        <v>222</v>
      </c>
      <c r="E126" s="51">
        <v>74.0</v>
      </c>
      <c r="F126" s="223">
        <f t="shared" si="107"/>
        <v>41.15</v>
      </c>
      <c r="G126" s="132">
        <v>-3045.1</v>
      </c>
      <c r="H126" s="133" t="s">
        <v>731</v>
      </c>
      <c r="I126" s="134">
        <f t="shared" ref="I126:J126" si="129">IFS(AND($B126&lt;&gt;"",$E126&lt;&gt;""),IF(INDEX(N:N,MATCH($C126,$P:$P,0),1)&lt;&gt;"",$E126*INDEX(N:N,MATCH($C126,$P:$P,0),1)+$G126,""),AND($B126&lt;&gt;"",$D126="COST"),$G126,TRUE,)</f>
        <v>509.12</v>
      </c>
      <c r="J126" s="134">
        <f t="shared" si="129"/>
        <v>353.4971294</v>
      </c>
      <c r="K126" s="219" t="str">
        <f t="shared" si="3"/>
        <v>Vanguard S&amp;P 500 UCITS ETF</v>
      </c>
      <c r="L126" s="150">
        <f t="shared" si="4"/>
        <v>4429</v>
      </c>
      <c r="M126" s="150">
        <f t="shared" si="5"/>
        <v>-189831.65</v>
      </c>
      <c r="N126" s="139" t="str">
        <f t="array" ref="N126">IF($P126&lt;&gt;"",IF(MAXIFS(Investment!$L:$L,Investment!$D:$D,LEFT($P126,40)&amp;"*"),MAXIFS(Investment!$L:$L,Investment!$D:$D,LEFT($P126,40)&amp;"*"),IFERROR(INDEX(Selection!$H:$H, MATCH($P126,Selection!$F:$F,0))/IF(OR(INDEX(Selection!$C:$C, MATCH($P126,Selection!$F:$F,0))="LN",INDEX(Selection!$C:$C, MATCH($P126,Selection!$F:$F,0))="US"),Investment!$K$7,1),"")),"")</f>
        <v/>
      </c>
      <c r="O126" s="144" t="str">
        <f>IF($P126&lt;&gt;"",IF(MAXIFS(Investment!$AG:$AG,Investment!$D:$D,LEFT($P126,40)&amp;"*"),MAXIFS(Investment!$AG:$AG,Investment!$D:$D,LEFT($P126,40)&amp;"*"),""),"")</f>
        <v/>
      </c>
      <c r="P126" s="135"/>
      <c r="Q126" s="136"/>
      <c r="R126" s="134"/>
    </row>
    <row r="127">
      <c r="A127" s="125">
        <v>43466.0</v>
      </c>
      <c r="B127" s="127"/>
      <c r="C127" s="133"/>
      <c r="D127" s="264" t="s">
        <v>263</v>
      </c>
      <c r="E127" s="264"/>
      <c r="F127" s="218"/>
      <c r="G127" s="132">
        <v>0.23</v>
      </c>
      <c r="H127" s="133" t="s">
        <v>746</v>
      </c>
      <c r="I127" s="134" t="str">
        <f t="shared" ref="I127:J127" si="130">IFS(AND($B127&lt;&gt;"",$E127&lt;&gt;""),IF(INDEX(N:N,MATCH($C127,$P:$P,0),1)&lt;&gt;"",$E127*INDEX(N:N,MATCH($C127,$P:$P,0),1)+$G127,""),AND($B127&lt;&gt;"",$D127="COST"),$G127,TRUE,)</f>
        <v/>
      </c>
      <c r="J127" s="134" t="str">
        <f t="shared" si="130"/>
        <v/>
      </c>
      <c r="K127" s="219" t="str">
        <f t="shared" si="3"/>
        <v/>
      </c>
      <c r="L127" s="150" t="str">
        <f t="shared" si="4"/>
        <v/>
      </c>
      <c r="M127" s="150" t="str">
        <f t="shared" si="5"/>
        <v/>
      </c>
      <c r="N127" s="139" t="str">
        <f t="array" ref="N127">IF($P127&lt;&gt;"",IF(MAXIFS(Investment!$L:$L,Investment!$D:$D,LEFT($P127,40)&amp;"*"),MAXIFS(Investment!$L:$L,Investment!$D:$D,LEFT($P127,40)&amp;"*"),IFERROR(INDEX(Selection!$H:$H, MATCH($P127,Selection!$F:$F,0))/IF(OR(INDEX(Selection!$C:$C, MATCH($P127,Selection!$F:$F,0))="LN",INDEX(Selection!$C:$C, MATCH($P127,Selection!$F:$F,0))="US"),Investment!$K$7,1),"")),"")</f>
        <v/>
      </c>
      <c r="O127" s="144" t="str">
        <f>IF($P127&lt;&gt;"",IF(MAXIFS(Investment!$AG:$AG,Investment!$D:$D,LEFT($P127,40)&amp;"*"),MAXIFS(Investment!$AG:$AG,Investment!$D:$D,LEFT($P127,40)&amp;"*"),""),"")</f>
        <v/>
      </c>
      <c r="P127" s="135"/>
      <c r="Q127" s="136"/>
      <c r="R127" s="134"/>
    </row>
    <row r="128">
      <c r="A128" s="125">
        <v>43465.0</v>
      </c>
      <c r="B128" s="56" t="s">
        <v>243</v>
      </c>
      <c r="C128" s="56" t="s">
        <v>403</v>
      </c>
      <c r="D128" s="56" t="s">
        <v>390</v>
      </c>
      <c r="E128" s="51"/>
      <c r="F128" s="223" t="str">
        <f t="shared" ref="F128:F140" si="132">IF(E128,-G128/E128,"")</f>
        <v/>
      </c>
      <c r="G128" s="132">
        <v>-618.49</v>
      </c>
      <c r="H128" s="133" t="s">
        <v>760</v>
      </c>
      <c r="I128" s="134" t="str">
        <f t="shared" ref="I128:J128" si="131">IFS(AND($B128&lt;&gt;"",$E128&lt;&gt;""),IF(INDEX(N:N,MATCH($C128,$P:$P,0),1)&lt;&gt;"",$E128*INDEX(N:N,MATCH($C128,$P:$P,0),1)+$G128,""),AND($B128&lt;&gt;"",$D128="COST"),$G128,TRUE,)</f>
        <v/>
      </c>
      <c r="J128" s="134" t="str">
        <f t="shared" si="131"/>
        <v/>
      </c>
      <c r="K128" s="219" t="str">
        <f t="shared" si="3"/>
        <v>iShares USD Treasury Bond 20+yr UCITS ETF USD Dist</v>
      </c>
      <c r="L128" s="150">
        <f t="shared" si="4"/>
        <v>0</v>
      </c>
      <c r="M128" s="150">
        <f t="shared" si="5"/>
        <v>27424.23</v>
      </c>
      <c r="N128" s="139" t="str">
        <f t="array" ref="N128">IF($P128&lt;&gt;"",IF(MAXIFS(Investment!$L:$L,Investment!$D:$D,LEFT($P128,40)&amp;"*"),MAXIFS(Investment!$L:$L,Investment!$D:$D,LEFT($P128,40)&amp;"*"),IFERROR(INDEX(Selection!$H:$H, MATCH($P128,Selection!$F:$F,0))/IF(OR(INDEX(Selection!$C:$C, MATCH($P128,Selection!$F:$F,0))="LN",INDEX(Selection!$C:$C, MATCH($P128,Selection!$F:$F,0))="US"),Investment!$K$7,1),"")),"")</f>
        <v/>
      </c>
      <c r="O128" s="144" t="str">
        <f>IF($P128&lt;&gt;"",IF(MAXIFS(Investment!$AG:$AG,Investment!$D:$D,LEFT($P128,40)&amp;"*"),MAXIFS(Investment!$AG:$AG,Investment!$D:$D,LEFT($P128,40)&amp;"*"),""),"")</f>
        <v/>
      </c>
      <c r="P128" s="135"/>
      <c r="Q128" s="136"/>
      <c r="R128" s="134"/>
    </row>
    <row r="129">
      <c r="A129" s="125">
        <v>43464.0</v>
      </c>
      <c r="B129" s="56" t="s">
        <v>243</v>
      </c>
      <c r="C129" s="56" t="s">
        <v>403</v>
      </c>
      <c r="D129" s="56" t="s">
        <v>390</v>
      </c>
      <c r="E129" s="51"/>
      <c r="F129" s="223" t="str">
        <f t="shared" si="132"/>
        <v/>
      </c>
      <c r="G129" s="132">
        <v>4867.15</v>
      </c>
      <c r="H129" s="133" t="s">
        <v>773</v>
      </c>
      <c r="I129" s="134" t="str">
        <f t="shared" ref="I129:J129" si="133">IFS(AND($B129&lt;&gt;"",$E129&lt;&gt;""),IF(INDEX(N:N,MATCH($C129,$P:$P,0),1)&lt;&gt;"",$E129*INDEX(N:N,MATCH($C129,$P:$P,0),1)+$G129,""),AND($B129&lt;&gt;"",$D129="COST"),$G129,TRUE,)</f>
        <v/>
      </c>
      <c r="J129" s="134" t="str">
        <f t="shared" si="133"/>
        <v/>
      </c>
      <c r="K129" s="219" t="str">
        <f t="shared" si="3"/>
        <v>iShares USD Treasury Bond 20+yr UCITS ETF USD Dist</v>
      </c>
      <c r="L129" s="150">
        <f t="shared" si="4"/>
        <v>0</v>
      </c>
      <c r="M129" s="150">
        <f t="shared" si="5"/>
        <v>27424.23</v>
      </c>
      <c r="N129" s="139" t="str">
        <f t="array" ref="N129">IF($P129&lt;&gt;"",IF(MAXIFS(Investment!$L:$L,Investment!$D:$D,LEFT($P129,40)&amp;"*"),MAXIFS(Investment!$L:$L,Investment!$D:$D,LEFT($P129,40)&amp;"*"),IFERROR(INDEX(Selection!$H:$H, MATCH($P129,Selection!$F:$F,0))/IF(OR(INDEX(Selection!$C:$C, MATCH($P129,Selection!$F:$F,0))="LN",INDEX(Selection!$C:$C, MATCH($P129,Selection!$F:$F,0))="US"),Investment!$K$7,1),"")),"")</f>
        <v/>
      </c>
      <c r="O129" s="144" t="str">
        <f>IF($P129&lt;&gt;"",IF(MAXIFS(Investment!$AG:$AG,Investment!$D:$D,LEFT($P129,40)&amp;"*"),MAXIFS(Investment!$AG:$AG,Investment!$D:$D,LEFT($P129,40)&amp;"*"),""),"")</f>
        <v/>
      </c>
      <c r="P129" s="135"/>
      <c r="Q129" s="136"/>
      <c r="R129" s="134"/>
    </row>
    <row r="130">
      <c r="A130" s="125">
        <v>43461.0</v>
      </c>
      <c r="B130" s="56" t="s">
        <v>277</v>
      </c>
      <c r="C130" s="56" t="s">
        <v>278</v>
      </c>
      <c r="D130" s="56" t="s">
        <v>245</v>
      </c>
      <c r="E130" s="51">
        <v>-2.0</v>
      </c>
      <c r="F130" s="223">
        <f t="shared" si="132"/>
        <v>166.98</v>
      </c>
      <c r="G130" s="132">
        <v>333.96</v>
      </c>
      <c r="H130" s="133" t="s">
        <v>788</v>
      </c>
      <c r="I130" s="134">
        <f t="shared" ref="I130:J130" si="134">IFS(AND($B130&lt;&gt;"",$E130&lt;&gt;""),IF(INDEX(N:N,MATCH($C130,$P:$P,0),1)&lt;&gt;"",$E130*INDEX(N:N,MATCH($C130,$P:$P,0),1)+$G130,""),AND($B130&lt;&gt;"",$D130="COST"),$G130,TRUE,)</f>
        <v>-19.02</v>
      </c>
      <c r="J130" s="134">
        <f t="shared" si="134"/>
        <v>2.695764706</v>
      </c>
      <c r="K130" s="219" t="str">
        <f t="shared" si="3"/>
        <v>iShares USD Treasury Bond 7-10yr UCITS ETF</v>
      </c>
      <c r="L130" s="150">
        <f t="shared" si="4"/>
        <v>622</v>
      </c>
      <c r="M130" s="150">
        <f t="shared" si="5"/>
        <v>-96952.49</v>
      </c>
      <c r="N130" s="139" t="str">
        <f t="array" ref="N130">IF($P130&lt;&gt;"",IF(MAXIFS(Investment!$L:$L,Investment!$D:$D,LEFT($P130,40)&amp;"*"),MAXIFS(Investment!$L:$L,Investment!$D:$D,LEFT($P130,40)&amp;"*"),IFERROR(INDEX(Selection!$H:$H, MATCH($P130,Selection!$F:$F,0))/IF(OR(INDEX(Selection!$C:$C, MATCH($P130,Selection!$F:$F,0))="LN",INDEX(Selection!$C:$C, MATCH($P130,Selection!$F:$F,0))="US"),Investment!$K$7,1),"")),"")</f>
        <v/>
      </c>
      <c r="O130" s="144" t="str">
        <f>IF($P130&lt;&gt;"",IF(MAXIFS(Investment!$AG:$AG,Investment!$D:$D,LEFT($P130,40)&amp;"*"),MAXIFS(Investment!$AG:$AG,Investment!$D:$D,LEFT($P130,40)&amp;"*"),""),"")</f>
        <v/>
      </c>
      <c r="P130" s="135"/>
      <c r="Q130" s="136"/>
      <c r="R130" s="134"/>
    </row>
    <row r="131">
      <c r="A131" s="125">
        <v>43461.0</v>
      </c>
      <c r="B131" s="56" t="s">
        <v>277</v>
      </c>
      <c r="C131" s="56" t="s">
        <v>278</v>
      </c>
      <c r="D131" s="56" t="s">
        <v>245</v>
      </c>
      <c r="E131" s="51">
        <v>-5.0</v>
      </c>
      <c r="F131" s="223">
        <f t="shared" si="132"/>
        <v>166.98</v>
      </c>
      <c r="G131" s="132">
        <v>834.9</v>
      </c>
      <c r="H131" s="133" t="s">
        <v>804</v>
      </c>
      <c r="I131" s="134">
        <f t="shared" ref="I131:J131" si="135">IFS(AND($B131&lt;&gt;"",$E131&lt;&gt;""),IF(INDEX(N:N,MATCH($C131,$P:$P,0),1)&lt;&gt;"",$E131*INDEX(N:N,MATCH($C131,$P:$P,0),1)+$G131,""),AND($B131&lt;&gt;"",$D131="COST"),$G131,TRUE,)</f>
        <v>-47.55</v>
      </c>
      <c r="J131" s="134">
        <f t="shared" si="135"/>
        <v>6.739411765</v>
      </c>
      <c r="K131" s="219" t="str">
        <f t="shared" si="3"/>
        <v>iShares USD Treasury Bond 7-10yr UCITS ETF</v>
      </c>
      <c r="L131" s="150">
        <f t="shared" si="4"/>
        <v>622</v>
      </c>
      <c r="M131" s="150">
        <f t="shared" si="5"/>
        <v>-96952.49</v>
      </c>
      <c r="N131" s="139" t="str">
        <f t="array" ref="N131">IF($P131&lt;&gt;"",IF(MAXIFS(Investment!$L:$L,Investment!$D:$D,LEFT($P131,40)&amp;"*"),MAXIFS(Investment!$L:$L,Investment!$D:$D,LEFT($P131,40)&amp;"*"),IFERROR(INDEX(Selection!$H:$H, MATCH($P131,Selection!$F:$F,0))/IF(OR(INDEX(Selection!$C:$C, MATCH($P131,Selection!$F:$F,0))="LN",INDEX(Selection!$C:$C, MATCH($P131,Selection!$F:$F,0))="US"),Investment!$K$7,1),"")),"")</f>
        <v/>
      </c>
      <c r="O131" s="144" t="str">
        <f>IF($P131&lt;&gt;"",IF(MAXIFS(Investment!$AG:$AG,Investment!$D:$D,LEFT($P131,40)&amp;"*"),MAXIFS(Investment!$AG:$AG,Investment!$D:$D,LEFT($P131,40)&amp;"*"),""),"")</f>
        <v/>
      </c>
      <c r="P131" s="135"/>
      <c r="Q131" s="136"/>
      <c r="R131" s="134"/>
    </row>
    <row r="132">
      <c r="A132" s="125">
        <v>43461.0</v>
      </c>
      <c r="B132" s="56" t="s">
        <v>277</v>
      </c>
      <c r="C132" s="56" t="s">
        <v>278</v>
      </c>
      <c r="D132" s="56" t="s">
        <v>245</v>
      </c>
      <c r="E132" s="51">
        <v>-9.0</v>
      </c>
      <c r="F132" s="223">
        <f t="shared" si="132"/>
        <v>166.95</v>
      </c>
      <c r="G132" s="132">
        <v>1502.55</v>
      </c>
      <c r="H132" s="133" t="s">
        <v>816</v>
      </c>
      <c r="I132" s="134">
        <f t="shared" ref="I132:J132" si="136">IFS(AND($B132&lt;&gt;"",$E132&lt;&gt;""),IF(INDEX(N:N,MATCH($C132,$P:$P,0),1)&lt;&gt;"",$E132*INDEX(N:N,MATCH($C132,$P:$P,0),1)+$G132,""),AND($B132&lt;&gt;"",$D132="COST"),$G132,TRUE,)</f>
        <v>-85.86</v>
      </c>
      <c r="J132" s="134">
        <f t="shared" si="136"/>
        <v>11.86094118</v>
      </c>
      <c r="K132" s="219" t="str">
        <f t="shared" si="3"/>
        <v>iShares USD Treasury Bond 7-10yr UCITS ETF</v>
      </c>
      <c r="L132" s="150">
        <f t="shared" si="4"/>
        <v>622</v>
      </c>
      <c r="M132" s="150">
        <f t="shared" si="5"/>
        <v>-96952.49</v>
      </c>
      <c r="N132" s="139" t="str">
        <f t="array" ref="N132">IF($P132&lt;&gt;"",IF(MAXIFS(Investment!$L:$L,Investment!$D:$D,LEFT($P132,40)&amp;"*"),MAXIFS(Investment!$L:$L,Investment!$D:$D,LEFT($P132,40)&amp;"*"),IFERROR(INDEX(Selection!$H:$H, MATCH($P132,Selection!$F:$F,0))/IF(OR(INDEX(Selection!$C:$C, MATCH($P132,Selection!$F:$F,0))="LN",INDEX(Selection!$C:$C, MATCH($P132,Selection!$F:$F,0))="US"),Investment!$K$7,1),"")),"")</f>
        <v/>
      </c>
      <c r="O132" s="144" t="str">
        <f>IF($P132&lt;&gt;"",IF(MAXIFS(Investment!$AG:$AG,Investment!$D:$D,LEFT($P132,40)&amp;"*"),MAXIFS(Investment!$AG:$AG,Investment!$D:$D,LEFT($P132,40)&amp;"*"),""),"")</f>
        <v/>
      </c>
      <c r="P132" s="135"/>
      <c r="Q132" s="136"/>
      <c r="R132" s="134"/>
    </row>
    <row r="133">
      <c r="A133" s="125">
        <v>43461.0</v>
      </c>
      <c r="B133" s="56" t="s">
        <v>361</v>
      </c>
      <c r="C133" s="56" t="s">
        <v>830</v>
      </c>
      <c r="D133" s="56" t="s">
        <v>245</v>
      </c>
      <c r="E133" s="51">
        <v>-11.0</v>
      </c>
      <c r="F133" s="223">
        <f t="shared" si="132"/>
        <v>106.6</v>
      </c>
      <c r="G133" s="132">
        <v>1172.6</v>
      </c>
      <c r="H133" s="133" t="s">
        <v>831</v>
      </c>
      <c r="I133" s="134">
        <f t="shared" ref="I133:J133" si="137">IFS(AND($B133&lt;&gt;"",$E133&lt;&gt;""),IF(INDEX(N:N,MATCH($C133,$P:$P,0),1)&lt;&gt;"",$E133*INDEX(N:N,MATCH($C133,$P:$P,0),1)+$G133,""),AND($B133&lt;&gt;"",$D133="COST"),$G133,TRUE,)</f>
        <v>-41.03</v>
      </c>
      <c r="J133" s="134">
        <f t="shared" si="137"/>
        <v>19.54635294</v>
      </c>
      <c r="K133" s="219" t="str">
        <f t="shared" si="3"/>
        <v>ETFS Physical Gold</v>
      </c>
      <c r="L133" s="150">
        <f t="shared" si="4"/>
        <v>506</v>
      </c>
      <c r="M133" s="150">
        <f t="shared" si="5"/>
        <v>-52182.08</v>
      </c>
      <c r="N133" s="139" t="str">
        <f t="array" ref="N133">IF($P133&lt;&gt;"",IF(MAXIFS(Investment!$L:$L,Investment!$D:$D,LEFT($P133,40)&amp;"*"),MAXIFS(Investment!$L:$L,Investment!$D:$D,LEFT($P133,40)&amp;"*"),IFERROR(INDEX(Selection!$H:$H, MATCH($P133,Selection!$F:$F,0))/IF(OR(INDEX(Selection!$C:$C, MATCH($P133,Selection!$F:$F,0))="LN",INDEX(Selection!$C:$C, MATCH($P133,Selection!$F:$F,0))="US"),Investment!$K$7,1),"")),"")</f>
        <v/>
      </c>
      <c r="O133" s="144" t="str">
        <f>IF($P133&lt;&gt;"",IF(MAXIFS(Investment!$AG:$AG,Investment!$D:$D,LEFT($P133,40)&amp;"*"),MAXIFS(Investment!$AG:$AG,Investment!$D:$D,LEFT($P133,40)&amp;"*"),""),"")</f>
        <v/>
      </c>
      <c r="P133" s="135"/>
      <c r="Q133" s="136"/>
      <c r="R133" s="134"/>
    </row>
    <row r="134">
      <c r="A134" s="125">
        <v>43461.0</v>
      </c>
      <c r="B134" s="56" t="s">
        <v>243</v>
      </c>
      <c r="C134" s="56" t="s">
        <v>403</v>
      </c>
      <c r="D134" s="56" t="s">
        <v>263</v>
      </c>
      <c r="E134" s="51"/>
      <c r="F134" s="223" t="str">
        <f t="shared" si="132"/>
        <v/>
      </c>
      <c r="G134" s="132">
        <v>-2.28</v>
      </c>
      <c r="H134" s="133" t="s">
        <v>846</v>
      </c>
      <c r="I134" s="134">
        <f t="shared" ref="I134:J134" si="138">IFS(AND($B134&lt;&gt;"",$E134&lt;&gt;""),IF(INDEX(N:N,MATCH($C134,$P:$P,0),1)&lt;&gt;"",$E134*INDEX(N:N,MATCH($C134,$P:$P,0),1)+$G134,""),AND($B134&lt;&gt;"",$D134="COST"),$G134,TRUE,)</f>
        <v>-2.28</v>
      </c>
      <c r="J134" s="134">
        <f t="shared" si="138"/>
        <v>-2.28</v>
      </c>
      <c r="K134" s="219" t="str">
        <f t="shared" si="3"/>
        <v>iShares USD Treasury Bond 20+yr UCITS ETF USD Dist</v>
      </c>
      <c r="L134" s="150">
        <f t="shared" si="4"/>
        <v>0</v>
      </c>
      <c r="M134" s="150">
        <f t="shared" si="5"/>
        <v>27424.23</v>
      </c>
      <c r="N134" s="139" t="str">
        <f t="array" ref="N134">IF($P134&lt;&gt;"",IF(MAXIFS(Investment!$L:$L,Investment!$D:$D,LEFT($P134,40)&amp;"*"),MAXIFS(Investment!$L:$L,Investment!$D:$D,LEFT($P134,40)&amp;"*"),IFERROR(INDEX(Selection!$H:$H, MATCH($P134,Selection!$F:$F,0))/IF(OR(INDEX(Selection!$C:$C, MATCH($P134,Selection!$F:$F,0))="LN",INDEX(Selection!$C:$C, MATCH($P134,Selection!$F:$F,0))="US"),Investment!$K$7,1),"")),"")</f>
        <v/>
      </c>
      <c r="O134" s="144" t="str">
        <f>IF($P134&lt;&gt;"",IF(MAXIFS(Investment!$AG:$AG,Investment!$D:$D,LEFT($P134,40)&amp;"*"),MAXIFS(Investment!$AG:$AG,Investment!$D:$D,LEFT($P134,40)&amp;"*"),""),"")</f>
        <v/>
      </c>
      <c r="P134" s="135"/>
      <c r="Q134" s="136"/>
      <c r="R134" s="134"/>
    </row>
    <row r="135">
      <c r="A135" s="125">
        <v>43461.0</v>
      </c>
      <c r="B135" s="56" t="s">
        <v>243</v>
      </c>
      <c r="C135" s="56" t="s">
        <v>403</v>
      </c>
      <c r="D135" s="56" t="s">
        <v>245</v>
      </c>
      <c r="E135" s="51">
        <v>-355.0</v>
      </c>
      <c r="F135" s="223">
        <f t="shared" si="132"/>
        <v>3.958028169</v>
      </c>
      <c r="G135" s="132">
        <v>1405.1</v>
      </c>
      <c r="H135" s="133" t="s">
        <v>861</v>
      </c>
      <c r="I135" s="134">
        <f t="shared" ref="I135:J135" si="139">IFS(AND($B135&lt;&gt;"",$E135&lt;&gt;""),IF(INDEX(N:N,MATCH($C135,$P:$P,0),1)&lt;&gt;"",$E135*INDEX(N:N,MATCH($C135,$P:$P,0),1)+$G135,""),AND($B135&lt;&gt;"",$D135="COST"),$G135,TRUE,)</f>
        <v>-91.154</v>
      </c>
      <c r="J135" s="134">
        <f t="shared" si="139"/>
        <v>13.41118039</v>
      </c>
      <c r="K135" s="219" t="str">
        <f t="shared" si="3"/>
        <v>iShares USD Treasury Bond 20+yr UCITS ETF USD Dist</v>
      </c>
      <c r="L135" s="150">
        <f t="shared" si="4"/>
        <v>0</v>
      </c>
      <c r="M135" s="150">
        <f t="shared" si="5"/>
        <v>27424.23</v>
      </c>
      <c r="N135" s="139" t="str">
        <f t="array" ref="N135">IF($P135&lt;&gt;"",IF(MAXIFS(Investment!$L:$L,Investment!$D:$D,LEFT($P135,40)&amp;"*"),MAXIFS(Investment!$L:$L,Investment!$D:$D,LEFT($P135,40)&amp;"*"),IFERROR(INDEX(Selection!$H:$H, MATCH($P135,Selection!$F:$F,0))/IF(OR(INDEX(Selection!$C:$C, MATCH($P135,Selection!$F:$F,0))="LN",INDEX(Selection!$C:$C, MATCH($P135,Selection!$F:$F,0))="US"),Investment!$K$7,1),"")),"")</f>
        <v/>
      </c>
      <c r="O135" s="144" t="str">
        <f>IF($P135&lt;&gt;"",IF(MAXIFS(Investment!$AG:$AG,Investment!$D:$D,LEFT($P135,40)&amp;"*"),MAXIFS(Investment!$AG:$AG,Investment!$D:$D,LEFT($P135,40)&amp;"*"),""),"")</f>
        <v/>
      </c>
      <c r="P135" s="135"/>
      <c r="Q135" s="136"/>
      <c r="R135" s="134"/>
    </row>
    <row r="136">
      <c r="A136" s="125">
        <v>43461.0</v>
      </c>
      <c r="B136" s="56" t="s">
        <v>243</v>
      </c>
      <c r="C136" s="56" t="s">
        <v>403</v>
      </c>
      <c r="D136" s="56" t="s">
        <v>263</v>
      </c>
      <c r="E136" s="51"/>
      <c r="F136" s="223" t="str">
        <f t="shared" si="132"/>
        <v/>
      </c>
      <c r="G136" s="132">
        <v>-0.55</v>
      </c>
      <c r="H136" s="133" t="s">
        <v>872</v>
      </c>
      <c r="I136" s="134">
        <f t="shared" ref="I136:J136" si="140">IFS(AND($B136&lt;&gt;"",$E136&lt;&gt;""),IF(INDEX(N:N,MATCH($C136,$P:$P,0),1)&lt;&gt;"",$E136*INDEX(N:N,MATCH($C136,$P:$P,0),1)+$G136,""),AND($B136&lt;&gt;"",$D136="COST"),$G136,TRUE,)</f>
        <v>-0.55</v>
      </c>
      <c r="J136" s="134">
        <f t="shared" si="140"/>
        <v>-0.55</v>
      </c>
      <c r="K136" s="219" t="str">
        <f t="shared" si="3"/>
        <v>iShares USD Treasury Bond 20+yr UCITS ETF USD Dist</v>
      </c>
      <c r="L136" s="150">
        <f t="shared" si="4"/>
        <v>0</v>
      </c>
      <c r="M136" s="150">
        <f t="shared" si="5"/>
        <v>27424.23</v>
      </c>
      <c r="N136" s="139" t="str">
        <f t="array" ref="N136">IF($P136&lt;&gt;"",IF(MAXIFS(Investment!$L:$L,Investment!$D:$D,LEFT($P136,40)&amp;"*"),MAXIFS(Investment!$L:$L,Investment!$D:$D,LEFT($P136,40)&amp;"*"),IFERROR(INDEX(Selection!$H:$H, MATCH($P136,Selection!$F:$F,0))/IF(OR(INDEX(Selection!$C:$C, MATCH($P136,Selection!$F:$F,0))="LN",INDEX(Selection!$C:$C, MATCH($P136,Selection!$F:$F,0))="US"),Investment!$K$7,1),"")),"")</f>
        <v/>
      </c>
      <c r="O136" s="144" t="str">
        <f>IF($P136&lt;&gt;"",IF(MAXIFS(Investment!$AG:$AG,Investment!$D:$D,LEFT($P136,40)&amp;"*"),MAXIFS(Investment!$AG:$AG,Investment!$D:$D,LEFT($P136,40)&amp;"*"),""),"")</f>
        <v/>
      </c>
      <c r="P136" s="135"/>
      <c r="Q136" s="136"/>
      <c r="R136" s="134"/>
    </row>
    <row r="137">
      <c r="A137" s="125">
        <v>43461.0</v>
      </c>
      <c r="B137" s="56" t="s">
        <v>243</v>
      </c>
      <c r="C137" s="56" t="s">
        <v>403</v>
      </c>
      <c r="D137" s="56" t="s">
        <v>245</v>
      </c>
      <c r="E137" s="51">
        <v>-691.0</v>
      </c>
      <c r="F137" s="223">
        <f t="shared" si="132"/>
        <v>3.95577424</v>
      </c>
      <c r="G137" s="132">
        <v>2733.44</v>
      </c>
      <c r="H137" s="133" t="s">
        <v>887</v>
      </c>
      <c r="I137" s="134">
        <f t="shared" ref="I137:J137" si="141">IFS(AND($B137&lt;&gt;"",$E137&lt;&gt;""),IF(INDEX(N:N,MATCH($C137,$P:$P,0),1)&lt;&gt;"",$E137*INDEX(N:N,MATCH($C137,$P:$P,0),1)+$G137,""),AND($B137&lt;&gt;"",$D137="COST"),$G137,TRUE,)</f>
        <v>-178.9868</v>
      </c>
      <c r="J137" s="134">
        <f t="shared" si="141"/>
        <v>24.54711451</v>
      </c>
      <c r="K137" s="219" t="str">
        <f t="shared" si="3"/>
        <v>iShares USD Treasury Bond 20+yr UCITS ETF USD Dist</v>
      </c>
      <c r="L137" s="150">
        <f t="shared" si="4"/>
        <v>0</v>
      </c>
      <c r="M137" s="150">
        <f t="shared" si="5"/>
        <v>27424.23</v>
      </c>
      <c r="N137" s="139" t="str">
        <f t="array" ref="N137">IF($P137&lt;&gt;"",IF(MAXIFS(Investment!$L:$L,Investment!$D:$D,LEFT($P137,40)&amp;"*"),MAXIFS(Investment!$L:$L,Investment!$D:$D,LEFT($P137,40)&amp;"*"),IFERROR(INDEX(Selection!$H:$H, MATCH($P137,Selection!$F:$F,0))/IF(OR(INDEX(Selection!$C:$C, MATCH($P137,Selection!$F:$F,0))="LN",INDEX(Selection!$C:$C, MATCH($P137,Selection!$F:$F,0))="US"),Investment!$K$7,1),"")),"")</f>
        <v/>
      </c>
      <c r="O137" s="144" t="str">
        <f>IF($P137&lt;&gt;"",IF(MAXIFS(Investment!$AG:$AG,Investment!$D:$D,LEFT($P137,40)&amp;"*"),MAXIFS(Investment!$AG:$AG,Investment!$D:$D,LEFT($P137,40)&amp;"*"),""),"")</f>
        <v/>
      </c>
      <c r="P137" s="135"/>
      <c r="Q137" s="136"/>
      <c r="R137" s="134"/>
    </row>
    <row r="138">
      <c r="A138" s="125">
        <v>43455.0</v>
      </c>
      <c r="B138" s="56" t="s">
        <v>361</v>
      </c>
      <c r="C138" s="56" t="s">
        <v>830</v>
      </c>
      <c r="D138" s="56" t="s">
        <v>245</v>
      </c>
      <c r="E138" s="51">
        <v>-10.0</v>
      </c>
      <c r="F138" s="223">
        <f t="shared" si="132"/>
        <v>105.65</v>
      </c>
      <c r="G138" s="132">
        <v>1056.5</v>
      </c>
      <c r="H138" s="133" t="s">
        <v>900</v>
      </c>
      <c r="I138" s="134">
        <f t="shared" ref="I138:J138" si="142">IFS(AND($B138&lt;&gt;"",$E138&lt;&gt;""),IF(INDEX(N:N,MATCH($C138,$P:$P,0),1)&lt;&gt;"",$E138*INDEX(N:N,MATCH($C138,$P:$P,0),1)+$G138,""),AND($B138&lt;&gt;"",$D138="COST"),$G138,TRUE,)</f>
        <v>-46.8</v>
      </c>
      <c r="J138" s="134">
        <f t="shared" si="142"/>
        <v>8.269411765</v>
      </c>
      <c r="K138" s="219" t="str">
        <f t="shared" si="3"/>
        <v>ETFS Physical Gold</v>
      </c>
      <c r="L138" s="150">
        <f t="shared" si="4"/>
        <v>506</v>
      </c>
      <c r="M138" s="150">
        <f t="shared" si="5"/>
        <v>-52182.08</v>
      </c>
      <c r="N138" s="139" t="str">
        <f t="array" ref="N138">IF($P138&lt;&gt;"",IF(MAXIFS(Investment!$L:$L,Investment!$D:$D,LEFT($P138,40)&amp;"*"),MAXIFS(Investment!$L:$L,Investment!$D:$D,LEFT($P138,40)&amp;"*"),IFERROR(INDEX(Selection!$H:$H, MATCH($P138,Selection!$F:$F,0))/IF(OR(INDEX(Selection!$C:$C, MATCH($P138,Selection!$F:$F,0))="LN",INDEX(Selection!$C:$C, MATCH($P138,Selection!$F:$F,0))="US"),Investment!$K$7,1),"")),"")</f>
        <v/>
      </c>
      <c r="O138" s="144" t="str">
        <f>IF($P138&lt;&gt;"",IF(MAXIFS(Investment!$AG:$AG,Investment!$D:$D,LEFT($P138,40)&amp;"*"),MAXIFS(Investment!$AG:$AG,Investment!$D:$D,LEFT($P138,40)&amp;"*"),""),"")</f>
        <v/>
      </c>
      <c r="P138" s="135"/>
      <c r="Q138" s="136"/>
      <c r="R138" s="134"/>
    </row>
    <row r="139">
      <c r="A139" s="125">
        <v>43455.0</v>
      </c>
      <c r="B139" s="56" t="s">
        <v>277</v>
      </c>
      <c r="C139" s="56" t="s">
        <v>278</v>
      </c>
      <c r="D139" s="56" t="s">
        <v>245</v>
      </c>
      <c r="E139" s="51">
        <v>-10.0</v>
      </c>
      <c r="F139" s="223">
        <f t="shared" si="132"/>
        <v>166.55</v>
      </c>
      <c r="G139" s="132">
        <v>1665.5</v>
      </c>
      <c r="H139" s="133" t="s">
        <v>917</v>
      </c>
      <c r="I139" s="134">
        <f t="shared" ref="I139:J139" si="143">IFS(AND($B139&lt;&gt;"",$E139&lt;&gt;""),IF(INDEX(N:N,MATCH($C139,$P:$P,0),1)&lt;&gt;"",$E139*INDEX(N:N,MATCH($C139,$P:$P,0),1)+$G139,""),AND($B139&lt;&gt;"",$D139="COST"),$G139,TRUE,)</f>
        <v>-99.4</v>
      </c>
      <c r="J139" s="134">
        <f t="shared" si="143"/>
        <v>9.178823529</v>
      </c>
      <c r="K139" s="219" t="str">
        <f t="shared" si="3"/>
        <v>iShares USD Treasury Bond 7-10yr UCITS ETF</v>
      </c>
      <c r="L139" s="150">
        <f t="shared" si="4"/>
        <v>622</v>
      </c>
      <c r="M139" s="150">
        <f t="shared" si="5"/>
        <v>-96952.49</v>
      </c>
      <c r="N139" s="139" t="str">
        <f t="array" ref="N139">IF($P139&lt;&gt;"",IF(MAXIFS(Investment!$L:$L,Investment!$D:$D,LEFT($P139,40)&amp;"*"),MAXIFS(Investment!$L:$L,Investment!$D:$D,LEFT($P139,40)&amp;"*"),IFERROR(INDEX(Selection!$H:$H, MATCH($P139,Selection!$F:$F,0))/IF(OR(INDEX(Selection!$C:$C, MATCH($P139,Selection!$F:$F,0))="LN",INDEX(Selection!$C:$C, MATCH($P139,Selection!$F:$F,0))="US"),Investment!$K$7,1),"")),"")</f>
        <v/>
      </c>
      <c r="O139" s="144" t="str">
        <f>IF($P139&lt;&gt;"",IF(MAXIFS(Investment!$AG:$AG,Investment!$D:$D,LEFT($P139,40)&amp;"*"),MAXIFS(Investment!$AG:$AG,Investment!$D:$D,LEFT($P139,40)&amp;"*"),""),"")</f>
        <v/>
      </c>
      <c r="P139" s="135"/>
      <c r="Q139" s="136"/>
      <c r="R139" s="134"/>
    </row>
    <row r="140">
      <c r="A140" s="125">
        <v>43454.0</v>
      </c>
      <c r="B140" s="56" t="s">
        <v>307</v>
      </c>
      <c r="C140" s="56" t="s">
        <v>308</v>
      </c>
      <c r="D140" s="56" t="s">
        <v>222</v>
      </c>
      <c r="E140" s="51">
        <v>100.0</v>
      </c>
      <c r="F140" s="223">
        <f t="shared" si="132"/>
        <v>41.63</v>
      </c>
      <c r="G140" s="132">
        <v>-4163.0</v>
      </c>
      <c r="H140" s="133" t="s">
        <v>932</v>
      </c>
      <c r="I140" s="134">
        <f t="shared" ref="I140:J140" si="144">IFS(AND($B140&lt;&gt;"",$E140&lt;&gt;""),IF(INDEX(N:N,MATCH($C140,$P:$P,0),1)&lt;&gt;"",$E140*INDEX(N:N,MATCH($C140,$P:$P,0),1)+$G140,""),AND($B140&lt;&gt;"",$D140="COST"),$G140,TRUE,)</f>
        <v>640</v>
      </c>
      <c r="J140" s="134">
        <f t="shared" si="144"/>
        <v>429.6988235</v>
      </c>
      <c r="K140" s="219" t="str">
        <f t="shared" si="3"/>
        <v>Vanguard S&amp;P 500 UCITS ETF</v>
      </c>
      <c r="L140" s="150">
        <f t="shared" si="4"/>
        <v>4429</v>
      </c>
      <c r="M140" s="150">
        <f t="shared" si="5"/>
        <v>-189831.65</v>
      </c>
      <c r="N140" s="139" t="str">
        <f t="array" ref="N140">IF($P140&lt;&gt;"",IF(MAXIFS(Investment!$L:$L,Investment!$D:$D,LEFT($P140,40)&amp;"*"),MAXIFS(Investment!$L:$L,Investment!$D:$D,LEFT($P140,40)&amp;"*"),IFERROR(INDEX(Selection!$H:$H, MATCH($P140,Selection!$F:$F,0))/IF(OR(INDEX(Selection!$C:$C, MATCH($P140,Selection!$F:$F,0))="LN",INDEX(Selection!$C:$C, MATCH($P140,Selection!$F:$F,0))="US"),Investment!$K$7,1),"")),"")</f>
        <v/>
      </c>
      <c r="O140" s="144" t="str">
        <f>IF($P140&lt;&gt;"",IF(MAXIFS(Investment!$AG:$AG,Investment!$D:$D,LEFT($P140,40)&amp;"*"),MAXIFS(Investment!$AG:$AG,Investment!$D:$D,LEFT($P140,40)&amp;"*"),""),"")</f>
        <v/>
      </c>
      <c r="P140" s="135"/>
      <c r="Q140" s="136"/>
      <c r="R140" s="134"/>
    </row>
    <row r="141">
      <c r="A141" s="125">
        <v>43454.0</v>
      </c>
      <c r="B141" s="56" t="s">
        <v>307</v>
      </c>
      <c r="C141" s="56" t="s">
        <v>308</v>
      </c>
      <c r="D141" s="56" t="s">
        <v>263</v>
      </c>
      <c r="E141" s="51"/>
      <c r="F141" s="218"/>
      <c r="G141" s="132">
        <v>-2.83</v>
      </c>
      <c r="H141" s="133" t="s">
        <v>945</v>
      </c>
      <c r="I141" s="134">
        <f t="shared" ref="I141:J141" si="145">IFS(AND($B141&lt;&gt;"",$E141&lt;&gt;""),IF(INDEX(N:N,MATCH($C141,$P:$P,0),1)&lt;&gt;"",$E141*INDEX(N:N,MATCH($C141,$P:$P,0),1)+$G141,""),AND($B141&lt;&gt;"",$D141="COST"),$G141,TRUE,)</f>
        <v>-2.83</v>
      </c>
      <c r="J141" s="134">
        <f t="shared" si="145"/>
        <v>-2.83</v>
      </c>
      <c r="K141" s="219" t="str">
        <f t="shared" si="3"/>
        <v>Vanguard S&amp;P 500 UCITS ETF</v>
      </c>
      <c r="L141" s="150">
        <f t="shared" si="4"/>
        <v>4429</v>
      </c>
      <c r="M141" s="150">
        <f t="shared" si="5"/>
        <v>-189831.65</v>
      </c>
      <c r="N141" s="139" t="str">
        <f t="array" ref="N141">IF($P141&lt;&gt;"",IF(MAXIFS(Investment!$L:$L,Investment!$D:$D,LEFT($P141,40)&amp;"*"),MAXIFS(Investment!$L:$L,Investment!$D:$D,LEFT($P141,40)&amp;"*"),IFERROR(INDEX(Selection!$H:$H, MATCH($P141,Selection!$F:$F,0))/IF(OR(INDEX(Selection!$C:$C, MATCH($P141,Selection!$F:$F,0))="LN",INDEX(Selection!$C:$C, MATCH($P141,Selection!$F:$F,0))="US"),Investment!$K$7,1),"")),"")</f>
        <v/>
      </c>
      <c r="O141" s="144" t="str">
        <f>IF($P141&lt;&gt;"",IF(MAXIFS(Investment!$AG:$AG,Investment!$D:$D,LEFT($P141,40)&amp;"*"),MAXIFS(Investment!$AG:$AG,Investment!$D:$D,LEFT($P141,40)&amp;"*"),""),"")</f>
        <v/>
      </c>
      <c r="P141" s="135"/>
      <c r="Q141" s="136"/>
      <c r="R141" s="134"/>
    </row>
    <row r="142">
      <c r="A142" s="125">
        <v>43454.0</v>
      </c>
      <c r="B142" s="56" t="s">
        <v>243</v>
      </c>
      <c r="C142" s="56" t="s">
        <v>403</v>
      </c>
      <c r="D142" s="56" t="s">
        <v>263</v>
      </c>
      <c r="E142" s="51"/>
      <c r="F142" s="218"/>
      <c r="G142" s="132">
        <v>-2.43</v>
      </c>
      <c r="H142" s="133" t="s">
        <v>960</v>
      </c>
      <c r="I142" s="134">
        <f t="shared" ref="I142:J142" si="146">IFS(AND($B142&lt;&gt;"",$E142&lt;&gt;""),IF(INDEX(N:N,MATCH($C142,$P:$P,0),1)&lt;&gt;"",$E142*INDEX(N:N,MATCH($C142,$P:$P,0),1)+$G142,""),AND($B142&lt;&gt;"",$D142="COST"),$G142,TRUE,)</f>
        <v>-2.43</v>
      </c>
      <c r="J142" s="134">
        <f t="shared" si="146"/>
        <v>-2.43</v>
      </c>
      <c r="K142" s="219" t="str">
        <f t="shared" si="3"/>
        <v>iShares USD Treasury Bond 20+yr UCITS ETF USD Dist</v>
      </c>
      <c r="L142" s="150">
        <f t="shared" si="4"/>
        <v>0</v>
      </c>
      <c r="M142" s="150">
        <f t="shared" si="5"/>
        <v>27424.23</v>
      </c>
      <c r="N142" s="139" t="str">
        <f t="array" ref="N142">IF($P142&lt;&gt;"",IF(MAXIFS(Investment!$L:$L,Investment!$D:$D,LEFT($P142,40)&amp;"*"),MAXIFS(Investment!$L:$L,Investment!$D:$D,LEFT($P142,40)&amp;"*"),IFERROR(INDEX(Selection!$H:$H, MATCH($P142,Selection!$F:$F,0))/IF(OR(INDEX(Selection!$C:$C, MATCH($P142,Selection!$F:$F,0))="LN",INDEX(Selection!$C:$C, MATCH($P142,Selection!$F:$F,0))="US"),Investment!$K$7,1),"")),"")</f>
        <v/>
      </c>
      <c r="O142" s="144" t="str">
        <f>IF($P142&lt;&gt;"",IF(MAXIFS(Investment!$AG:$AG,Investment!$D:$D,LEFT($P142,40)&amp;"*"),MAXIFS(Investment!$AG:$AG,Investment!$D:$D,LEFT($P142,40)&amp;"*"),""),"")</f>
        <v/>
      </c>
      <c r="P142" s="135"/>
      <c r="Q142" s="136"/>
      <c r="R142" s="134"/>
    </row>
    <row r="143">
      <c r="A143" s="125">
        <v>43454.0</v>
      </c>
      <c r="B143" s="56" t="s">
        <v>243</v>
      </c>
      <c r="C143" s="56" t="s">
        <v>403</v>
      </c>
      <c r="D143" s="56" t="s">
        <v>245</v>
      </c>
      <c r="E143" s="51">
        <v>-544.0</v>
      </c>
      <c r="F143" s="218">
        <v>3.971</v>
      </c>
      <c r="G143" s="132">
        <v>2160.24</v>
      </c>
      <c r="H143" s="133" t="s">
        <v>975</v>
      </c>
      <c r="I143" s="134">
        <f t="shared" ref="I143:J143" si="147">IFS(AND($B143&lt;&gt;"",$E143&lt;&gt;""),IF(INDEX(N:N,MATCH($C143,$P:$P,0),1)&lt;&gt;"",$E143*INDEX(N:N,MATCH($C143,$P:$P,0),1)+$G143,""),AND($B143&lt;&gt;"",$D143="COST"),$G143,TRUE,)</f>
        <v>-132.6112</v>
      </c>
      <c r="J143" s="134">
        <f t="shared" si="147"/>
        <v>27.62389333</v>
      </c>
      <c r="K143" s="219" t="str">
        <f t="shared" si="3"/>
        <v>iShares USD Treasury Bond 20+yr UCITS ETF USD Dist</v>
      </c>
      <c r="L143" s="150">
        <f t="shared" si="4"/>
        <v>0</v>
      </c>
      <c r="M143" s="150">
        <f t="shared" si="5"/>
        <v>27424.23</v>
      </c>
      <c r="N143" s="139" t="str">
        <f t="array" ref="N143">IF($P143&lt;&gt;"",IF(MAXIFS(Investment!$L:$L,Investment!$D:$D,LEFT($P143,40)&amp;"*"),MAXIFS(Investment!$L:$L,Investment!$D:$D,LEFT($P143,40)&amp;"*"),IFERROR(INDEX(Selection!$H:$H, MATCH($P143,Selection!$F:$F,0))/IF(OR(INDEX(Selection!$C:$C, MATCH($P143,Selection!$F:$F,0))="LN",INDEX(Selection!$C:$C, MATCH($P143,Selection!$F:$F,0))="US"),Investment!$K$7,1),"")),"")</f>
        <v/>
      </c>
      <c r="O143" s="144" t="str">
        <f>IF($P143&lt;&gt;"",IF(MAXIFS(Investment!$AG:$AG,Investment!$D:$D,LEFT($P143,40)&amp;"*"),MAXIFS(Investment!$AG:$AG,Investment!$D:$D,LEFT($P143,40)&amp;"*"),""),"")</f>
        <v/>
      </c>
      <c r="P143" s="135"/>
      <c r="Q143" s="136"/>
      <c r="R143" s="134"/>
    </row>
    <row r="144">
      <c r="A144" s="125">
        <v>43454.0</v>
      </c>
      <c r="B144" s="56" t="s">
        <v>243</v>
      </c>
      <c r="C144" s="56" t="s">
        <v>403</v>
      </c>
      <c r="D144" s="56" t="s">
        <v>263</v>
      </c>
      <c r="E144" s="51"/>
      <c r="F144" s="218"/>
      <c r="G144" s="132">
        <v>-3.41</v>
      </c>
      <c r="H144" s="133" t="s">
        <v>987</v>
      </c>
      <c r="I144" s="134">
        <f t="shared" ref="I144:J144" si="148">IFS(AND($B144&lt;&gt;"",$E144&lt;&gt;""),IF(INDEX(N:N,MATCH($C144,$P:$P,0),1)&lt;&gt;"",$E144*INDEX(N:N,MATCH($C144,$P:$P,0),1)+$G144,""),AND($B144&lt;&gt;"",$D144="COST"),$G144,TRUE,)</f>
        <v>-3.41</v>
      </c>
      <c r="J144" s="134">
        <f t="shared" si="148"/>
        <v>-3.41</v>
      </c>
      <c r="K144" s="219" t="str">
        <f t="shared" si="3"/>
        <v>iShares USD Treasury Bond 20+yr UCITS ETF USD Dist</v>
      </c>
      <c r="L144" s="150">
        <f t="shared" si="4"/>
        <v>0</v>
      </c>
      <c r="M144" s="150">
        <f t="shared" si="5"/>
        <v>27424.23</v>
      </c>
      <c r="N144" s="139" t="str">
        <f t="array" ref="N144">IF($P144&lt;&gt;"",IF(MAXIFS(Investment!$L:$L,Investment!$D:$D,LEFT($P144,40)&amp;"*"),MAXIFS(Investment!$L:$L,Investment!$D:$D,LEFT($P144,40)&amp;"*"),IFERROR(INDEX(Selection!$H:$H, MATCH($P144,Selection!$F:$F,0))/IF(OR(INDEX(Selection!$C:$C, MATCH($P144,Selection!$F:$F,0))="LN",INDEX(Selection!$C:$C, MATCH($P144,Selection!$F:$F,0))="US"),Investment!$K$7,1),"")),"")</f>
        <v/>
      </c>
      <c r="O144" s="144" t="str">
        <f>IF($P144&lt;&gt;"",IF(MAXIFS(Investment!$AG:$AG,Investment!$D:$D,LEFT($P144,40)&amp;"*"),MAXIFS(Investment!$AG:$AG,Investment!$D:$D,LEFT($P144,40)&amp;"*"),""),"")</f>
        <v/>
      </c>
      <c r="P144" s="135"/>
      <c r="Q144" s="136"/>
      <c r="R144" s="134"/>
    </row>
    <row r="145">
      <c r="A145" s="125">
        <v>43454.0</v>
      </c>
      <c r="B145" s="56" t="s">
        <v>243</v>
      </c>
      <c r="C145" s="56" t="s">
        <v>403</v>
      </c>
      <c r="D145" s="56" t="s">
        <v>245</v>
      </c>
      <c r="E145" s="51">
        <v>-1760.0</v>
      </c>
      <c r="F145" s="218">
        <v>3.985</v>
      </c>
      <c r="G145" s="132">
        <v>7013.08</v>
      </c>
      <c r="H145" s="133" t="s">
        <v>1003</v>
      </c>
      <c r="I145" s="134">
        <f t="shared" ref="I145:J145" si="149">IFS(AND($B145&lt;&gt;"",$E145&lt;&gt;""),IF(INDEX(N:N,MATCH($C145,$P:$P,0),1)&lt;&gt;"",$E145*INDEX(N:N,MATCH($C145,$P:$P,0),1)+$G145,""),AND($B145&lt;&gt;"",$D145="COST"),$G145,TRUE,)</f>
        <v>-404.968</v>
      </c>
      <c r="J145" s="134">
        <f t="shared" si="149"/>
        <v>113.4396549</v>
      </c>
      <c r="K145" s="219" t="str">
        <f t="shared" si="3"/>
        <v>iShares USD Treasury Bond 20+yr UCITS ETF USD Dist</v>
      </c>
      <c r="L145" s="150">
        <f t="shared" si="4"/>
        <v>0</v>
      </c>
      <c r="M145" s="150">
        <f t="shared" si="5"/>
        <v>27424.23</v>
      </c>
      <c r="N145" s="139" t="str">
        <f t="array" ref="N145">IF($P145&lt;&gt;"",IF(MAXIFS(Investment!$L:$L,Investment!$D:$D,LEFT($P145,40)&amp;"*"),MAXIFS(Investment!$L:$L,Investment!$D:$D,LEFT($P145,40)&amp;"*"),IFERROR(INDEX(Selection!$H:$H, MATCH($P145,Selection!$F:$F,0))/IF(OR(INDEX(Selection!$C:$C, MATCH($P145,Selection!$F:$F,0))="LN",INDEX(Selection!$C:$C, MATCH($P145,Selection!$F:$F,0))="US"),Investment!$K$7,1),"")),"")</f>
        <v/>
      </c>
      <c r="O145" s="144" t="str">
        <f>IF($P145&lt;&gt;"",IF(MAXIFS(Investment!$AG:$AG,Investment!$D:$D,LEFT($P145,40)&amp;"*"),MAXIFS(Investment!$AG:$AG,Investment!$D:$D,LEFT($P145,40)&amp;"*"),""),"")</f>
        <v/>
      </c>
      <c r="P145" s="135"/>
      <c r="Q145" s="136"/>
      <c r="R145" s="134"/>
    </row>
    <row r="146">
      <c r="A146" s="125">
        <v>43453.0</v>
      </c>
      <c r="B146" s="56" t="s">
        <v>243</v>
      </c>
      <c r="C146" s="56" t="s">
        <v>403</v>
      </c>
      <c r="D146" s="56" t="s">
        <v>263</v>
      </c>
      <c r="E146" s="56"/>
      <c r="F146" s="218"/>
      <c r="G146" s="132">
        <v>-2.92</v>
      </c>
      <c r="H146" s="133" t="s">
        <v>1019</v>
      </c>
      <c r="I146" s="134">
        <f t="shared" ref="I146:J146" si="150">IFS(AND($B146&lt;&gt;"",$E146&lt;&gt;""),IF(INDEX(N:N,MATCH($C146,$P:$P,0),1)&lt;&gt;"",$E146*INDEX(N:N,MATCH($C146,$P:$P,0),1)+$G146,""),AND($B146&lt;&gt;"",$D146="COST"),$G146,TRUE,)</f>
        <v>-2.92</v>
      </c>
      <c r="J146" s="134">
        <f t="shared" si="150"/>
        <v>-2.92</v>
      </c>
      <c r="K146" s="219" t="str">
        <f t="shared" si="3"/>
        <v>iShares USD Treasury Bond 20+yr UCITS ETF USD Dist</v>
      </c>
      <c r="L146" s="150">
        <f t="shared" si="4"/>
        <v>0</v>
      </c>
      <c r="M146" s="150">
        <f t="shared" si="5"/>
        <v>27424.23</v>
      </c>
      <c r="N146" s="139" t="str">
        <f t="array" ref="N146">IF($P146&lt;&gt;"",IF(MAXIFS(Investment!$L:$L,Investment!$D:$D,LEFT($P146,40)&amp;"*"),MAXIFS(Investment!$L:$L,Investment!$D:$D,LEFT($P146,40)&amp;"*"),IFERROR(INDEX(Selection!$H:$H, MATCH($P146,Selection!$F:$F,0))/IF(OR(INDEX(Selection!$C:$C, MATCH($P146,Selection!$F:$F,0))="LN",INDEX(Selection!$C:$C, MATCH($P146,Selection!$F:$F,0))="US"),Investment!$K$7,1),"")),"")</f>
        <v/>
      </c>
      <c r="O146" s="144" t="str">
        <f>IF($P146&lt;&gt;"",IF(MAXIFS(Investment!$AG:$AG,Investment!$D:$D,LEFT($P146,40)&amp;"*"),MAXIFS(Investment!$AG:$AG,Investment!$D:$D,LEFT($P146,40)&amp;"*"),""),"")</f>
        <v/>
      </c>
      <c r="P146" s="135"/>
      <c r="Q146" s="136"/>
      <c r="R146" s="134"/>
    </row>
    <row r="147">
      <c r="A147" s="125">
        <v>43453.0</v>
      </c>
      <c r="B147" s="56" t="s">
        <v>243</v>
      </c>
      <c r="C147" s="56" t="s">
        <v>403</v>
      </c>
      <c r="D147" s="56" t="s">
        <v>245</v>
      </c>
      <c r="E147" s="51">
        <v>-1177.0</v>
      </c>
      <c r="F147" s="218">
        <v>3.919</v>
      </c>
      <c r="G147" s="132">
        <v>4613.0</v>
      </c>
      <c r="H147" s="133" t="s">
        <v>1031</v>
      </c>
      <c r="I147" s="134">
        <f t="shared" ref="I147:J147" si="151">IFS(AND($B147&lt;&gt;"",$E147&lt;&gt;""),IF(INDEX(N:N,MATCH($C147,$P:$P,0),1)&lt;&gt;"",$E147*INDEX(N:N,MATCH($C147,$P:$P,0),1)+$G147,""),AND($B147&lt;&gt;"",$D147="COST"),$G147,TRUE,)</f>
        <v>-347.8196</v>
      </c>
      <c r="J147" s="134">
        <f t="shared" si="151"/>
        <v>-1.134480784</v>
      </c>
      <c r="K147" s="219" t="str">
        <f t="shared" si="3"/>
        <v>iShares USD Treasury Bond 20+yr UCITS ETF USD Dist</v>
      </c>
      <c r="L147" s="150">
        <f t="shared" si="4"/>
        <v>0</v>
      </c>
      <c r="M147" s="150">
        <f t="shared" si="5"/>
        <v>27424.23</v>
      </c>
      <c r="N147" s="139" t="str">
        <f t="array" ref="N147">IF($P147&lt;&gt;"",IF(MAXIFS(Investment!$L:$L,Investment!$D:$D,LEFT($P147,40)&amp;"*"),MAXIFS(Investment!$L:$L,Investment!$D:$D,LEFT($P147,40)&amp;"*"),IFERROR(INDEX(Selection!$H:$H, MATCH($P147,Selection!$F:$F,0))/IF(OR(INDEX(Selection!$C:$C, MATCH($P147,Selection!$F:$F,0))="LN",INDEX(Selection!$C:$C, MATCH($P147,Selection!$F:$F,0))="US"),Investment!$K$7,1),"")),"")</f>
        <v/>
      </c>
      <c r="O147" s="144" t="str">
        <f>IF($P147&lt;&gt;"",IF(MAXIFS(Investment!$AG:$AG,Investment!$D:$D,LEFT($P147,40)&amp;"*"),MAXIFS(Investment!$AG:$AG,Investment!$D:$D,LEFT($P147,40)&amp;"*"),""),"")</f>
        <v/>
      </c>
      <c r="P147" s="135"/>
      <c r="Q147" s="136"/>
      <c r="R147" s="134"/>
    </row>
    <row r="148">
      <c r="A148" s="125">
        <v>43452.0</v>
      </c>
      <c r="B148" s="56" t="s">
        <v>277</v>
      </c>
      <c r="C148" s="56" t="s">
        <v>278</v>
      </c>
      <c r="D148" s="56" t="s">
        <v>245</v>
      </c>
      <c r="E148" s="56">
        <v>-15.0</v>
      </c>
      <c r="F148" s="218">
        <v>166.3</v>
      </c>
      <c r="G148" s="132">
        <v>2494.5</v>
      </c>
      <c r="H148" s="133" t="s">
        <v>1054</v>
      </c>
      <c r="I148" s="134">
        <f t="shared" ref="I148:J148" si="152">IFS(AND($B148&lt;&gt;"",$E148&lt;&gt;""),IF(INDEX(N:N,MATCH($C148,$P:$P,0),1)&lt;&gt;"",$E148*INDEX(N:N,MATCH($C148,$P:$P,0),1)+$G148,""),AND($B148&lt;&gt;"",$D148="COST"),$G148,TRUE,)</f>
        <v>-152.85</v>
      </c>
      <c r="J148" s="134">
        <f t="shared" si="152"/>
        <v>10.01823529</v>
      </c>
      <c r="K148" s="219" t="str">
        <f t="shared" si="3"/>
        <v>iShares USD Treasury Bond 7-10yr UCITS ETF</v>
      </c>
      <c r="L148" s="150">
        <f t="shared" si="4"/>
        <v>622</v>
      </c>
      <c r="M148" s="150">
        <f t="shared" si="5"/>
        <v>-96952.49</v>
      </c>
      <c r="N148" s="139" t="str">
        <f t="array" ref="N148">IF($P148&lt;&gt;"",IF(MAXIFS(Investment!$L:$L,Investment!$D:$D,LEFT($P148,40)&amp;"*"),MAXIFS(Investment!$L:$L,Investment!$D:$D,LEFT($P148,40)&amp;"*"),IFERROR(INDEX(Selection!$H:$H, MATCH($P148,Selection!$F:$F,0))/IF(OR(INDEX(Selection!$C:$C, MATCH($P148,Selection!$F:$F,0))="LN",INDEX(Selection!$C:$C, MATCH($P148,Selection!$F:$F,0))="US"),Investment!$K$7,1),"")),"")</f>
        <v/>
      </c>
      <c r="O148" s="144" t="str">
        <f>IF($P148&lt;&gt;"",IF(MAXIFS(Investment!$AG:$AG,Investment!$D:$D,LEFT($P148,40)&amp;"*"),MAXIFS(Investment!$AG:$AG,Investment!$D:$D,LEFT($P148,40)&amp;"*"),""),"")</f>
        <v/>
      </c>
      <c r="P148" s="135"/>
      <c r="Q148" s="136"/>
      <c r="R148" s="134"/>
    </row>
    <row r="149">
      <c r="A149" s="125">
        <v>43452.0</v>
      </c>
      <c r="B149" s="56" t="s">
        <v>361</v>
      </c>
      <c r="C149" s="56" t="s">
        <v>830</v>
      </c>
      <c r="D149" s="56" t="s">
        <v>245</v>
      </c>
      <c r="E149" s="56">
        <v>-10.0</v>
      </c>
      <c r="F149" s="218">
        <v>104.83</v>
      </c>
      <c r="G149" s="132">
        <v>1048.3</v>
      </c>
      <c r="H149" s="133" t="s">
        <v>1069</v>
      </c>
      <c r="I149" s="134">
        <f t="shared" ref="I149:J149" si="153">IFS(AND($B149&lt;&gt;"",$E149&lt;&gt;""),IF(INDEX(N:N,MATCH($C149,$P:$P,0),1)&lt;&gt;"",$E149*INDEX(N:N,MATCH($C149,$P:$P,0),1)+$G149,""),AND($B149&lt;&gt;"",$D149="COST"),$G149,TRUE,)</f>
        <v>-55</v>
      </c>
      <c r="J149" s="134">
        <f t="shared" si="153"/>
        <v>0.06941176471</v>
      </c>
      <c r="K149" s="219" t="str">
        <f t="shared" si="3"/>
        <v>ETFS Physical Gold</v>
      </c>
      <c r="L149" s="150">
        <f t="shared" si="4"/>
        <v>506</v>
      </c>
      <c r="M149" s="150">
        <f t="shared" si="5"/>
        <v>-52182.08</v>
      </c>
      <c r="N149" s="139" t="str">
        <f t="array" ref="N149">IF($P149&lt;&gt;"",IF(MAXIFS(Investment!$L:$L,Investment!$D:$D,LEFT($P149,40)&amp;"*"),MAXIFS(Investment!$L:$L,Investment!$D:$D,LEFT($P149,40)&amp;"*"),IFERROR(INDEX(Selection!$H:$H, MATCH($P149,Selection!$F:$F,0))/IF(OR(INDEX(Selection!$C:$C, MATCH($P149,Selection!$F:$F,0))="LN",INDEX(Selection!$C:$C, MATCH($P149,Selection!$F:$F,0))="US"),Investment!$K$7,1),"")),"")</f>
        <v/>
      </c>
      <c r="O149" s="144" t="str">
        <f>IF($P149&lt;&gt;"",IF(MAXIFS(Investment!$AG:$AG,Investment!$D:$D,LEFT($P149,40)&amp;"*"),MAXIFS(Investment!$AG:$AG,Investment!$D:$D,LEFT($P149,40)&amp;"*"),""),"")</f>
        <v/>
      </c>
      <c r="P149" s="135"/>
      <c r="Q149" s="136"/>
      <c r="R149" s="134"/>
    </row>
    <row r="150">
      <c r="A150" s="125">
        <v>43451.0</v>
      </c>
      <c r="B150" s="127" t="s">
        <v>307</v>
      </c>
      <c r="C150" s="133" t="s">
        <v>308</v>
      </c>
      <c r="D150" s="264" t="s">
        <v>222</v>
      </c>
      <c r="E150" s="264">
        <v>48.0</v>
      </c>
      <c r="F150" s="218">
        <v>43.36</v>
      </c>
      <c r="G150" s="132">
        <v>-2081.28</v>
      </c>
      <c r="H150" s="133" t="s">
        <v>1071</v>
      </c>
      <c r="I150" s="134">
        <f t="shared" ref="I150:J150" si="154">IFS(AND($B150&lt;&gt;"",$E150&lt;&gt;""),IF(INDEX(N:N,MATCH($C150,$P:$P,0),1)&lt;&gt;"",$E150*INDEX(N:N,MATCH($C150,$P:$P,0),1)+$G150,""),AND($B150&lt;&gt;"",$D150="COST"),$G150,TRUE,)</f>
        <v>224.16</v>
      </c>
      <c r="J150" s="134">
        <f t="shared" si="154"/>
        <v>123.2154353</v>
      </c>
      <c r="K150" s="219" t="str">
        <f t="shared" si="3"/>
        <v>Vanguard S&amp;P 500 UCITS ETF</v>
      </c>
      <c r="L150" s="150">
        <f t="shared" si="4"/>
        <v>4429</v>
      </c>
      <c r="M150" s="150">
        <f t="shared" si="5"/>
        <v>-189831.65</v>
      </c>
      <c r="N150" s="139" t="str">
        <f t="array" ref="N150">IF($P150&lt;&gt;"",IF(MAXIFS(Investment!$L:$L,Investment!$D:$D,LEFT($P150,40)&amp;"*"),MAXIFS(Investment!$L:$L,Investment!$D:$D,LEFT($P150,40)&amp;"*"),IFERROR(INDEX(Selection!$H:$H, MATCH($P150,Selection!$F:$F,0))/IF(OR(INDEX(Selection!$C:$C, MATCH($P150,Selection!$F:$F,0))="LN",INDEX(Selection!$C:$C, MATCH($P150,Selection!$F:$F,0))="US"),Investment!$K$7,1),"")),"")</f>
        <v/>
      </c>
      <c r="O150" s="144" t="str">
        <f>IF($P150&lt;&gt;"",IF(MAXIFS(Investment!$AG:$AG,Investment!$D:$D,LEFT($P150,40)&amp;"*"),MAXIFS(Investment!$AG:$AG,Investment!$D:$D,LEFT($P150,40)&amp;"*"),""),"")</f>
        <v/>
      </c>
      <c r="P150" s="135"/>
      <c r="Q150" s="136"/>
      <c r="R150" s="134"/>
    </row>
    <row r="151">
      <c r="A151" s="125">
        <v>43451.0</v>
      </c>
      <c r="B151" s="127" t="s">
        <v>307</v>
      </c>
      <c r="C151" s="133" t="s">
        <v>308</v>
      </c>
      <c r="D151" s="264" t="s">
        <v>263</v>
      </c>
      <c r="E151" s="264"/>
      <c r="F151" s="218"/>
      <c r="G151" s="132">
        <v>-2.42</v>
      </c>
      <c r="H151" s="133" t="s">
        <v>1072</v>
      </c>
      <c r="I151" s="134">
        <f t="shared" ref="I151:J151" si="155">IFS(AND($B151&lt;&gt;"",$E151&lt;&gt;""),IF(INDEX(N:N,MATCH($C151,$P:$P,0),1)&lt;&gt;"",$E151*INDEX(N:N,MATCH($C151,$P:$P,0),1)+$G151,""),AND($B151&lt;&gt;"",$D151="COST"),$G151,TRUE,)</f>
        <v>-2.42</v>
      </c>
      <c r="J151" s="134">
        <f t="shared" si="155"/>
        <v>-2.42</v>
      </c>
      <c r="K151" s="219" t="str">
        <f t="shared" si="3"/>
        <v>Vanguard S&amp;P 500 UCITS ETF</v>
      </c>
      <c r="L151" s="150">
        <f t="shared" si="4"/>
        <v>4429</v>
      </c>
      <c r="M151" s="150">
        <f t="shared" si="5"/>
        <v>-189831.65</v>
      </c>
      <c r="N151" s="139" t="str">
        <f t="array" ref="N151">IF($P151&lt;&gt;"",IF(MAXIFS(Investment!$L:$L,Investment!$D:$D,LEFT($P151,40)&amp;"*"),MAXIFS(Investment!$L:$L,Investment!$D:$D,LEFT($P151,40)&amp;"*"),IFERROR(INDEX(Selection!$H:$H, MATCH($P151,Selection!$F:$F,0))/IF(OR(INDEX(Selection!$C:$C, MATCH($P151,Selection!$F:$F,0))="LN",INDEX(Selection!$C:$C, MATCH($P151,Selection!$F:$F,0))="US"),Investment!$K$7,1),"")),"")</f>
        <v/>
      </c>
      <c r="O151" s="144" t="str">
        <f>IF($P151&lt;&gt;"",IF(MAXIFS(Investment!$AG:$AG,Investment!$D:$D,LEFT($P151,40)&amp;"*"),MAXIFS(Investment!$AG:$AG,Investment!$D:$D,LEFT($P151,40)&amp;"*"),""),"")</f>
        <v/>
      </c>
      <c r="P151" s="135"/>
      <c r="Q151" s="136"/>
      <c r="R151" s="134"/>
    </row>
    <row r="152">
      <c r="A152" s="125">
        <v>43451.0</v>
      </c>
      <c r="B152" s="127" t="s">
        <v>307</v>
      </c>
      <c r="C152" s="133" t="s">
        <v>308</v>
      </c>
      <c r="D152" s="264" t="s">
        <v>222</v>
      </c>
      <c r="E152" s="264">
        <v>60.0</v>
      </c>
      <c r="F152" s="218">
        <v>43.37</v>
      </c>
      <c r="G152" s="132">
        <v>-2602.2</v>
      </c>
      <c r="H152" s="133" t="s">
        <v>1073</v>
      </c>
      <c r="I152" s="134">
        <f t="shared" ref="I152:J152" si="156">IFS(AND($B152&lt;&gt;"",$E152&lt;&gt;""),IF(INDEX(N:N,MATCH($C152,$P:$P,0),1)&lt;&gt;"",$E152*INDEX(N:N,MATCH($C152,$P:$P,0),1)+$G152,""),AND($B152&lt;&gt;"",$D152="COST"),$G152,TRUE,)</f>
        <v>279.6</v>
      </c>
      <c r="J152" s="134">
        <f t="shared" si="156"/>
        <v>153.4192941</v>
      </c>
      <c r="K152" s="219" t="str">
        <f t="shared" si="3"/>
        <v>Vanguard S&amp;P 500 UCITS ETF</v>
      </c>
      <c r="L152" s="150">
        <f t="shared" si="4"/>
        <v>4429</v>
      </c>
      <c r="M152" s="150">
        <f t="shared" si="5"/>
        <v>-189831.65</v>
      </c>
      <c r="N152" s="139" t="str">
        <f t="array" ref="N152">IF($P152&lt;&gt;"",IF(MAXIFS(Investment!$L:$L,Investment!$D:$D,LEFT($P152,40)&amp;"*"),MAXIFS(Investment!$L:$L,Investment!$D:$D,LEFT($P152,40)&amp;"*"),IFERROR(INDEX(Selection!$H:$H, MATCH($P152,Selection!$F:$F,0))/IF(OR(INDEX(Selection!$C:$C, MATCH($P152,Selection!$F:$F,0))="LN",INDEX(Selection!$C:$C, MATCH($P152,Selection!$F:$F,0))="US"),Investment!$K$7,1),"")),"")</f>
        <v/>
      </c>
      <c r="O152" s="144" t="str">
        <f>IF($P152&lt;&gt;"",IF(MAXIFS(Investment!$AG:$AG,Investment!$D:$D,LEFT($P152,40)&amp;"*"),MAXIFS(Investment!$AG:$AG,Investment!$D:$D,LEFT($P152,40)&amp;"*"),""),"")</f>
        <v/>
      </c>
      <c r="P152" s="135"/>
      <c r="Q152" s="136"/>
      <c r="R152" s="134"/>
    </row>
    <row r="153">
      <c r="A153" s="125">
        <v>43451.0</v>
      </c>
      <c r="B153" s="127" t="s">
        <v>307</v>
      </c>
      <c r="C153" s="133" t="s">
        <v>308</v>
      </c>
      <c r="D153" s="264" t="s">
        <v>263</v>
      </c>
      <c r="E153" s="264"/>
      <c r="F153" s="218"/>
      <c r="G153" s="132">
        <v>-2.52</v>
      </c>
      <c r="H153" s="133" t="s">
        <v>1076</v>
      </c>
      <c r="I153" s="134">
        <f t="shared" ref="I153:J153" si="157">IFS(AND($B153&lt;&gt;"",$E153&lt;&gt;""),IF(INDEX(N:N,MATCH($C153,$P:$P,0),1)&lt;&gt;"",$E153*INDEX(N:N,MATCH($C153,$P:$P,0),1)+$G153,""),AND($B153&lt;&gt;"",$D153="COST"),$G153,TRUE,)</f>
        <v>-2.52</v>
      </c>
      <c r="J153" s="134">
        <f t="shared" si="157"/>
        <v>-2.52</v>
      </c>
      <c r="K153" s="219" t="str">
        <f t="shared" si="3"/>
        <v>Vanguard S&amp;P 500 UCITS ETF</v>
      </c>
      <c r="L153" s="150">
        <f t="shared" si="4"/>
        <v>4429</v>
      </c>
      <c r="M153" s="150">
        <f t="shared" si="5"/>
        <v>-189831.65</v>
      </c>
      <c r="N153" s="139" t="str">
        <f t="array" ref="N153">IF($P153&lt;&gt;"",IF(MAXIFS(Investment!$L:$L,Investment!$D:$D,LEFT($P153,40)&amp;"*"),MAXIFS(Investment!$L:$L,Investment!$D:$D,LEFT($P153,40)&amp;"*"),IFERROR(INDEX(Selection!$H:$H, MATCH($P153,Selection!$F:$F,0))/IF(OR(INDEX(Selection!$C:$C, MATCH($P153,Selection!$F:$F,0))="LN",INDEX(Selection!$C:$C, MATCH($P153,Selection!$F:$F,0))="US"),Investment!$K$7,1),"")),"")</f>
        <v/>
      </c>
      <c r="O153" s="144" t="str">
        <f>IF($P153&lt;&gt;"",IF(MAXIFS(Investment!$AG:$AG,Investment!$D:$D,LEFT($P153,40)&amp;"*"),MAXIFS(Investment!$AG:$AG,Investment!$D:$D,LEFT($P153,40)&amp;"*"),""),"")</f>
        <v/>
      </c>
      <c r="P153" s="135"/>
      <c r="Q153" s="136"/>
      <c r="R153" s="134"/>
    </row>
    <row r="154">
      <c r="A154" s="125">
        <v>43451.0</v>
      </c>
      <c r="B154" s="127" t="s">
        <v>307</v>
      </c>
      <c r="C154" s="133" t="s">
        <v>308</v>
      </c>
      <c r="D154" s="264" t="s">
        <v>222</v>
      </c>
      <c r="E154" s="264">
        <v>88.0</v>
      </c>
      <c r="F154" s="218">
        <v>43.7</v>
      </c>
      <c r="G154" s="132">
        <v>-3845.6</v>
      </c>
      <c r="H154" s="133" t="s">
        <v>1082</v>
      </c>
      <c r="I154" s="134">
        <f t="shared" ref="I154:J154" si="158">IFS(AND($B154&lt;&gt;"",$E154&lt;&gt;""),IF(INDEX(N:N,MATCH($C154,$P:$P,0),1)&lt;&gt;"",$E154*INDEX(N:N,MATCH($C154,$P:$P,0),1)+$G154,""),AND($B154&lt;&gt;"",$D154="COST"),$G154,TRUE,)</f>
        <v>381.04</v>
      </c>
      <c r="J154" s="134">
        <f t="shared" si="158"/>
        <v>195.9749647</v>
      </c>
      <c r="K154" s="219" t="str">
        <f t="shared" si="3"/>
        <v>Vanguard S&amp;P 500 UCITS ETF</v>
      </c>
      <c r="L154" s="150">
        <f t="shared" si="4"/>
        <v>4429</v>
      </c>
      <c r="M154" s="150">
        <f t="shared" si="5"/>
        <v>-189831.65</v>
      </c>
      <c r="N154" s="139" t="str">
        <f t="array" ref="N154">IF($P154&lt;&gt;"",IF(MAXIFS(Investment!$L:$L,Investment!$D:$D,LEFT($P154,40)&amp;"*"),MAXIFS(Investment!$L:$L,Investment!$D:$D,LEFT($P154,40)&amp;"*"),IFERROR(INDEX(Selection!$H:$H, MATCH($P154,Selection!$F:$F,0))/IF(OR(INDEX(Selection!$C:$C, MATCH($P154,Selection!$F:$F,0))="LN",INDEX(Selection!$C:$C, MATCH($P154,Selection!$F:$F,0))="US"),Investment!$K$7,1),"")),"")</f>
        <v/>
      </c>
      <c r="O154" s="144" t="str">
        <f>IF($P154&lt;&gt;"",IF(MAXIFS(Investment!$AG:$AG,Investment!$D:$D,LEFT($P154,40)&amp;"*"),MAXIFS(Investment!$AG:$AG,Investment!$D:$D,LEFT($P154,40)&amp;"*"),""),"")</f>
        <v/>
      </c>
      <c r="P154" s="135"/>
      <c r="Q154" s="136"/>
      <c r="R154" s="134"/>
    </row>
    <row r="155">
      <c r="A155" s="125">
        <v>43451.0</v>
      </c>
      <c r="B155" s="127" t="s">
        <v>307</v>
      </c>
      <c r="C155" s="133" t="s">
        <v>308</v>
      </c>
      <c r="D155" s="264" t="s">
        <v>263</v>
      </c>
      <c r="E155" s="264"/>
      <c r="F155" s="218"/>
      <c r="G155" s="132">
        <v>-2.77</v>
      </c>
      <c r="H155" s="133" t="s">
        <v>1089</v>
      </c>
      <c r="I155" s="134">
        <f t="shared" ref="I155:J155" si="159">IFS(AND($B155&lt;&gt;"",$E155&lt;&gt;""),IF(INDEX(N:N,MATCH($C155,$P:$P,0),1)&lt;&gt;"",$E155*INDEX(N:N,MATCH($C155,$P:$P,0),1)+$G155,""),AND($B155&lt;&gt;"",$D155="COST"),$G155,TRUE,)</f>
        <v>-2.77</v>
      </c>
      <c r="J155" s="134">
        <f t="shared" si="159"/>
        <v>-2.77</v>
      </c>
      <c r="K155" s="219" t="str">
        <f t="shared" si="3"/>
        <v>Vanguard S&amp;P 500 UCITS ETF</v>
      </c>
      <c r="L155" s="150">
        <f t="shared" si="4"/>
        <v>4429</v>
      </c>
      <c r="M155" s="150">
        <f t="shared" si="5"/>
        <v>-189831.65</v>
      </c>
      <c r="N155" s="139" t="str">
        <f t="array" ref="N155">IF($P155&lt;&gt;"",IF(MAXIFS(Investment!$L:$L,Investment!$D:$D,LEFT($P155,40)&amp;"*"),MAXIFS(Investment!$L:$L,Investment!$D:$D,LEFT($P155,40)&amp;"*"),IFERROR(INDEX(Selection!$H:$H, MATCH($P155,Selection!$F:$F,0))/IF(OR(INDEX(Selection!$C:$C, MATCH($P155,Selection!$F:$F,0))="LN",INDEX(Selection!$C:$C, MATCH($P155,Selection!$F:$F,0))="US"),Investment!$K$7,1),"")),"")</f>
        <v/>
      </c>
      <c r="O155" s="144" t="str">
        <f>IF($P155&lt;&gt;"",IF(MAXIFS(Investment!$AG:$AG,Investment!$D:$D,LEFT($P155,40)&amp;"*"),MAXIFS(Investment!$AG:$AG,Investment!$D:$D,LEFT($P155,40)&amp;"*"),""),"")</f>
        <v/>
      </c>
      <c r="P155" s="135"/>
      <c r="Q155" s="136"/>
      <c r="R155" s="134"/>
    </row>
    <row r="156">
      <c r="A156" s="125">
        <v>43448.0</v>
      </c>
      <c r="B156" s="127" t="s">
        <v>307</v>
      </c>
      <c r="C156" s="133" t="s">
        <v>308</v>
      </c>
      <c r="D156" s="264" t="s">
        <v>245</v>
      </c>
      <c r="E156" s="264">
        <v>-190.0</v>
      </c>
      <c r="F156" s="218">
        <v>44.39</v>
      </c>
      <c r="G156" s="132">
        <v>8434.1</v>
      </c>
      <c r="H156" s="133" t="s">
        <v>1090</v>
      </c>
      <c r="I156" s="134">
        <f t="shared" ref="I156:J156" si="160">IFS(AND($B156&lt;&gt;"",$E156&lt;&gt;""),IF(INDEX(N:N,MATCH($C156,$P:$P,0),1)&lt;&gt;"",$E156*INDEX(N:N,MATCH($C156,$P:$P,0),1)+$G156,""),AND($B156&lt;&gt;"",$D156="COST"),$G156,TRUE,)</f>
        <v>-691.6</v>
      </c>
      <c r="J156" s="134">
        <f t="shared" si="160"/>
        <v>-292.0277647</v>
      </c>
      <c r="K156" s="219" t="str">
        <f t="shared" si="3"/>
        <v>Vanguard S&amp;P 500 UCITS ETF</v>
      </c>
      <c r="L156" s="150">
        <f t="shared" si="4"/>
        <v>4429</v>
      </c>
      <c r="M156" s="150">
        <f t="shared" si="5"/>
        <v>-189831.65</v>
      </c>
      <c r="N156" s="139" t="str">
        <f t="array" ref="N156">IF($P156&lt;&gt;"",IF(MAXIFS(Investment!$L:$L,Investment!$D:$D,LEFT($P156,40)&amp;"*"),MAXIFS(Investment!$L:$L,Investment!$D:$D,LEFT($P156,40)&amp;"*"),IFERROR(INDEX(Selection!$H:$H, MATCH($P156,Selection!$F:$F,0))/IF(OR(INDEX(Selection!$C:$C, MATCH($P156,Selection!$F:$F,0))="LN",INDEX(Selection!$C:$C, MATCH($P156,Selection!$F:$F,0))="US"),Investment!$K$7,1),"")),"")</f>
        <v/>
      </c>
      <c r="O156" s="144" t="str">
        <f>IF($P156&lt;&gt;"",IF(MAXIFS(Investment!$AG:$AG,Investment!$D:$D,LEFT($P156,40)&amp;"*"),MAXIFS(Investment!$AG:$AG,Investment!$D:$D,LEFT($P156,40)&amp;"*"),""),"")</f>
        <v/>
      </c>
      <c r="P156" s="135"/>
      <c r="Q156" s="136"/>
      <c r="R156" s="134"/>
    </row>
    <row r="157">
      <c r="A157" s="125">
        <v>43448.0</v>
      </c>
      <c r="B157" s="127" t="s">
        <v>307</v>
      </c>
      <c r="C157" s="133" t="s">
        <v>308</v>
      </c>
      <c r="D157" s="264" t="s">
        <v>263</v>
      </c>
      <c r="E157" s="264"/>
      <c r="F157" s="218"/>
      <c r="G157" s="132">
        <v>-3.69</v>
      </c>
      <c r="H157" s="133" t="s">
        <v>1095</v>
      </c>
      <c r="I157" s="134">
        <f t="shared" ref="I157:J157" si="161">IFS(AND($B157&lt;&gt;"",$E157&lt;&gt;""),IF(INDEX(N:N,MATCH($C157,$P:$P,0),1)&lt;&gt;"",$E157*INDEX(N:N,MATCH($C157,$P:$P,0),1)+$G157,""),AND($B157&lt;&gt;"",$D157="COST"),$G157,TRUE,)</f>
        <v>-3.69</v>
      </c>
      <c r="J157" s="134">
        <f t="shared" si="161"/>
        <v>-3.69</v>
      </c>
      <c r="K157" s="219" t="str">
        <f t="shared" si="3"/>
        <v>Vanguard S&amp;P 500 UCITS ETF</v>
      </c>
      <c r="L157" s="150">
        <f t="shared" si="4"/>
        <v>4429</v>
      </c>
      <c r="M157" s="150">
        <f t="shared" si="5"/>
        <v>-189831.65</v>
      </c>
      <c r="N157" s="139" t="str">
        <f t="array" ref="N157">IF($P157&lt;&gt;"",IF(MAXIFS(Investment!$L:$L,Investment!$D:$D,LEFT($P157,40)&amp;"*"),MAXIFS(Investment!$L:$L,Investment!$D:$D,LEFT($P157,40)&amp;"*"),IFERROR(INDEX(Selection!$H:$H, MATCH($P157,Selection!$F:$F,0))/IF(OR(INDEX(Selection!$C:$C, MATCH($P157,Selection!$F:$F,0))="LN",INDEX(Selection!$C:$C, MATCH($P157,Selection!$F:$F,0))="US"),Investment!$K$7,1),"")),"")</f>
        <v/>
      </c>
      <c r="O157" s="144" t="str">
        <f>IF($P157&lt;&gt;"",IF(MAXIFS(Investment!$AG:$AG,Investment!$D:$D,LEFT($P157,40)&amp;"*"),MAXIFS(Investment!$AG:$AG,Investment!$D:$D,LEFT($P157,40)&amp;"*"),""),"")</f>
        <v/>
      </c>
      <c r="P157" s="135"/>
      <c r="Q157" s="136"/>
      <c r="R157" s="134"/>
    </row>
    <row r="158">
      <c r="A158" s="125">
        <v>43441.0</v>
      </c>
      <c r="B158" s="127" t="s">
        <v>307</v>
      </c>
      <c r="C158" s="133" t="s">
        <v>308</v>
      </c>
      <c r="D158" s="264" t="s">
        <v>222</v>
      </c>
      <c r="E158" s="264">
        <v>91.0</v>
      </c>
      <c r="F158" s="218">
        <v>44.735</v>
      </c>
      <c r="G158" s="132">
        <v>-4070.88</v>
      </c>
      <c r="H158" s="133" t="s">
        <v>1096</v>
      </c>
      <c r="I158" s="134">
        <f t="shared" ref="I158:J158" si="162">IFS(AND($B158&lt;&gt;"",$E158&lt;&gt;""),IF(INDEX(N:N,MATCH($C158,$P:$P,0),1)&lt;&gt;"",$E158*INDEX(N:N,MATCH($C158,$P:$P,0),1)+$G158,""),AND($B158&lt;&gt;"",$D158="COST"),$G158,TRUE,)</f>
        <v>299.85</v>
      </c>
      <c r="J158" s="134">
        <f t="shared" si="162"/>
        <v>108.4759294</v>
      </c>
      <c r="K158" s="219" t="str">
        <f t="shared" si="3"/>
        <v>Vanguard S&amp;P 500 UCITS ETF</v>
      </c>
      <c r="L158" s="150">
        <f t="shared" si="4"/>
        <v>4429</v>
      </c>
      <c r="M158" s="150">
        <f t="shared" si="5"/>
        <v>-189831.65</v>
      </c>
      <c r="N158" s="139" t="str">
        <f t="array" ref="N158">IF($P158&lt;&gt;"",IF(MAXIFS(Investment!$L:$L,Investment!$D:$D,LEFT($P158,40)&amp;"*"),MAXIFS(Investment!$L:$L,Investment!$D:$D,LEFT($P158,40)&amp;"*"),IFERROR(INDEX(Selection!$H:$H, MATCH($P158,Selection!$F:$F,0))/IF(OR(INDEX(Selection!$C:$C, MATCH($P158,Selection!$F:$F,0))="LN",INDEX(Selection!$C:$C, MATCH($P158,Selection!$F:$F,0))="US"),Investment!$K$7,1),"")),"")</f>
        <v/>
      </c>
      <c r="O158" s="144" t="str">
        <f>IF($P158&lt;&gt;"",IF(MAXIFS(Investment!$AG:$AG,Investment!$D:$D,LEFT($P158,40)&amp;"*"),MAXIFS(Investment!$AG:$AG,Investment!$D:$D,LEFT($P158,40)&amp;"*"),""),"")</f>
        <v/>
      </c>
      <c r="P158" s="135"/>
      <c r="Q158" s="136"/>
      <c r="R158" s="134"/>
    </row>
    <row r="159">
      <c r="A159" s="125">
        <v>43441.0</v>
      </c>
      <c r="B159" s="127" t="s">
        <v>217</v>
      </c>
      <c r="C159" s="133" t="s">
        <v>220</v>
      </c>
      <c r="D159" s="264" t="s">
        <v>222</v>
      </c>
      <c r="E159" s="264">
        <v>255.0</v>
      </c>
      <c r="F159" s="218">
        <v>7.357</v>
      </c>
      <c r="G159" s="132">
        <v>-1876.04</v>
      </c>
      <c r="H159" s="133" t="s">
        <v>1097</v>
      </c>
      <c r="I159" s="134">
        <f t="shared" ref="I159:J159" si="163">IFS(AND($B159&lt;&gt;"",$E159&lt;&gt;""),IF(INDEX(N:N,MATCH($C159,$P:$P,0),1)&lt;&gt;"",$E159*INDEX(N:N,MATCH($C159,$P:$P,0),1)+$G159,""),AND($B159&lt;&gt;"",$D159="COST"),$G159,TRUE,)</f>
        <v>-46.415</v>
      </c>
      <c r="J159" s="134">
        <f t="shared" si="163"/>
        <v>10.201</v>
      </c>
      <c r="K159" s="219" t="str">
        <f t="shared" si="3"/>
        <v>ETFS All Commodities</v>
      </c>
      <c r="L159" s="150">
        <f t="shared" si="4"/>
        <v>8177</v>
      </c>
      <c r="M159" s="150">
        <f t="shared" si="5"/>
        <v>-60085.79</v>
      </c>
      <c r="N159" s="139" t="str">
        <f t="array" ref="N159">IF($P159&lt;&gt;"",IF(MAXIFS(Investment!$L:$L,Investment!$D:$D,LEFT($P159,40)&amp;"*"),MAXIFS(Investment!$L:$L,Investment!$D:$D,LEFT($P159,40)&amp;"*"),IFERROR(INDEX(Selection!$H:$H, MATCH($P159,Selection!$F:$F,0))/IF(OR(INDEX(Selection!$C:$C, MATCH($P159,Selection!$F:$F,0))="LN",INDEX(Selection!$C:$C, MATCH($P159,Selection!$F:$F,0))="US"),Investment!$K$7,1),"")),"")</f>
        <v/>
      </c>
      <c r="O159" s="144" t="str">
        <f>IF($P159&lt;&gt;"",IF(MAXIFS(Investment!$AG:$AG,Investment!$D:$D,LEFT($P159,40)&amp;"*"),MAXIFS(Investment!$AG:$AG,Investment!$D:$D,LEFT($P159,40)&amp;"*"),""),"")</f>
        <v/>
      </c>
      <c r="P159" s="135"/>
      <c r="Q159" s="136"/>
      <c r="R159" s="134"/>
    </row>
    <row r="160">
      <c r="A160" s="125">
        <v>43440.0</v>
      </c>
      <c r="B160" s="127" t="s">
        <v>243</v>
      </c>
      <c r="C160" s="56" t="s">
        <v>403</v>
      </c>
      <c r="D160" s="264" t="s">
        <v>263</v>
      </c>
      <c r="E160" s="264"/>
      <c r="F160" s="218"/>
      <c r="G160" s="132">
        <v>-2.31</v>
      </c>
      <c r="H160" s="133" t="s">
        <v>1098</v>
      </c>
      <c r="I160" s="134">
        <f t="shared" ref="I160:J160" si="164">IFS(AND($B160&lt;&gt;"",$E160&lt;&gt;""),IF(INDEX(N:N,MATCH($C160,$P:$P,0),1)&lt;&gt;"",$E160*INDEX(N:N,MATCH($C160,$P:$P,0),1)+$G160,""),AND($B160&lt;&gt;"",$D160="COST"),$G160,TRUE,)</f>
        <v>-2.31</v>
      </c>
      <c r="J160" s="134">
        <f t="shared" si="164"/>
        <v>-2.31</v>
      </c>
      <c r="K160" s="219" t="str">
        <f t="shared" si="3"/>
        <v>iShares USD Treasury Bond 20+yr UCITS ETF USD Dist</v>
      </c>
      <c r="L160" s="150">
        <f t="shared" si="4"/>
        <v>0</v>
      </c>
      <c r="M160" s="150">
        <f t="shared" si="5"/>
        <v>27424.23</v>
      </c>
      <c r="N160" s="139" t="str">
        <f t="array" ref="N160">IF($P160&lt;&gt;"",IF(MAXIFS(Investment!$L:$L,Investment!$D:$D,LEFT($P160,40)&amp;"*"),MAXIFS(Investment!$L:$L,Investment!$D:$D,LEFT($P160,40)&amp;"*"),IFERROR(INDEX(Selection!$H:$H, MATCH($P160,Selection!$F:$F,0))/IF(OR(INDEX(Selection!$C:$C, MATCH($P160,Selection!$F:$F,0))="LN",INDEX(Selection!$C:$C, MATCH($P160,Selection!$F:$F,0))="US"),Investment!$K$7,1),"")),"")</f>
        <v/>
      </c>
      <c r="O160" s="144" t="str">
        <f>IF($P160&lt;&gt;"",IF(MAXIFS(Investment!$AG:$AG,Investment!$D:$D,LEFT($P160,40)&amp;"*"),MAXIFS(Investment!$AG:$AG,Investment!$D:$D,LEFT($P160,40)&amp;"*"),""),"")</f>
        <v/>
      </c>
      <c r="P160" s="135"/>
      <c r="Q160" s="136"/>
      <c r="R160" s="134"/>
    </row>
    <row r="161">
      <c r="A161" s="125">
        <v>43440.0</v>
      </c>
      <c r="B161" s="127" t="s">
        <v>243</v>
      </c>
      <c r="C161" s="56" t="s">
        <v>403</v>
      </c>
      <c r="D161" s="264" t="s">
        <v>245</v>
      </c>
      <c r="E161" s="264">
        <v>-392.0</v>
      </c>
      <c r="F161" s="218">
        <v>3.935</v>
      </c>
      <c r="G161" s="132">
        <v>1542.58</v>
      </c>
      <c r="H161" s="133" t="s">
        <v>1099</v>
      </c>
      <c r="I161" s="134">
        <f t="shared" ref="I161:J161" si="165">IFS(AND($B161&lt;&gt;"",$E161&lt;&gt;""),IF(INDEX(N:N,MATCH($C161,$P:$P,0),1)&lt;&gt;"",$E161*INDEX(N:N,MATCH($C161,$P:$P,0),1)+$G161,""),AND($B161&lt;&gt;"",$D161="COST"),$G161,TRUE,)</f>
        <v>-109.6216</v>
      </c>
      <c r="J161" s="134">
        <f t="shared" si="165"/>
        <v>5.841923137</v>
      </c>
      <c r="K161" s="219" t="str">
        <f t="shared" si="3"/>
        <v>iShares USD Treasury Bond 20+yr UCITS ETF USD Dist</v>
      </c>
      <c r="L161" s="150">
        <f t="shared" si="4"/>
        <v>0</v>
      </c>
      <c r="M161" s="150">
        <f t="shared" si="5"/>
        <v>27424.23</v>
      </c>
      <c r="N161" s="139" t="str">
        <f t="array" ref="N161">IF($P161&lt;&gt;"",IF(MAXIFS(Investment!$L:$L,Investment!$D:$D,LEFT($P161,40)&amp;"*"),MAXIFS(Investment!$L:$L,Investment!$D:$D,LEFT($P161,40)&amp;"*"),IFERROR(INDEX(Selection!$H:$H, MATCH($P161,Selection!$F:$F,0))/IF(OR(INDEX(Selection!$C:$C, MATCH($P161,Selection!$F:$F,0))="LN",INDEX(Selection!$C:$C, MATCH($P161,Selection!$F:$F,0))="US"),Investment!$K$7,1),"")),"")</f>
        <v/>
      </c>
      <c r="O161" s="144" t="str">
        <f>IF($P161&lt;&gt;"",IF(MAXIFS(Investment!$AG:$AG,Investment!$D:$D,LEFT($P161,40)&amp;"*"),MAXIFS(Investment!$AG:$AG,Investment!$D:$D,LEFT($P161,40)&amp;"*"),""),"")</f>
        <v/>
      </c>
      <c r="P161" s="135"/>
      <c r="Q161" s="136"/>
      <c r="R161" s="134"/>
    </row>
    <row r="162">
      <c r="A162" s="125">
        <v>43440.0</v>
      </c>
      <c r="B162" s="127" t="s">
        <v>307</v>
      </c>
      <c r="C162" s="133" t="s">
        <v>308</v>
      </c>
      <c r="D162" s="264" t="s">
        <v>222</v>
      </c>
      <c r="E162" s="264">
        <v>236.0</v>
      </c>
      <c r="F162" s="218">
        <v>44.578</v>
      </c>
      <c r="G162" s="132">
        <v>-10520.4</v>
      </c>
      <c r="H162" s="133" t="s">
        <v>1100</v>
      </c>
      <c r="I162" s="134">
        <f t="shared" ref="I162:J162" si="166">IFS(AND($B162&lt;&gt;"",$E162&lt;&gt;""),IF(INDEX(N:N,MATCH($C162,$P:$P,0),1)&lt;&gt;"",$E162*INDEX(N:N,MATCH($C162,$P:$P,0),1)+$G162,""),AND($B162&lt;&gt;"",$D162="COST"),$G162,TRUE,)</f>
        <v>814.68</v>
      </c>
      <c r="J162" s="134">
        <f t="shared" si="166"/>
        <v>318.3692235</v>
      </c>
      <c r="K162" s="219" t="str">
        <f t="shared" si="3"/>
        <v>Vanguard S&amp;P 500 UCITS ETF</v>
      </c>
      <c r="L162" s="150">
        <f t="shared" si="4"/>
        <v>4429</v>
      </c>
      <c r="M162" s="150">
        <f t="shared" si="5"/>
        <v>-189831.65</v>
      </c>
      <c r="N162" s="139" t="str">
        <f t="array" ref="N162">IF($P162&lt;&gt;"",IF(MAXIFS(Investment!$L:$L,Investment!$D:$D,LEFT($P162,40)&amp;"*"),MAXIFS(Investment!$L:$L,Investment!$D:$D,LEFT($P162,40)&amp;"*"),IFERROR(INDEX(Selection!$H:$H, MATCH($P162,Selection!$F:$F,0))/IF(OR(INDEX(Selection!$C:$C, MATCH($P162,Selection!$F:$F,0))="LN",INDEX(Selection!$C:$C, MATCH($P162,Selection!$F:$F,0))="US"),Investment!$K$7,1),"")),"")</f>
        <v/>
      </c>
      <c r="O162" s="144" t="str">
        <f>IF($P162&lt;&gt;"",IF(MAXIFS(Investment!$AG:$AG,Investment!$D:$D,LEFT($P162,40)&amp;"*"),MAXIFS(Investment!$AG:$AG,Investment!$D:$D,LEFT($P162,40)&amp;"*"),""),"")</f>
        <v/>
      </c>
      <c r="P162" s="135"/>
      <c r="Q162" s="136"/>
      <c r="R162" s="134"/>
    </row>
    <row r="163">
      <c r="A163" s="125">
        <v>43438.0</v>
      </c>
      <c r="B163" s="127"/>
      <c r="C163" s="133"/>
      <c r="D163" s="264" t="s">
        <v>268</v>
      </c>
      <c r="E163" s="264"/>
      <c r="F163" s="218"/>
      <c r="G163" s="132">
        <v>-1500.0</v>
      </c>
      <c r="H163" s="133" t="s">
        <v>680</v>
      </c>
      <c r="I163" s="134" t="str">
        <f t="shared" ref="I163:J163" si="167">IFS(AND($B163&lt;&gt;"",$E163&lt;&gt;""),IF(INDEX(N:N,MATCH($C163,$P:$P,0),1)&lt;&gt;"",$E163*INDEX(N:N,MATCH($C163,$P:$P,0),1)+$G163,""),AND($B163&lt;&gt;"",$D163="COST"),$G163,TRUE,)</f>
        <v/>
      </c>
      <c r="J163" s="134" t="str">
        <f t="shared" si="167"/>
        <v/>
      </c>
      <c r="K163" s="219" t="str">
        <f t="shared" si="3"/>
        <v/>
      </c>
      <c r="L163" s="150" t="str">
        <f t="shared" si="4"/>
        <v/>
      </c>
      <c r="M163" s="150" t="str">
        <f t="shared" si="5"/>
        <v/>
      </c>
      <c r="N163" s="139" t="str">
        <f t="array" ref="N163">IF($P163&lt;&gt;"",IF(MAXIFS(Investment!$L:$L,Investment!$D:$D,LEFT($P163,40)&amp;"*"),MAXIFS(Investment!$L:$L,Investment!$D:$D,LEFT($P163,40)&amp;"*"),IFERROR(INDEX(Selection!$H:$H, MATCH($P163,Selection!$F:$F,0))/IF(OR(INDEX(Selection!$C:$C, MATCH($P163,Selection!$F:$F,0))="LN",INDEX(Selection!$C:$C, MATCH($P163,Selection!$F:$F,0))="US"),Investment!$K$7,1),"")),"")</f>
        <v/>
      </c>
      <c r="O163" s="144" t="str">
        <f>IF($P163&lt;&gt;"",IF(MAXIFS(Investment!$AG:$AG,Investment!$D:$D,LEFT($P163,40)&amp;"*"),MAXIFS(Investment!$AG:$AG,Investment!$D:$D,LEFT($P163,40)&amp;"*"),""),"")</f>
        <v/>
      </c>
      <c r="P163" s="135"/>
      <c r="Q163" s="136"/>
      <c r="R163" s="134"/>
    </row>
    <row r="164">
      <c r="A164" s="125">
        <v>43438.0</v>
      </c>
      <c r="B164" s="127"/>
      <c r="C164" s="133"/>
      <c r="D164" s="264" t="s">
        <v>263</v>
      </c>
      <c r="E164" s="264"/>
      <c r="F164" s="218"/>
      <c r="G164" s="132">
        <v>-579.07</v>
      </c>
      <c r="H164" s="133" t="s">
        <v>1101</v>
      </c>
      <c r="I164" s="134" t="str">
        <f t="shared" ref="I164:J164" si="168">IFS(AND($B164&lt;&gt;"",$E164&lt;&gt;""),IF(INDEX(N:N,MATCH($C164,$P:$P,0),1)&lt;&gt;"",$E164*INDEX(N:N,MATCH($C164,$P:$P,0),1)+$G164,""),AND($B164&lt;&gt;"",$D164="COST"),$G164,TRUE,)</f>
        <v/>
      </c>
      <c r="J164" s="134" t="str">
        <f t="shared" si="168"/>
        <v/>
      </c>
      <c r="K164" s="219" t="str">
        <f t="shared" si="3"/>
        <v/>
      </c>
      <c r="L164" s="150" t="str">
        <f t="shared" si="4"/>
        <v/>
      </c>
      <c r="M164" s="150" t="str">
        <f t="shared" si="5"/>
        <v/>
      </c>
      <c r="N164" s="139" t="str">
        <f t="array" ref="N164">IF($P164&lt;&gt;"",IF(MAXIFS(Investment!$L:$L,Investment!$D:$D,LEFT($P164,40)&amp;"*"),MAXIFS(Investment!$L:$L,Investment!$D:$D,LEFT($P164,40)&amp;"*"),IFERROR(INDEX(Selection!$H:$H, MATCH($P164,Selection!$F:$F,0))/IF(OR(INDEX(Selection!$C:$C, MATCH($P164,Selection!$F:$F,0))="LN",INDEX(Selection!$C:$C, MATCH($P164,Selection!$F:$F,0))="US"),Investment!$K$7,1),"")),"")</f>
        <v/>
      </c>
      <c r="O164" s="144" t="str">
        <f>IF($P164&lt;&gt;"",IF(MAXIFS(Investment!$AG:$AG,Investment!$D:$D,LEFT($P164,40)&amp;"*"),MAXIFS(Investment!$AG:$AG,Investment!$D:$D,LEFT($P164,40)&amp;"*"),""),"")</f>
        <v/>
      </c>
      <c r="P164" s="135"/>
      <c r="Q164" s="136"/>
      <c r="R164" s="134"/>
    </row>
    <row r="165">
      <c r="A165" s="125">
        <v>43434.0</v>
      </c>
      <c r="B165" s="127" t="s">
        <v>277</v>
      </c>
      <c r="C165" s="56" t="s">
        <v>278</v>
      </c>
      <c r="D165" s="264" t="s">
        <v>390</v>
      </c>
      <c r="E165" s="264"/>
      <c r="F165" s="218"/>
      <c r="G165" s="132">
        <v>-204.87</v>
      </c>
      <c r="H165" s="133" t="s">
        <v>1102</v>
      </c>
      <c r="I165" s="134" t="str">
        <f t="shared" ref="I165:J165" si="169">IFS(AND($B165&lt;&gt;"",$E165&lt;&gt;""),IF(INDEX(N:N,MATCH($C165,$P:$P,0),1)&lt;&gt;"",$E165*INDEX(N:N,MATCH($C165,$P:$P,0),1)+$G165,""),AND($B165&lt;&gt;"",$D165="COST"),$G165,TRUE,)</f>
        <v/>
      </c>
      <c r="J165" s="134" t="str">
        <f t="shared" si="169"/>
        <v/>
      </c>
      <c r="K165" s="219" t="str">
        <f t="shared" si="3"/>
        <v>iShares USD Treasury Bond 7-10yr UCITS ETF</v>
      </c>
      <c r="L165" s="150">
        <f t="shared" si="4"/>
        <v>622</v>
      </c>
      <c r="M165" s="150">
        <f t="shared" si="5"/>
        <v>-96952.49</v>
      </c>
      <c r="N165" s="139" t="str">
        <f t="array" ref="N165">IF($P165&lt;&gt;"",IF(MAXIFS(Investment!$L:$L,Investment!$D:$D,LEFT($P165,40)&amp;"*"),MAXIFS(Investment!$L:$L,Investment!$D:$D,LEFT($P165,40)&amp;"*"),IFERROR(INDEX(Selection!$H:$H, MATCH($P165,Selection!$F:$F,0))/IF(OR(INDEX(Selection!$C:$C, MATCH($P165,Selection!$F:$F,0))="LN",INDEX(Selection!$C:$C, MATCH($P165,Selection!$F:$F,0))="US"),Investment!$K$7,1),"")),"")</f>
        <v/>
      </c>
      <c r="O165" s="144" t="str">
        <f>IF($P165&lt;&gt;"",IF(MAXIFS(Investment!$AG:$AG,Investment!$D:$D,LEFT($P165,40)&amp;"*"),MAXIFS(Investment!$AG:$AG,Investment!$D:$D,LEFT($P165,40)&amp;"*"),""),"")</f>
        <v/>
      </c>
      <c r="P165" s="135"/>
      <c r="Q165" s="136"/>
      <c r="R165" s="134"/>
    </row>
    <row r="166">
      <c r="A166" s="125">
        <v>43433.0</v>
      </c>
      <c r="B166" s="127" t="s">
        <v>277</v>
      </c>
      <c r="C166" s="127" t="s">
        <v>278</v>
      </c>
      <c r="D166" s="127" t="s">
        <v>390</v>
      </c>
      <c r="E166" s="128"/>
      <c r="F166" s="130"/>
      <c r="G166" s="132">
        <v>5.07</v>
      </c>
      <c r="H166" s="206" t="s">
        <v>1105</v>
      </c>
      <c r="I166" s="134" t="str">
        <f t="shared" ref="I166:J166" si="170">IFS(AND($B166&lt;&gt;"",$E166&lt;&gt;""),IF(INDEX(N:N,MATCH($C166,$P:$P,0),1)&lt;&gt;"",$E166*INDEX(N:N,MATCH($C166,$P:$P,0),1)+$G166,""),AND($B166&lt;&gt;"",$D166="COST"),$G166,TRUE,)</f>
        <v/>
      </c>
      <c r="J166" s="134" t="str">
        <f t="shared" si="170"/>
        <v/>
      </c>
      <c r="K166" s="219" t="str">
        <f t="shared" si="3"/>
        <v>iShares USD Treasury Bond 7-10yr UCITS ETF</v>
      </c>
      <c r="L166" s="150">
        <f t="shared" si="4"/>
        <v>622</v>
      </c>
      <c r="M166" s="150">
        <f t="shared" si="5"/>
        <v>-96952.49</v>
      </c>
      <c r="N166" s="139" t="str">
        <f t="array" ref="N166">IF($P166&lt;&gt;"",IF(MAXIFS(Investment!$L:$L,Investment!$D:$D,LEFT($P166,40)&amp;"*"),MAXIFS(Investment!$L:$L,Investment!$D:$D,LEFT($P166,40)&amp;"*"),IFERROR(INDEX(Selection!$H:$H, MATCH($P166,Selection!$F:$F,0))/IF(OR(INDEX(Selection!$C:$C, MATCH($P166,Selection!$F:$F,0))="LN",INDEX(Selection!$C:$C, MATCH($P166,Selection!$F:$F,0))="US"),Investment!$K$7,1),"")),"")</f>
        <v/>
      </c>
      <c r="O166" s="144" t="str">
        <f>IF($P166&lt;&gt;"",IF(MAXIFS(Investment!$AG:$AG,Investment!$D:$D,LEFT($P166,40)&amp;"*"),MAXIFS(Investment!$AG:$AG,Investment!$D:$D,LEFT($P166,40)&amp;"*"),""),"")</f>
        <v/>
      </c>
      <c r="P166" s="328"/>
      <c r="Q166" s="150"/>
      <c r="R166" s="329"/>
    </row>
    <row r="167">
      <c r="A167" s="125">
        <v>43433.0</v>
      </c>
      <c r="B167" s="127" t="s">
        <v>277</v>
      </c>
      <c r="C167" s="56" t="s">
        <v>278</v>
      </c>
      <c r="D167" s="264" t="s">
        <v>390</v>
      </c>
      <c r="E167" s="264"/>
      <c r="F167" s="218"/>
      <c r="G167" s="132">
        <v>1663.14</v>
      </c>
      <c r="H167" s="133" t="s">
        <v>1121</v>
      </c>
      <c r="I167" s="134" t="str">
        <f t="shared" ref="I167:J167" si="171">IFS(AND($B167&lt;&gt;"",$E167&lt;&gt;""),IF(INDEX(N:N,MATCH($C167,$P:$P,0),1)&lt;&gt;"",$E167*INDEX(N:N,MATCH($C167,$P:$P,0),1)+$G167,""),AND($B167&lt;&gt;"",$D167="COST"),$G167,TRUE,)</f>
        <v/>
      </c>
      <c r="J167" s="134" t="str">
        <f t="shared" si="171"/>
        <v/>
      </c>
      <c r="K167" s="219" t="str">
        <f t="shared" si="3"/>
        <v>iShares USD Treasury Bond 7-10yr UCITS ETF</v>
      </c>
      <c r="L167" s="150">
        <f t="shared" si="4"/>
        <v>622</v>
      </c>
      <c r="M167" s="150">
        <f t="shared" si="5"/>
        <v>-96952.49</v>
      </c>
      <c r="N167" s="139" t="str">
        <f t="array" ref="N167">IF($P167&lt;&gt;"",IF(MAXIFS(Investment!$L:$L,Investment!$D:$D,LEFT($P167,40)&amp;"*"),MAXIFS(Investment!$L:$L,Investment!$D:$D,LEFT($P167,40)&amp;"*"),IFERROR(INDEX(Selection!$H:$H, MATCH($P167,Selection!$F:$F,0))/IF(OR(INDEX(Selection!$C:$C, MATCH($P167,Selection!$F:$F,0))="LN",INDEX(Selection!$C:$C, MATCH($P167,Selection!$F:$F,0))="US"),Investment!$K$7,1),"")),"")</f>
        <v/>
      </c>
      <c r="O167" s="144" t="str">
        <f>IF($P167&lt;&gt;"",IF(MAXIFS(Investment!$AG:$AG,Investment!$D:$D,LEFT($P167,40)&amp;"*"),MAXIFS(Investment!$AG:$AG,Investment!$D:$D,LEFT($P167,40)&amp;"*"),""),"")</f>
        <v/>
      </c>
      <c r="P167" s="135"/>
      <c r="Q167" s="136"/>
      <c r="R167" s="134"/>
    </row>
    <row r="168">
      <c r="A168" s="125">
        <v>43433.0</v>
      </c>
      <c r="B168" s="127" t="s">
        <v>307</v>
      </c>
      <c r="C168" s="133" t="s">
        <v>308</v>
      </c>
      <c r="D168" s="264" t="s">
        <v>245</v>
      </c>
      <c r="E168" s="264">
        <v>-25.0</v>
      </c>
      <c r="F168" s="218">
        <v>45.7</v>
      </c>
      <c r="G168" s="132">
        <v>1142.5</v>
      </c>
      <c r="H168" s="133" t="s">
        <v>1157</v>
      </c>
      <c r="I168" s="134">
        <f t="shared" ref="I168:J168" si="172">IFS(AND($B168&lt;&gt;"",$E168&lt;&gt;""),IF(INDEX(N:N,MATCH($C168,$P:$P,0),1)&lt;&gt;"",$E168*INDEX(N:N,MATCH($C168,$P:$P,0),1)+$G168,""),AND($B168&lt;&gt;"",$D168="COST"),$G168,TRUE,)</f>
        <v>-58.25</v>
      </c>
      <c r="J168" s="134">
        <f t="shared" si="172"/>
        <v>-5.674705882</v>
      </c>
      <c r="K168" s="219" t="str">
        <f t="shared" si="3"/>
        <v>Vanguard S&amp;P 500 UCITS ETF</v>
      </c>
      <c r="L168" s="150">
        <f t="shared" si="4"/>
        <v>4429</v>
      </c>
      <c r="M168" s="150">
        <f t="shared" si="5"/>
        <v>-189831.65</v>
      </c>
      <c r="N168" s="139" t="str">
        <f t="array" ref="N168">IF($P168&lt;&gt;"",IF(MAXIFS(Investment!$L:$L,Investment!$D:$D,LEFT($P168,40)&amp;"*"),MAXIFS(Investment!$L:$L,Investment!$D:$D,LEFT($P168,40)&amp;"*"),IFERROR(INDEX(Selection!$H:$H, MATCH($P168,Selection!$F:$F,0))/IF(OR(INDEX(Selection!$C:$C, MATCH($P168,Selection!$F:$F,0))="LN",INDEX(Selection!$C:$C, MATCH($P168,Selection!$F:$F,0))="US"),Investment!$K$7,1),"")),"")</f>
        <v/>
      </c>
      <c r="O168" s="144" t="str">
        <f>IF($P168&lt;&gt;"",IF(MAXIFS(Investment!$AG:$AG,Investment!$D:$D,LEFT($P168,40)&amp;"*"),MAXIFS(Investment!$AG:$AG,Investment!$D:$D,LEFT($P168,40)&amp;"*"),""),"")</f>
        <v/>
      </c>
      <c r="P168" s="135"/>
      <c r="Q168" s="136"/>
      <c r="R168" s="134"/>
    </row>
    <row r="169">
      <c r="A169" s="125">
        <v>43433.0</v>
      </c>
      <c r="B169" s="127" t="s">
        <v>307</v>
      </c>
      <c r="C169" s="133" t="s">
        <v>308</v>
      </c>
      <c r="D169" s="264" t="s">
        <v>263</v>
      </c>
      <c r="E169" s="264"/>
      <c r="F169" s="218"/>
      <c r="G169" s="132">
        <v>-2.23</v>
      </c>
      <c r="H169" s="133" t="s">
        <v>1171</v>
      </c>
      <c r="I169" s="134">
        <f t="shared" ref="I169:J169" si="173">IFS(AND($B169&lt;&gt;"",$E169&lt;&gt;""),IF(INDEX(N:N,MATCH($C169,$P:$P,0),1)&lt;&gt;"",$E169*INDEX(N:N,MATCH($C169,$P:$P,0),1)+$G169,""),AND($B169&lt;&gt;"",$D169="COST"),$G169,TRUE,)</f>
        <v>-2.23</v>
      </c>
      <c r="J169" s="134">
        <f t="shared" si="173"/>
        <v>-2.23</v>
      </c>
      <c r="K169" s="219" t="str">
        <f t="shared" si="3"/>
        <v>Vanguard S&amp;P 500 UCITS ETF</v>
      </c>
      <c r="L169" s="150">
        <f t="shared" si="4"/>
        <v>4429</v>
      </c>
      <c r="M169" s="150">
        <f t="shared" si="5"/>
        <v>-189831.65</v>
      </c>
      <c r="N169" s="139" t="str">
        <f t="array" ref="N169">IF($P169&lt;&gt;"",IF(MAXIFS(Investment!$L:$L,Investment!$D:$D,LEFT($P169,40)&amp;"*"),MAXIFS(Investment!$L:$L,Investment!$D:$D,LEFT($P169,40)&amp;"*"),IFERROR(INDEX(Selection!$H:$H, MATCH($P169,Selection!$F:$F,0))/IF(OR(INDEX(Selection!$C:$C, MATCH($P169,Selection!$F:$F,0))="LN",INDEX(Selection!$C:$C, MATCH($P169,Selection!$F:$F,0))="US"),Investment!$K$7,1),"")),"")</f>
        <v/>
      </c>
      <c r="O169" s="144" t="str">
        <f>IF($P169&lt;&gt;"",IF(MAXIFS(Investment!$AG:$AG,Investment!$D:$D,LEFT($P169,40)&amp;"*"),MAXIFS(Investment!$AG:$AG,Investment!$D:$D,LEFT($P169,40)&amp;"*"),""),"")</f>
        <v/>
      </c>
      <c r="P169" s="135"/>
      <c r="Q169" s="136"/>
      <c r="R169" s="134"/>
    </row>
    <row r="170">
      <c r="A170" s="125">
        <v>43430.0</v>
      </c>
      <c r="B170" s="127" t="s">
        <v>217</v>
      </c>
      <c r="C170" s="133" t="s">
        <v>220</v>
      </c>
      <c r="D170" s="264" t="s">
        <v>222</v>
      </c>
      <c r="E170" s="264">
        <v>214.0</v>
      </c>
      <c r="F170" s="218">
        <v>7.25</v>
      </c>
      <c r="G170" s="132">
        <v>-1551.5</v>
      </c>
      <c r="H170" s="133" t="s">
        <v>1187</v>
      </c>
      <c r="I170" s="134">
        <f t="shared" ref="I170:J170" si="174">IFS(AND($B170&lt;&gt;"",$E170&lt;&gt;""),IF(INDEX(N:N,MATCH($C170,$P:$P,0),1)&lt;&gt;"",$E170*INDEX(N:N,MATCH($C170,$P:$P,0),1)+$G170,""),AND($B170&lt;&gt;"",$D170="COST"),$G170,TRUE,)</f>
        <v>-16.05</v>
      </c>
      <c r="J170" s="134">
        <f t="shared" si="174"/>
        <v>31.46303529</v>
      </c>
      <c r="K170" s="219" t="str">
        <f t="shared" si="3"/>
        <v>ETFS All Commodities</v>
      </c>
      <c r="L170" s="150">
        <f t="shared" si="4"/>
        <v>8177</v>
      </c>
      <c r="M170" s="150">
        <f t="shared" si="5"/>
        <v>-60085.79</v>
      </c>
      <c r="N170" s="139" t="str">
        <f t="array" ref="N170">IF($P170&lt;&gt;"",IF(MAXIFS(Investment!$L:$L,Investment!$D:$D,LEFT($P170,40)&amp;"*"),MAXIFS(Investment!$L:$L,Investment!$D:$D,LEFT($P170,40)&amp;"*"),IFERROR(INDEX(Selection!$H:$H, MATCH($P170,Selection!$F:$F,0))/IF(OR(INDEX(Selection!$C:$C, MATCH($P170,Selection!$F:$F,0))="LN",INDEX(Selection!$C:$C, MATCH($P170,Selection!$F:$F,0))="US"),Investment!$K$7,1),"")),"")</f>
        <v/>
      </c>
      <c r="O170" s="144" t="str">
        <f>IF($P170&lt;&gt;"",IF(MAXIFS(Investment!$AG:$AG,Investment!$D:$D,LEFT($P170,40)&amp;"*"),MAXIFS(Investment!$AG:$AG,Investment!$D:$D,LEFT($P170,40)&amp;"*"),""),"")</f>
        <v/>
      </c>
      <c r="P170" s="135"/>
      <c r="Q170" s="136"/>
      <c r="R170" s="134"/>
    </row>
    <row r="171">
      <c r="A171" s="125">
        <v>43430.0</v>
      </c>
      <c r="B171" s="127" t="s">
        <v>243</v>
      </c>
      <c r="C171" s="56" t="s">
        <v>403</v>
      </c>
      <c r="D171" s="264" t="s">
        <v>263</v>
      </c>
      <c r="E171" s="264"/>
      <c r="F171" s="218"/>
      <c r="G171" s="132">
        <v>-2.23</v>
      </c>
      <c r="H171" s="133" t="s">
        <v>289</v>
      </c>
      <c r="I171" s="134">
        <f t="shared" ref="I171:J171" si="175">IFS(AND($B171&lt;&gt;"",$E171&lt;&gt;""),IF(INDEX(N:N,MATCH($C171,$P:$P,0),1)&lt;&gt;"",$E171*INDEX(N:N,MATCH($C171,$P:$P,0),1)+$G171,""),AND($B171&lt;&gt;"",$D171="COST"),$G171,TRUE,)</f>
        <v>-2.23</v>
      </c>
      <c r="J171" s="134">
        <f t="shared" si="175"/>
        <v>-2.23</v>
      </c>
      <c r="K171" s="219" t="str">
        <f t="shared" si="3"/>
        <v>iShares USD Treasury Bond 20+yr UCITS ETF USD Dist</v>
      </c>
      <c r="L171" s="150">
        <f t="shared" si="4"/>
        <v>0</v>
      </c>
      <c r="M171" s="150">
        <f t="shared" si="5"/>
        <v>27424.23</v>
      </c>
      <c r="N171" s="139" t="str">
        <f t="array" ref="N171">IF($P171&lt;&gt;"",IF(MAXIFS(Investment!$L:$L,Investment!$D:$D,LEFT($P171,40)&amp;"*"),MAXIFS(Investment!$L:$L,Investment!$D:$D,LEFT($P171,40)&amp;"*"),IFERROR(INDEX(Selection!$H:$H, MATCH($P171,Selection!$F:$F,0))/IF(OR(INDEX(Selection!$C:$C, MATCH($P171,Selection!$F:$F,0))="LN",INDEX(Selection!$C:$C, MATCH($P171,Selection!$F:$F,0))="US"),Investment!$K$7,1),"")),"")</f>
        <v/>
      </c>
      <c r="O171" s="144" t="str">
        <f>IF($P171&lt;&gt;"",IF(MAXIFS(Investment!$AG:$AG,Investment!$D:$D,LEFT($P171,40)&amp;"*"),MAXIFS(Investment!$AG:$AG,Investment!$D:$D,LEFT($P171,40)&amp;"*"),""),"")</f>
        <v/>
      </c>
      <c r="P171" s="135"/>
      <c r="Q171" s="136"/>
      <c r="R171" s="134"/>
    </row>
    <row r="172">
      <c r="A172" s="125">
        <v>43430.0</v>
      </c>
      <c r="B172" s="127" t="s">
        <v>243</v>
      </c>
      <c r="C172" s="56" t="s">
        <v>403</v>
      </c>
      <c r="D172" s="264" t="s">
        <v>245</v>
      </c>
      <c r="E172" s="264">
        <v>-300.0</v>
      </c>
      <c r="F172" s="218">
        <v>3.819</v>
      </c>
      <c r="G172" s="132">
        <v>1145.66</v>
      </c>
      <c r="H172" s="133" t="s">
        <v>1225</v>
      </c>
      <c r="I172" s="134">
        <f t="shared" ref="I172:J172" si="176">IFS(AND($B172&lt;&gt;"",$E172&lt;&gt;""),IF(INDEX(N:N,MATCH($C172,$P:$P,0),1)&lt;&gt;"",$E172*INDEX(N:N,MATCH($C172,$P:$P,0),1)+$G172,""),AND($B172&lt;&gt;"",$D172="COST"),$G172,TRUE,)</f>
        <v>-118.78</v>
      </c>
      <c r="J172" s="134">
        <f t="shared" si="176"/>
        <v>-30.41505882</v>
      </c>
      <c r="K172" s="219" t="str">
        <f t="shared" si="3"/>
        <v>iShares USD Treasury Bond 20+yr UCITS ETF USD Dist</v>
      </c>
      <c r="L172" s="150">
        <f t="shared" si="4"/>
        <v>0</v>
      </c>
      <c r="M172" s="150">
        <f t="shared" si="5"/>
        <v>27424.23</v>
      </c>
      <c r="N172" s="139" t="str">
        <f t="array" ref="N172">IF($P172&lt;&gt;"",IF(MAXIFS(Investment!$L:$L,Investment!$D:$D,LEFT($P172,40)&amp;"*"),MAXIFS(Investment!$L:$L,Investment!$D:$D,LEFT($P172,40)&amp;"*"),IFERROR(INDEX(Selection!$H:$H, MATCH($P172,Selection!$F:$F,0))/IF(OR(INDEX(Selection!$C:$C, MATCH($P172,Selection!$F:$F,0))="LN",INDEX(Selection!$C:$C, MATCH($P172,Selection!$F:$F,0))="US"),Investment!$K$7,1),"")),"")</f>
        <v/>
      </c>
      <c r="O172" s="144" t="str">
        <f>IF($P172&lt;&gt;"",IF(MAXIFS(Investment!$AG:$AG,Investment!$D:$D,LEFT($P172,40)&amp;"*"),MAXIFS(Investment!$AG:$AG,Investment!$D:$D,LEFT($P172,40)&amp;"*"),""),"")</f>
        <v/>
      </c>
      <c r="P172" s="135"/>
      <c r="Q172" s="136"/>
      <c r="R172" s="134"/>
    </row>
    <row r="173">
      <c r="A173" s="125">
        <v>43427.0</v>
      </c>
      <c r="B173" s="127" t="s">
        <v>243</v>
      </c>
      <c r="C173" s="56" t="s">
        <v>403</v>
      </c>
      <c r="D173" s="264" t="s">
        <v>263</v>
      </c>
      <c r="E173" s="264"/>
      <c r="F173" s="218"/>
      <c r="G173" s="132">
        <v>-0.01</v>
      </c>
      <c r="H173" s="133" t="s">
        <v>1229</v>
      </c>
      <c r="I173" s="134">
        <f t="shared" ref="I173:J173" si="177">IFS(AND($B173&lt;&gt;"",$E173&lt;&gt;""),IF(INDEX(N:N,MATCH($C173,$P:$P,0),1)&lt;&gt;"",$E173*INDEX(N:N,MATCH($C173,$P:$P,0),1)+$G173,""),AND($B173&lt;&gt;"",$D173="COST"),$G173,TRUE,)</f>
        <v>-0.01</v>
      </c>
      <c r="J173" s="134">
        <f t="shared" si="177"/>
        <v>-0.01</v>
      </c>
      <c r="K173" s="219" t="str">
        <f t="shared" si="3"/>
        <v>iShares USD Treasury Bond 20+yr UCITS ETF USD Dist</v>
      </c>
      <c r="L173" s="150">
        <f t="shared" si="4"/>
        <v>0</v>
      </c>
      <c r="M173" s="150">
        <f t="shared" si="5"/>
        <v>27424.23</v>
      </c>
      <c r="N173" s="139" t="str">
        <f t="array" ref="N173">IF($P173&lt;&gt;"",IF(MAXIFS(Investment!$L:$L,Investment!$D:$D,LEFT($P173,40)&amp;"*"),MAXIFS(Investment!$L:$L,Investment!$D:$D,LEFT($P173,40)&amp;"*"),IFERROR(INDEX(Selection!$H:$H, MATCH($P173,Selection!$F:$F,0))/IF(OR(INDEX(Selection!$C:$C, MATCH($P173,Selection!$F:$F,0))="LN",INDEX(Selection!$C:$C, MATCH($P173,Selection!$F:$F,0))="US"),Investment!$K$7,1),"")),"")</f>
        <v/>
      </c>
      <c r="O173" s="144" t="str">
        <f>IF($P173&lt;&gt;"",IF(MAXIFS(Investment!$AG:$AG,Investment!$D:$D,LEFT($P173,40)&amp;"*"),MAXIFS(Investment!$AG:$AG,Investment!$D:$D,LEFT($P173,40)&amp;"*"),""),"")</f>
        <v/>
      </c>
      <c r="P173" s="135"/>
      <c r="Q173" s="136"/>
      <c r="R173" s="134"/>
    </row>
    <row r="174">
      <c r="A174" s="125">
        <v>43426.0</v>
      </c>
      <c r="B174" s="127" t="s">
        <v>243</v>
      </c>
      <c r="C174" s="56" t="s">
        <v>403</v>
      </c>
      <c r="D174" s="264" t="s">
        <v>263</v>
      </c>
      <c r="E174" s="264"/>
      <c r="F174" s="218"/>
      <c r="G174" s="132">
        <v>-3.37</v>
      </c>
      <c r="H174" s="133" t="s">
        <v>1230</v>
      </c>
      <c r="I174" s="134">
        <f t="shared" ref="I174:J174" si="178">IFS(AND($B174&lt;&gt;"",$E174&lt;&gt;""),IF(INDEX(N:N,MATCH($C174,$P:$P,0),1)&lt;&gt;"",$E174*INDEX(N:N,MATCH($C174,$P:$P,0),1)+$G174,""),AND($B174&lt;&gt;"",$D174="COST"),$G174,TRUE,)</f>
        <v>-3.37</v>
      </c>
      <c r="J174" s="134">
        <f t="shared" si="178"/>
        <v>-3.37</v>
      </c>
      <c r="K174" s="219" t="str">
        <f t="shared" si="3"/>
        <v>iShares USD Treasury Bond 20+yr UCITS ETF USD Dist</v>
      </c>
      <c r="L174" s="150">
        <f t="shared" si="4"/>
        <v>0</v>
      </c>
      <c r="M174" s="150">
        <f t="shared" si="5"/>
        <v>27424.23</v>
      </c>
      <c r="N174" s="139" t="str">
        <f t="array" ref="N174">IF($P174&lt;&gt;"",IF(MAXIFS(Investment!$L:$L,Investment!$D:$D,LEFT($P174,40)&amp;"*"),MAXIFS(Investment!$L:$L,Investment!$D:$D,LEFT($P174,40)&amp;"*"),IFERROR(INDEX(Selection!$H:$H, MATCH($P174,Selection!$F:$F,0))/IF(OR(INDEX(Selection!$C:$C, MATCH($P174,Selection!$F:$F,0))="LN",INDEX(Selection!$C:$C, MATCH($P174,Selection!$F:$F,0))="US"),Investment!$K$7,1),"")),"")</f>
        <v/>
      </c>
      <c r="O174" s="144" t="str">
        <f>IF($P174&lt;&gt;"",IF(MAXIFS(Investment!$AG:$AG,Investment!$D:$D,LEFT($P174,40)&amp;"*"),MAXIFS(Investment!$AG:$AG,Investment!$D:$D,LEFT($P174,40)&amp;"*"),""),"")</f>
        <v/>
      </c>
      <c r="P174" s="135"/>
      <c r="Q174" s="136"/>
      <c r="R174" s="134"/>
    </row>
    <row r="175">
      <c r="A175" s="125">
        <v>43426.0</v>
      </c>
      <c r="B175" s="127" t="s">
        <v>243</v>
      </c>
      <c r="C175" s="56" t="s">
        <v>403</v>
      </c>
      <c r="D175" s="264" t="s">
        <v>245</v>
      </c>
      <c r="E175" s="264">
        <v>-1798.0</v>
      </c>
      <c r="F175" s="218">
        <v>3.797</v>
      </c>
      <c r="G175" s="132">
        <v>6827.2</v>
      </c>
      <c r="H175" s="133" t="s">
        <v>1241</v>
      </c>
      <c r="I175" s="134">
        <f t="shared" ref="I175:J175" si="179">IFS(AND($B175&lt;&gt;"",$E175&lt;&gt;""),IF(INDEX(N:N,MATCH($C175,$P:$P,0),1)&lt;&gt;"",$E175*INDEX(N:N,MATCH($C175,$P:$P,0),1)+$G175,""),AND($B175&lt;&gt;"",$D175="COST"),$G175,TRUE,)</f>
        <v>-751.0104</v>
      </c>
      <c r="J175" s="134">
        <f t="shared" si="179"/>
        <v>-221.4098525</v>
      </c>
      <c r="K175" s="219" t="str">
        <f t="shared" si="3"/>
        <v>iShares USD Treasury Bond 20+yr UCITS ETF USD Dist</v>
      </c>
      <c r="L175" s="150">
        <f t="shared" si="4"/>
        <v>0</v>
      </c>
      <c r="M175" s="150">
        <f t="shared" si="5"/>
        <v>27424.23</v>
      </c>
      <c r="N175" s="139" t="str">
        <f t="array" ref="N175">IF($P175&lt;&gt;"",IF(MAXIFS(Investment!$L:$L,Investment!$D:$D,LEFT($P175,40)&amp;"*"),MAXIFS(Investment!$L:$L,Investment!$D:$D,LEFT($P175,40)&amp;"*"),IFERROR(INDEX(Selection!$H:$H, MATCH($P175,Selection!$F:$F,0))/IF(OR(INDEX(Selection!$C:$C, MATCH($P175,Selection!$F:$F,0))="LN",INDEX(Selection!$C:$C, MATCH($P175,Selection!$F:$F,0))="US"),Investment!$K$7,1),"")),"")</f>
        <v/>
      </c>
      <c r="O175" s="144" t="str">
        <f>IF($P175&lt;&gt;"",IF(MAXIFS(Investment!$AG:$AG,Investment!$D:$D,LEFT($P175,40)&amp;"*"),MAXIFS(Investment!$AG:$AG,Investment!$D:$D,LEFT($P175,40)&amp;"*"),""),"")</f>
        <v/>
      </c>
      <c r="P175" s="135"/>
      <c r="Q175" s="136"/>
      <c r="R175" s="134"/>
    </row>
    <row r="176">
      <c r="A176" s="125">
        <v>43426.0</v>
      </c>
      <c r="B176" s="127" t="s">
        <v>277</v>
      </c>
      <c r="C176" s="56" t="s">
        <v>278</v>
      </c>
      <c r="D176" s="264" t="s">
        <v>245</v>
      </c>
      <c r="E176" s="264">
        <v>-7.0</v>
      </c>
      <c r="F176" s="218">
        <v>162.69</v>
      </c>
      <c r="G176" s="132">
        <v>1138.83</v>
      </c>
      <c r="H176" s="133" t="s">
        <v>1242</v>
      </c>
      <c r="I176" s="134">
        <f t="shared" ref="I176:J176" si="180">IFS(AND($B176&lt;&gt;"",$E176&lt;&gt;""),IF(INDEX(N:N,MATCH($C176,$P:$P,0),1)&lt;&gt;"",$E176*INDEX(N:N,MATCH($C176,$P:$P,0),1)+$G176,""),AND($B176&lt;&gt;"",$D176="COST"),$G176,TRUE,)</f>
        <v>-96.6</v>
      </c>
      <c r="J176" s="134">
        <f t="shared" si="180"/>
        <v>-20.59482353</v>
      </c>
      <c r="K176" s="219" t="str">
        <f t="shared" si="3"/>
        <v>iShares USD Treasury Bond 7-10yr UCITS ETF</v>
      </c>
      <c r="L176" s="150">
        <f t="shared" si="4"/>
        <v>622</v>
      </c>
      <c r="M176" s="150">
        <f t="shared" si="5"/>
        <v>-96952.49</v>
      </c>
      <c r="N176" s="139" t="str">
        <f t="array" ref="N176">IF($P176&lt;&gt;"",IF(MAXIFS(Investment!$L:$L,Investment!$D:$D,LEFT($P176,40)&amp;"*"),MAXIFS(Investment!$L:$L,Investment!$D:$D,LEFT($P176,40)&amp;"*"),IFERROR(INDEX(Selection!$H:$H, MATCH($P176,Selection!$F:$F,0))/IF(OR(INDEX(Selection!$C:$C, MATCH($P176,Selection!$F:$F,0))="LN",INDEX(Selection!$C:$C, MATCH($P176,Selection!$F:$F,0))="US"),Investment!$K$7,1),"")),"")</f>
        <v/>
      </c>
      <c r="O176" s="144" t="str">
        <f>IF($P176&lt;&gt;"",IF(MAXIFS(Investment!$AG:$AG,Investment!$D:$D,LEFT($P176,40)&amp;"*"),MAXIFS(Investment!$AG:$AG,Investment!$D:$D,LEFT($P176,40)&amp;"*"),""),"")</f>
        <v/>
      </c>
      <c r="P176" s="135"/>
      <c r="Q176" s="136"/>
      <c r="R176" s="134"/>
    </row>
    <row r="177">
      <c r="A177" s="125">
        <v>43426.0</v>
      </c>
      <c r="B177" s="127" t="s">
        <v>277</v>
      </c>
      <c r="C177" s="56" t="s">
        <v>278</v>
      </c>
      <c r="D177" s="264" t="s">
        <v>263</v>
      </c>
      <c r="E177" s="264"/>
      <c r="F177" s="218"/>
      <c r="G177" s="132">
        <v>-2.23</v>
      </c>
      <c r="H177" s="133" t="s">
        <v>531</v>
      </c>
      <c r="I177" s="134">
        <f t="shared" ref="I177:J177" si="181">IFS(AND($B177&lt;&gt;"",$E177&lt;&gt;""),IF(INDEX(N:N,MATCH($C177,$P:$P,0),1)&lt;&gt;"",$E177*INDEX(N:N,MATCH($C177,$P:$P,0),1)+$G177,""),AND($B177&lt;&gt;"",$D177="COST"),$G177,TRUE,)</f>
        <v>-2.23</v>
      </c>
      <c r="J177" s="134">
        <f t="shared" si="181"/>
        <v>-2.23</v>
      </c>
      <c r="K177" s="219" t="str">
        <f t="shared" si="3"/>
        <v>iShares USD Treasury Bond 7-10yr UCITS ETF</v>
      </c>
      <c r="L177" s="150">
        <f t="shared" si="4"/>
        <v>622</v>
      </c>
      <c r="M177" s="150">
        <f t="shared" si="5"/>
        <v>-96952.49</v>
      </c>
      <c r="N177" s="139" t="str">
        <f t="array" ref="N177">IF($P177&lt;&gt;"",IF(MAXIFS(Investment!$L:$L,Investment!$D:$D,LEFT($P177,40)&amp;"*"),MAXIFS(Investment!$L:$L,Investment!$D:$D,LEFT($P177,40)&amp;"*"),IFERROR(INDEX(Selection!$H:$H, MATCH($P177,Selection!$F:$F,0))/IF(OR(INDEX(Selection!$C:$C, MATCH($P177,Selection!$F:$F,0))="LN",INDEX(Selection!$C:$C, MATCH($P177,Selection!$F:$F,0))="US"),Investment!$K$7,1),"")),"")</f>
        <v/>
      </c>
      <c r="O177" s="144" t="str">
        <f>IF($P177&lt;&gt;"",IF(MAXIFS(Investment!$AG:$AG,Investment!$D:$D,LEFT($P177,40)&amp;"*"),MAXIFS(Investment!$AG:$AG,Investment!$D:$D,LEFT($P177,40)&amp;"*"),""),"")</f>
        <v/>
      </c>
      <c r="P177" s="135"/>
      <c r="Q177" s="136"/>
      <c r="R177" s="134"/>
    </row>
    <row r="178">
      <c r="A178" s="125">
        <v>43426.0</v>
      </c>
      <c r="B178" s="127" t="s">
        <v>361</v>
      </c>
      <c r="C178" s="133" t="s">
        <v>830</v>
      </c>
      <c r="D178" s="264" t="s">
        <v>245</v>
      </c>
      <c r="E178" s="264">
        <v>-1.0</v>
      </c>
      <c r="F178" s="218">
        <v>102.84</v>
      </c>
      <c r="G178" s="132">
        <v>102.84</v>
      </c>
      <c r="H178" s="133" t="s">
        <v>1247</v>
      </c>
      <c r="I178" s="134">
        <f t="shared" ref="I178:J178" si="182">IFS(AND($B178&lt;&gt;"",$E178&lt;&gt;""),IF(INDEX(N:N,MATCH($C178,$P:$P,0),1)&lt;&gt;"",$E178*INDEX(N:N,MATCH($C178,$P:$P,0),1)+$G178,""),AND($B178&lt;&gt;"",$D178="COST"),$G178,TRUE,)</f>
        <v>-7.49</v>
      </c>
      <c r="J178" s="134">
        <f t="shared" si="182"/>
        <v>-1.983058824</v>
      </c>
      <c r="K178" s="219" t="str">
        <f t="shared" si="3"/>
        <v>ETFS Physical Gold</v>
      </c>
      <c r="L178" s="150">
        <f t="shared" si="4"/>
        <v>506</v>
      </c>
      <c r="M178" s="150">
        <f t="shared" si="5"/>
        <v>-52182.08</v>
      </c>
      <c r="N178" s="139" t="str">
        <f t="array" ref="N178">IF($P178&lt;&gt;"",IF(MAXIFS(Investment!$L:$L,Investment!$D:$D,LEFT($P178,40)&amp;"*"),MAXIFS(Investment!$L:$L,Investment!$D:$D,LEFT($P178,40)&amp;"*"),IFERROR(INDEX(Selection!$H:$H, MATCH($P178,Selection!$F:$F,0))/IF(OR(INDEX(Selection!$C:$C, MATCH($P178,Selection!$F:$F,0))="LN",INDEX(Selection!$C:$C, MATCH($P178,Selection!$F:$F,0))="US"),Investment!$K$7,1),"")),"")</f>
        <v/>
      </c>
      <c r="O178" s="144" t="str">
        <f>IF($P178&lt;&gt;"",IF(MAXIFS(Investment!$AG:$AG,Investment!$D:$D,LEFT($P178,40)&amp;"*"),MAXIFS(Investment!$AG:$AG,Investment!$D:$D,LEFT($P178,40)&amp;"*"),""),"")</f>
        <v/>
      </c>
      <c r="P178" s="135"/>
      <c r="Q178" s="136"/>
      <c r="R178" s="134"/>
    </row>
    <row r="179">
      <c r="A179" s="125">
        <v>43419.0</v>
      </c>
      <c r="B179" s="127" t="s">
        <v>307</v>
      </c>
      <c r="C179" s="133" t="s">
        <v>308</v>
      </c>
      <c r="D179" s="264" t="s">
        <v>222</v>
      </c>
      <c r="E179" s="264">
        <v>60.0</v>
      </c>
      <c r="F179" s="218">
        <v>45.362</v>
      </c>
      <c r="G179" s="132">
        <v>-2721.72</v>
      </c>
      <c r="H179" s="133" t="s">
        <v>1250</v>
      </c>
      <c r="I179" s="134">
        <f t="shared" ref="I179:J179" si="183">IFS(AND($B179&lt;&gt;"",$E179&lt;&gt;""),IF(INDEX(N:N,MATCH($C179,$P:$P,0),1)&lt;&gt;"",$E179*INDEX(N:N,MATCH($C179,$P:$P,0),1)+$G179,""),AND($B179&lt;&gt;"",$D179="COST"),$G179,TRUE,)</f>
        <v>160.08</v>
      </c>
      <c r="J179" s="134">
        <f t="shared" si="183"/>
        <v>33.89929412</v>
      </c>
      <c r="K179" s="219" t="str">
        <f t="shared" si="3"/>
        <v>Vanguard S&amp;P 500 UCITS ETF</v>
      </c>
      <c r="L179" s="150">
        <f t="shared" si="4"/>
        <v>4429</v>
      </c>
      <c r="M179" s="150">
        <f t="shared" si="5"/>
        <v>-189831.65</v>
      </c>
      <c r="N179" s="139" t="str">
        <f t="array" ref="N179">IF($P179&lt;&gt;"",IF(MAXIFS(Investment!$L:$L,Investment!$D:$D,LEFT($P179,40)&amp;"*"),MAXIFS(Investment!$L:$L,Investment!$D:$D,LEFT($P179,40)&amp;"*"),IFERROR(INDEX(Selection!$H:$H, MATCH($P179,Selection!$F:$F,0))/IF(OR(INDEX(Selection!$C:$C, MATCH($P179,Selection!$F:$F,0))="LN",INDEX(Selection!$C:$C, MATCH($P179,Selection!$F:$F,0))="US"),Investment!$K$7,1),"")),"")</f>
        <v/>
      </c>
      <c r="O179" s="144" t="str">
        <f>IF($P179&lt;&gt;"",IF(MAXIFS(Investment!$AG:$AG,Investment!$D:$D,LEFT($P179,40)&amp;"*"),MAXIFS(Investment!$AG:$AG,Investment!$D:$D,LEFT($P179,40)&amp;"*"),""),"")</f>
        <v/>
      </c>
      <c r="P179" s="135"/>
      <c r="Q179" s="136"/>
      <c r="R179" s="134"/>
    </row>
    <row r="180">
      <c r="A180" s="125">
        <v>43419.0</v>
      </c>
      <c r="B180" s="127" t="s">
        <v>277</v>
      </c>
      <c r="C180" s="56" t="s">
        <v>278</v>
      </c>
      <c r="D180" s="264" t="s">
        <v>222</v>
      </c>
      <c r="E180" s="264">
        <v>7.0</v>
      </c>
      <c r="F180" s="218">
        <v>163.75</v>
      </c>
      <c r="G180" s="132">
        <v>-1146.25</v>
      </c>
      <c r="H180" s="133" t="s">
        <v>1251</v>
      </c>
      <c r="I180" s="134">
        <f t="shared" ref="I180:J180" si="184">IFS(AND($B180&lt;&gt;"",$E180&lt;&gt;""),IF(INDEX(N:N,MATCH($C180,$P:$P,0),1)&lt;&gt;"",$E180*INDEX(N:N,MATCH($C180,$P:$P,0),1)+$G180,""),AND($B180&lt;&gt;"",$D180="COST"),$G180,TRUE,)</f>
        <v>89.18</v>
      </c>
      <c r="J180" s="134">
        <f t="shared" si="184"/>
        <v>13.17482353</v>
      </c>
      <c r="K180" s="219" t="str">
        <f t="shared" si="3"/>
        <v>iShares USD Treasury Bond 7-10yr UCITS ETF</v>
      </c>
      <c r="L180" s="150">
        <f t="shared" si="4"/>
        <v>622</v>
      </c>
      <c r="M180" s="150">
        <f t="shared" si="5"/>
        <v>-96952.49</v>
      </c>
      <c r="N180" s="139" t="str">
        <f t="array" ref="N180">IF($P180&lt;&gt;"",IF(MAXIFS(Investment!$L:$L,Investment!$D:$D,LEFT($P180,40)&amp;"*"),MAXIFS(Investment!$L:$L,Investment!$D:$D,LEFT($P180,40)&amp;"*"),IFERROR(INDEX(Selection!$H:$H, MATCH($P180,Selection!$F:$F,0))/IF(OR(INDEX(Selection!$C:$C, MATCH($P180,Selection!$F:$F,0))="LN",INDEX(Selection!$C:$C, MATCH($P180,Selection!$F:$F,0))="US"),Investment!$K$7,1),"")),"")</f>
        <v/>
      </c>
      <c r="O180" s="144" t="str">
        <f>IF($P180&lt;&gt;"",IF(MAXIFS(Investment!$AG:$AG,Investment!$D:$D,LEFT($P180,40)&amp;"*"),MAXIFS(Investment!$AG:$AG,Investment!$D:$D,LEFT($P180,40)&amp;"*"),""),"")</f>
        <v/>
      </c>
      <c r="P180" s="135"/>
      <c r="Q180" s="136"/>
      <c r="R180" s="134"/>
    </row>
    <row r="181">
      <c r="A181" s="125">
        <v>43417.0</v>
      </c>
      <c r="B181" s="127"/>
      <c r="C181" s="133"/>
      <c r="D181" s="264" t="s">
        <v>268</v>
      </c>
      <c r="E181" s="264"/>
      <c r="F181" s="218"/>
      <c r="G181" s="132">
        <v>-300.0</v>
      </c>
      <c r="H181" s="133" t="s">
        <v>1252</v>
      </c>
      <c r="I181" s="134" t="str">
        <f t="shared" ref="I181:J181" si="185">IFS(AND($B181&lt;&gt;"",$E181&lt;&gt;""),IF(INDEX(N:N,MATCH($C181,$P:$P,0),1)&lt;&gt;"",$E181*INDEX(N:N,MATCH($C181,$P:$P,0),1)+$G181,""),AND($B181&lt;&gt;"",$D181="COST"),$G181,TRUE,)</f>
        <v/>
      </c>
      <c r="J181" s="134" t="str">
        <f t="shared" si="185"/>
        <v/>
      </c>
      <c r="K181" s="219" t="str">
        <f t="shared" si="3"/>
        <v/>
      </c>
      <c r="L181" s="150" t="str">
        <f t="shared" si="4"/>
        <v/>
      </c>
      <c r="M181" s="150" t="str">
        <f t="shared" si="5"/>
        <v/>
      </c>
      <c r="N181" s="139" t="str">
        <f t="array" ref="N181">IF($P181&lt;&gt;"",IF(MAXIFS(Investment!$L:$L,Investment!$D:$D,LEFT($P181,40)&amp;"*"),MAXIFS(Investment!$L:$L,Investment!$D:$D,LEFT($P181,40)&amp;"*"),IFERROR(INDEX(Selection!$H:$H, MATCH($P181,Selection!$F:$F,0))/IF(OR(INDEX(Selection!$C:$C, MATCH($P181,Selection!$F:$F,0))="LN",INDEX(Selection!$C:$C, MATCH($P181,Selection!$F:$F,0))="US"),Investment!$K$7,1),"")),"")</f>
        <v/>
      </c>
      <c r="O181" s="144" t="str">
        <f>IF($P181&lt;&gt;"",IF(MAXIFS(Investment!$AG:$AG,Investment!$D:$D,LEFT($P181,40)&amp;"*"),MAXIFS(Investment!$AG:$AG,Investment!$D:$D,LEFT($P181,40)&amp;"*"),""),"")</f>
        <v/>
      </c>
      <c r="P181" s="135"/>
      <c r="Q181" s="136"/>
      <c r="R181" s="134"/>
    </row>
    <row r="182">
      <c r="A182" s="125">
        <v>43406.0</v>
      </c>
      <c r="B182" s="127"/>
      <c r="C182" s="133"/>
      <c r="D182" s="264" t="s">
        <v>263</v>
      </c>
      <c r="E182" s="264"/>
      <c r="F182" s="218"/>
      <c r="G182" s="132">
        <v>-555.0</v>
      </c>
      <c r="H182" s="133" t="s">
        <v>1253</v>
      </c>
      <c r="I182" s="134" t="str">
        <f t="shared" ref="I182:J182" si="186">IFS(AND($B182&lt;&gt;"",$E182&lt;&gt;""),IF(INDEX(N:N,MATCH($C182,$P:$P,0),1)&lt;&gt;"",$E182*INDEX(N:N,MATCH($C182,$P:$P,0),1)+$G182,""),AND($B182&lt;&gt;"",$D182="COST"),$G182,TRUE,)</f>
        <v/>
      </c>
      <c r="J182" s="134" t="str">
        <f t="shared" si="186"/>
        <v/>
      </c>
      <c r="K182" s="219" t="str">
        <f t="shared" si="3"/>
        <v/>
      </c>
      <c r="L182" s="150" t="str">
        <f t="shared" si="4"/>
        <v/>
      </c>
      <c r="M182" s="150" t="str">
        <f t="shared" si="5"/>
        <v/>
      </c>
      <c r="N182" s="139" t="str">
        <f t="array" ref="N182">IF($P182&lt;&gt;"",IF(MAXIFS(Investment!$L:$L,Investment!$D:$D,LEFT($P182,40)&amp;"*"),MAXIFS(Investment!$L:$L,Investment!$D:$D,LEFT($P182,40)&amp;"*"),IFERROR(INDEX(Selection!$H:$H, MATCH($P182,Selection!$F:$F,0))/IF(OR(INDEX(Selection!$C:$C, MATCH($P182,Selection!$F:$F,0))="LN",INDEX(Selection!$C:$C, MATCH($P182,Selection!$F:$F,0))="US"),Investment!$K$7,1),"")),"")</f>
        <v/>
      </c>
      <c r="O182" s="144" t="str">
        <f>IF($P182&lt;&gt;"",IF(MAXIFS(Investment!$AG:$AG,Investment!$D:$D,LEFT($P182,40)&amp;"*"),MAXIFS(Investment!$AG:$AG,Investment!$D:$D,LEFT($P182,40)&amp;"*"),""),"")</f>
        <v/>
      </c>
      <c r="P182" s="135"/>
      <c r="Q182" s="136"/>
      <c r="R182" s="134"/>
    </row>
    <row r="183">
      <c r="A183" s="125">
        <v>43405.0</v>
      </c>
      <c r="B183" s="127" t="s">
        <v>307</v>
      </c>
      <c r="C183" s="133" t="s">
        <v>308</v>
      </c>
      <c r="D183" s="264" t="s">
        <v>222</v>
      </c>
      <c r="E183" s="264">
        <v>239.0</v>
      </c>
      <c r="F183" s="218">
        <v>45.493</v>
      </c>
      <c r="G183" s="132">
        <v>-10872.83</v>
      </c>
      <c r="H183" s="133" t="s">
        <v>1254</v>
      </c>
      <c r="I183" s="134">
        <f t="shared" ref="I183:J183" si="187">IFS(AND($B183&lt;&gt;"",$E183&lt;&gt;""),IF(INDEX(N:N,MATCH($C183,$P:$P,0),1)&lt;&gt;"",$E183*INDEX(N:N,MATCH($C183,$P:$P,0),1)+$G183,""),AND($B183&lt;&gt;"",$D183="COST"),$G183,TRUE,)</f>
        <v>606.34</v>
      </c>
      <c r="J183" s="134">
        <f t="shared" si="187"/>
        <v>103.7201882</v>
      </c>
      <c r="K183" s="219" t="str">
        <f t="shared" si="3"/>
        <v>Vanguard S&amp;P 500 UCITS ETF</v>
      </c>
      <c r="L183" s="150">
        <f t="shared" si="4"/>
        <v>4429</v>
      </c>
      <c r="M183" s="150">
        <f t="shared" si="5"/>
        <v>-189831.65</v>
      </c>
      <c r="N183" s="139" t="str">
        <f t="array" ref="N183">IF($P183&lt;&gt;"",IF(MAXIFS(Investment!$L:$L,Investment!$D:$D,LEFT($P183,40)&amp;"*"),MAXIFS(Investment!$L:$L,Investment!$D:$D,LEFT($P183,40)&amp;"*"),IFERROR(INDEX(Selection!$H:$H, MATCH($P183,Selection!$F:$F,0))/IF(OR(INDEX(Selection!$C:$C, MATCH($P183,Selection!$F:$F,0))="LN",INDEX(Selection!$C:$C, MATCH($P183,Selection!$F:$F,0))="US"),Investment!$K$7,1),"")),"")</f>
        <v/>
      </c>
      <c r="O183" s="144" t="str">
        <f>IF($P183&lt;&gt;"",IF(MAXIFS(Investment!$AG:$AG,Investment!$D:$D,LEFT($P183,40)&amp;"*"),MAXIFS(Investment!$AG:$AG,Investment!$D:$D,LEFT($P183,40)&amp;"*"),""),"")</f>
        <v/>
      </c>
      <c r="P183" s="135"/>
      <c r="Q183" s="136"/>
      <c r="R183" s="134"/>
    </row>
    <row r="184">
      <c r="A184" s="125">
        <v>43405.0</v>
      </c>
      <c r="B184" s="127" t="s">
        <v>217</v>
      </c>
      <c r="C184" s="133" t="s">
        <v>220</v>
      </c>
      <c r="D184" s="264" t="s">
        <v>222</v>
      </c>
      <c r="E184" s="264">
        <v>326.0</v>
      </c>
      <c r="F184" s="218">
        <v>7.482</v>
      </c>
      <c r="G184" s="132">
        <v>-2439.13</v>
      </c>
      <c r="H184" s="133" t="s">
        <v>1255</v>
      </c>
      <c r="I184" s="134">
        <f t="shared" ref="I184:J184" si="188">IFS(AND($B184&lt;&gt;"",$E184&lt;&gt;""),IF(INDEX(N:N,MATCH($C184,$P:$P,0),1)&lt;&gt;"",$E184*INDEX(N:N,MATCH($C184,$P:$P,0),1)+$G184,""),AND($B184&lt;&gt;"",$D184="COST"),$G184,TRUE,)</f>
        <v>-100.08</v>
      </c>
      <c r="J184" s="134">
        <f t="shared" si="188"/>
        <v>-27.70032941</v>
      </c>
      <c r="K184" s="219" t="str">
        <f t="shared" si="3"/>
        <v>ETFS All Commodities</v>
      </c>
      <c r="L184" s="150">
        <f t="shared" si="4"/>
        <v>8177</v>
      </c>
      <c r="M184" s="150">
        <f t="shared" si="5"/>
        <v>-60085.79</v>
      </c>
      <c r="N184" s="139" t="str">
        <f t="array" ref="N184">IF($P184&lt;&gt;"",IF(MAXIFS(Investment!$L:$L,Investment!$D:$D,LEFT($P184,40)&amp;"*"),MAXIFS(Investment!$L:$L,Investment!$D:$D,LEFT($P184,40)&amp;"*"),IFERROR(INDEX(Selection!$H:$H, MATCH($P184,Selection!$F:$F,0))/IF(OR(INDEX(Selection!$C:$C, MATCH($P184,Selection!$F:$F,0))="LN",INDEX(Selection!$C:$C, MATCH($P184,Selection!$F:$F,0))="US"),Investment!$K$7,1),"")),"")</f>
        <v/>
      </c>
      <c r="O184" s="144" t="str">
        <f>IF($P184&lt;&gt;"",IF(MAXIFS(Investment!$AG:$AG,Investment!$D:$D,LEFT($P184,40)&amp;"*"),MAXIFS(Investment!$AG:$AG,Investment!$D:$D,LEFT($P184,40)&amp;"*"),""),"")</f>
        <v/>
      </c>
      <c r="P184" s="135"/>
      <c r="Q184" s="136"/>
      <c r="R184" s="134"/>
    </row>
    <row r="185">
      <c r="A185" s="125">
        <v>43405.0</v>
      </c>
      <c r="B185" s="127" t="s">
        <v>243</v>
      </c>
      <c r="C185" s="56" t="s">
        <v>403</v>
      </c>
      <c r="D185" s="264" t="s">
        <v>263</v>
      </c>
      <c r="E185" s="339"/>
      <c r="F185" s="218"/>
      <c r="G185" s="132">
        <v>-4.09</v>
      </c>
      <c r="H185" s="133" t="s">
        <v>1256</v>
      </c>
      <c r="I185" s="134">
        <f t="shared" ref="I185:J185" si="189">IFS(AND($B185&lt;&gt;"",$E185&lt;&gt;""),IF(INDEX(N:N,MATCH($C185,$P:$P,0),1)&lt;&gt;"",$E185*INDEX(N:N,MATCH($C185,$P:$P,0),1)+$G185,""),AND($B185&lt;&gt;"",$D185="COST"),$G185,TRUE,)</f>
        <v>-4.09</v>
      </c>
      <c r="J185" s="134">
        <f t="shared" si="189"/>
        <v>-4.09</v>
      </c>
      <c r="K185" s="219" t="str">
        <f t="shared" si="3"/>
        <v>iShares USD Treasury Bond 20+yr UCITS ETF USD Dist</v>
      </c>
      <c r="L185" s="150">
        <f t="shared" si="4"/>
        <v>0</v>
      </c>
      <c r="M185" s="150">
        <f t="shared" si="5"/>
        <v>27424.23</v>
      </c>
      <c r="N185" s="139" t="str">
        <f t="array" ref="N185">IF($P185&lt;&gt;"",IF(MAXIFS(Investment!$L:$L,Investment!$D:$D,LEFT($P185,40)&amp;"*"),MAXIFS(Investment!$L:$L,Investment!$D:$D,LEFT($P185,40)&amp;"*"),IFERROR(INDEX(Selection!$H:$H, MATCH($P185,Selection!$F:$F,0))/IF(OR(INDEX(Selection!$C:$C, MATCH($P185,Selection!$F:$F,0))="LN",INDEX(Selection!$C:$C, MATCH($P185,Selection!$F:$F,0))="US"),Investment!$K$7,1),"")),"")</f>
        <v/>
      </c>
      <c r="O185" s="144" t="str">
        <f>IF($P185&lt;&gt;"",IF(MAXIFS(Investment!$AG:$AG,Investment!$D:$D,LEFT($P185,40)&amp;"*"),MAXIFS(Investment!$AG:$AG,Investment!$D:$D,LEFT($P185,40)&amp;"*"),""),"")</f>
        <v/>
      </c>
      <c r="P185" s="135"/>
      <c r="Q185" s="136"/>
      <c r="R185" s="134"/>
    </row>
    <row r="186">
      <c r="A186" s="125">
        <v>43405.0</v>
      </c>
      <c r="B186" s="127" t="s">
        <v>243</v>
      </c>
      <c r="C186" s="56" t="s">
        <v>403</v>
      </c>
      <c r="D186" s="264" t="s">
        <v>222</v>
      </c>
      <c r="E186" s="264">
        <v>2786.0</v>
      </c>
      <c r="F186" s="218">
        <v>3.756</v>
      </c>
      <c r="G186" s="132">
        <v>-10463.08</v>
      </c>
      <c r="H186" s="133" t="s">
        <v>1257</v>
      </c>
      <c r="I186" s="134">
        <f t="shared" ref="I186:J186" si="190">IFS(AND($B186&lt;&gt;"",$E186&lt;&gt;""),IF(INDEX(N:N,MATCH($C186,$P:$P,0),1)&lt;&gt;"",$E186*INDEX(N:N,MATCH($C186,$P:$P,0),1)+$G186,""),AND($B186&lt;&gt;"",$D186="COST"),$G186,TRUE,)</f>
        <v>1279.3528</v>
      </c>
      <c r="J186" s="134">
        <f t="shared" si="190"/>
        <v>458.7370463</v>
      </c>
      <c r="K186" s="219" t="str">
        <f t="shared" si="3"/>
        <v>iShares USD Treasury Bond 20+yr UCITS ETF USD Dist</v>
      </c>
      <c r="L186" s="150">
        <f t="shared" si="4"/>
        <v>0</v>
      </c>
      <c r="M186" s="150">
        <f t="shared" si="5"/>
        <v>27424.23</v>
      </c>
      <c r="N186" s="139" t="str">
        <f t="array" ref="N186">IF($P186&lt;&gt;"",IF(MAXIFS(Investment!$L:$L,Investment!$D:$D,LEFT($P186,40)&amp;"*"),MAXIFS(Investment!$L:$L,Investment!$D:$D,LEFT($P186,40)&amp;"*"),IFERROR(INDEX(Selection!$H:$H, MATCH($P186,Selection!$F:$F,0))/IF(OR(INDEX(Selection!$C:$C, MATCH($P186,Selection!$F:$F,0))="LN",INDEX(Selection!$C:$C, MATCH($P186,Selection!$F:$F,0))="US"),Investment!$K$7,1),"")),"")</f>
        <v/>
      </c>
      <c r="O186" s="144" t="str">
        <f>IF($P186&lt;&gt;"",IF(MAXIFS(Investment!$AG:$AG,Investment!$D:$D,LEFT($P186,40)&amp;"*"),MAXIFS(Investment!$AG:$AG,Investment!$D:$D,LEFT($P186,40)&amp;"*"),""),"")</f>
        <v/>
      </c>
      <c r="P186" s="135"/>
      <c r="Q186" s="136"/>
      <c r="R186" s="134"/>
    </row>
    <row r="187">
      <c r="A187" s="125">
        <v>43405.0</v>
      </c>
      <c r="B187" s="127" t="s">
        <v>277</v>
      </c>
      <c r="C187" s="56" t="s">
        <v>278</v>
      </c>
      <c r="D187" s="264" t="s">
        <v>222</v>
      </c>
      <c r="E187" s="264">
        <v>16.0</v>
      </c>
      <c r="F187" s="218">
        <v>163.81</v>
      </c>
      <c r="G187" s="132">
        <v>-2620.96</v>
      </c>
      <c r="H187" s="133" t="s">
        <v>1258</v>
      </c>
      <c r="I187" s="134">
        <f t="shared" ref="I187:J187" si="191">IFS(AND($B187&lt;&gt;"",$E187&lt;&gt;""),IF(INDEX(N:N,MATCH($C187,$P:$P,0),1)&lt;&gt;"",$E187*INDEX(N:N,MATCH($C187,$P:$P,0),1)+$G187,""),AND($B187&lt;&gt;"",$D187="COST"),$G187,TRUE,)</f>
        <v>202.88</v>
      </c>
      <c r="J187" s="134">
        <f t="shared" si="191"/>
        <v>29.15388235</v>
      </c>
      <c r="K187" s="219" t="str">
        <f t="shared" si="3"/>
        <v>iShares USD Treasury Bond 7-10yr UCITS ETF</v>
      </c>
      <c r="L187" s="150">
        <f t="shared" si="4"/>
        <v>622</v>
      </c>
      <c r="M187" s="150">
        <f t="shared" si="5"/>
        <v>-96952.49</v>
      </c>
      <c r="N187" s="139" t="str">
        <f t="array" ref="N187">IF($P187&lt;&gt;"",IF(MAXIFS(Investment!$L:$L,Investment!$D:$D,LEFT($P187,40)&amp;"*"),MAXIFS(Investment!$L:$L,Investment!$D:$D,LEFT($P187,40)&amp;"*"),IFERROR(INDEX(Selection!$H:$H, MATCH($P187,Selection!$F:$F,0))/IF(OR(INDEX(Selection!$C:$C, MATCH($P187,Selection!$F:$F,0))="LN",INDEX(Selection!$C:$C, MATCH($P187,Selection!$F:$F,0))="US"),Investment!$K$7,1),"")),"")</f>
        <v/>
      </c>
      <c r="O187" s="144" t="str">
        <f>IF($P187&lt;&gt;"",IF(MAXIFS(Investment!$AG:$AG,Investment!$D:$D,LEFT($P187,40)&amp;"*"),MAXIFS(Investment!$AG:$AG,Investment!$D:$D,LEFT($P187,40)&amp;"*"),""),"")</f>
        <v/>
      </c>
      <c r="P187" s="135"/>
      <c r="Q187" s="136"/>
      <c r="R187" s="134"/>
    </row>
    <row r="188">
      <c r="A188" s="125">
        <v>43398.0</v>
      </c>
      <c r="B188" s="56"/>
      <c r="C188" s="56"/>
      <c r="D188" s="56" t="s">
        <v>268</v>
      </c>
      <c r="E188" s="56"/>
      <c r="F188" s="218"/>
      <c r="G188" s="132">
        <v>6060.0</v>
      </c>
      <c r="H188" s="56" t="s">
        <v>1259</v>
      </c>
      <c r="I188" s="134" t="str">
        <f t="shared" ref="I188:J188" si="192">IFS(AND($B188&lt;&gt;"",$E188&lt;&gt;""),IF(INDEX(N:N,MATCH($C188,$P:$P,0),1)&lt;&gt;"",$E188*INDEX(N:N,MATCH($C188,$P:$P,0),1)+$G188,""),AND($B188&lt;&gt;"",$D188="COST"),$G188,TRUE,)</f>
        <v/>
      </c>
      <c r="J188" s="134" t="str">
        <f t="shared" si="192"/>
        <v/>
      </c>
      <c r="K188" s="219" t="str">
        <f t="shared" si="3"/>
        <v/>
      </c>
      <c r="L188" s="150" t="str">
        <f t="shared" si="4"/>
        <v/>
      </c>
      <c r="M188" s="150" t="str">
        <f t="shared" si="5"/>
        <v/>
      </c>
      <c r="N188" s="139" t="str">
        <f t="array" ref="N188">IF($P188&lt;&gt;"",IF(MAXIFS(Investment!$L:$L,Investment!$D:$D,LEFT($P188,40)&amp;"*"),MAXIFS(Investment!$L:$L,Investment!$D:$D,LEFT($P188,40)&amp;"*"),IFERROR(INDEX(Selection!$H:$H, MATCH($P188,Selection!$F:$F,0))/IF(OR(INDEX(Selection!$C:$C, MATCH($P188,Selection!$F:$F,0))="LN",INDEX(Selection!$C:$C, MATCH($P188,Selection!$F:$F,0))="US"),Investment!$K$7,1),"")),"")</f>
        <v/>
      </c>
      <c r="O188" s="144" t="str">
        <f>IF($P188&lt;&gt;"",IF(MAXIFS(Investment!$AG:$AG,Investment!$D:$D,LEFT($P188,40)&amp;"*"),MAXIFS(Investment!$AG:$AG,Investment!$D:$D,LEFT($P188,40)&amp;"*"),""),"")</f>
        <v/>
      </c>
      <c r="P188" s="135"/>
      <c r="Q188" s="136"/>
      <c r="R188" s="134"/>
    </row>
    <row r="189">
      <c r="A189" s="125">
        <v>43385.0</v>
      </c>
      <c r="B189" s="56" t="s">
        <v>243</v>
      </c>
      <c r="C189" s="56" t="s">
        <v>403</v>
      </c>
      <c r="D189" s="56" t="s">
        <v>263</v>
      </c>
      <c r="E189" s="56"/>
      <c r="F189" s="218"/>
      <c r="G189" s="132">
        <v>-2.82</v>
      </c>
      <c r="H189" s="56" t="s">
        <v>1260</v>
      </c>
      <c r="I189" s="134">
        <f t="shared" ref="I189:J189" si="193">IFS(AND($B189&lt;&gt;"",$E189&lt;&gt;""),IF(INDEX(N:N,MATCH($C189,$P:$P,0),1)&lt;&gt;"",$E189*INDEX(N:N,MATCH($C189,$P:$P,0),1)+$G189,""),AND($B189&lt;&gt;"",$D189="COST"),$G189,TRUE,)</f>
        <v>-2.82</v>
      </c>
      <c r="J189" s="134">
        <f t="shared" si="193"/>
        <v>-2.82</v>
      </c>
      <c r="K189" s="219" t="str">
        <f t="shared" si="3"/>
        <v>iShares USD Treasury Bond 20+yr UCITS ETF USD Dist</v>
      </c>
      <c r="L189" s="340">
        <f t="shared" si="4"/>
        <v>0</v>
      </c>
      <c r="M189" s="340">
        <f t="shared" si="5"/>
        <v>27424.23</v>
      </c>
      <c r="N189" s="139" t="str">
        <f t="array" ref="N189">IF($P189&lt;&gt;"",IF(MAXIFS(Investment!$L:$L,Investment!$D:$D,LEFT($P189,40)&amp;"*"),MAXIFS(Investment!$L:$L,Investment!$D:$D,LEFT($P189,40)&amp;"*"),IFERROR(INDEX(Selection!$H:$H, MATCH($P189,Selection!$F:$F,0))/IF(OR(INDEX(Selection!$C:$C, MATCH($P189,Selection!$F:$F,0))="LN",INDEX(Selection!$C:$C, MATCH($P189,Selection!$F:$F,0))="US"),Investment!$K$7,1),"")),"")</f>
        <v/>
      </c>
      <c r="O189" s="144" t="str">
        <f>IF($P189&lt;&gt;"",IF(MAXIFS(Investment!$AG:$AG,Investment!$D:$D,LEFT($P189,40)&amp;"*"),MAXIFS(Investment!$AG:$AG,Investment!$D:$D,LEFT($P189,40)&amp;"*"),""),"")</f>
        <v/>
      </c>
      <c r="P189" s="328"/>
      <c r="Q189" s="150"/>
      <c r="R189" s="329"/>
    </row>
    <row r="190">
      <c r="A190" s="125">
        <v>43385.0</v>
      </c>
      <c r="B190" s="56" t="s">
        <v>243</v>
      </c>
      <c r="C190" s="56" t="s">
        <v>403</v>
      </c>
      <c r="D190" s="56" t="s">
        <v>245</v>
      </c>
      <c r="E190" s="51">
        <v>-1106.0</v>
      </c>
      <c r="F190" s="218">
        <v>3.708</v>
      </c>
      <c r="G190" s="132">
        <v>4101.58</v>
      </c>
      <c r="H190" s="56" t="s">
        <v>1261</v>
      </c>
      <c r="I190" s="134">
        <f t="shared" ref="I190:J190" si="194">IFS(AND($B190&lt;&gt;"",$E190&lt;&gt;""),IF(INDEX(N:N,MATCH($C190,$P:$P,0),1)&lt;&gt;"",$E190*INDEX(N:N,MATCH($C190,$P:$P,0),1)+$G190,""),AND($B190&lt;&gt;"",$D190="COST"),$G190,TRUE,)</f>
        <v>-559.9888</v>
      </c>
      <c r="J190" s="134">
        <f t="shared" si="194"/>
        <v>-234.2167169</v>
      </c>
      <c r="K190" s="219" t="str">
        <f t="shared" si="3"/>
        <v>iShares USD Treasury Bond 20+yr UCITS ETF USD Dist</v>
      </c>
      <c r="L190" s="340">
        <f t="shared" si="4"/>
        <v>0</v>
      </c>
      <c r="M190" s="340">
        <f t="shared" si="5"/>
        <v>27424.23</v>
      </c>
      <c r="N190" s="139" t="str">
        <f t="array" ref="N190">IF($P190&lt;&gt;"",IF(MAXIFS(Investment!$L:$L,Investment!$D:$D,LEFT($P190,40)&amp;"*"),MAXIFS(Investment!$L:$L,Investment!$D:$D,LEFT($P190,40)&amp;"*"),IFERROR(INDEX(Selection!$H:$H, MATCH($P190,Selection!$F:$F,0))/IF(OR(INDEX(Selection!$C:$C, MATCH($P190,Selection!$F:$F,0))="LN",INDEX(Selection!$C:$C, MATCH($P190,Selection!$F:$F,0))="US"),Investment!$K$7,1),"")),"")</f>
        <v/>
      </c>
      <c r="O190" s="144" t="str">
        <f>IF($P190&lt;&gt;"",IF(MAXIFS(Investment!$AG:$AG,Investment!$D:$D,LEFT($P190,40)&amp;"*"),MAXIFS(Investment!$AG:$AG,Investment!$D:$D,LEFT($P190,40)&amp;"*"),""),"")</f>
        <v/>
      </c>
      <c r="P190" s="328"/>
      <c r="Q190" s="150"/>
      <c r="R190" s="329"/>
    </row>
    <row r="191">
      <c r="A191" s="125">
        <v>43385.0</v>
      </c>
      <c r="B191" s="56" t="s">
        <v>277</v>
      </c>
      <c r="C191" s="56" t="s">
        <v>278</v>
      </c>
      <c r="D191" s="56" t="s">
        <v>245</v>
      </c>
      <c r="E191" s="56">
        <v>-11.0</v>
      </c>
      <c r="F191" s="218">
        <v>160.47</v>
      </c>
      <c r="G191" s="132">
        <v>1765.17</v>
      </c>
      <c r="H191" s="56" t="s">
        <v>1262</v>
      </c>
      <c r="I191" s="134">
        <f t="shared" ref="I191:J191" si="195">IFS(AND($B191&lt;&gt;"",$E191&lt;&gt;""),IF(INDEX(N:N,MATCH($C191,$P:$P,0),1)&lt;&gt;"",$E191*INDEX(N:N,MATCH($C191,$P:$P,0),1)+$G191,""),AND($B191&lt;&gt;"",$D191="COST"),$G191,TRUE,)</f>
        <v>-176.22</v>
      </c>
      <c r="J191" s="134">
        <f t="shared" si="195"/>
        <v>-56.78329412</v>
      </c>
      <c r="K191" s="219" t="str">
        <f t="shared" si="3"/>
        <v>iShares USD Treasury Bond 7-10yr UCITS ETF</v>
      </c>
      <c r="L191" s="340">
        <f t="shared" si="4"/>
        <v>622</v>
      </c>
      <c r="M191" s="340">
        <f t="shared" si="5"/>
        <v>-96952.49</v>
      </c>
      <c r="N191" s="139" t="str">
        <f t="array" ref="N191">IF($P191&lt;&gt;"",IF(MAXIFS(Investment!$L:$L,Investment!$D:$D,LEFT($P191,40)&amp;"*"),MAXIFS(Investment!$L:$L,Investment!$D:$D,LEFT($P191,40)&amp;"*"),IFERROR(INDEX(Selection!$H:$H, MATCH($P191,Selection!$F:$F,0))/IF(OR(INDEX(Selection!$C:$C, MATCH($P191,Selection!$F:$F,0))="LN",INDEX(Selection!$C:$C, MATCH($P191,Selection!$F:$F,0))="US"),Investment!$K$7,1),"")),"")</f>
        <v/>
      </c>
      <c r="O191" s="144" t="str">
        <f>IF($P191&lt;&gt;"",IF(MAXIFS(Investment!$AG:$AG,Investment!$D:$D,LEFT($P191,40)&amp;"*"),MAXIFS(Investment!$AG:$AG,Investment!$D:$D,LEFT($P191,40)&amp;"*"),""),"")</f>
        <v/>
      </c>
      <c r="P191" s="328"/>
      <c r="Q191" s="150"/>
      <c r="R191" s="329"/>
    </row>
    <row r="192">
      <c r="A192" s="125">
        <v>43385.0</v>
      </c>
      <c r="B192" s="56" t="s">
        <v>307</v>
      </c>
      <c r="C192" s="56" t="s">
        <v>308</v>
      </c>
      <c r="D192" s="56" t="s">
        <v>222</v>
      </c>
      <c r="E192" s="56">
        <v>55.0</v>
      </c>
      <c r="F192" s="218">
        <v>45.353</v>
      </c>
      <c r="G192" s="132">
        <v>-2494.42</v>
      </c>
      <c r="H192" s="56" t="s">
        <v>1263</v>
      </c>
      <c r="I192" s="134">
        <f t="shared" ref="I192:J192" si="196">IFS(AND($B192&lt;&gt;"",$E192&lt;&gt;""),IF(INDEX(N:N,MATCH($C192,$P:$P,0),1)&lt;&gt;"",$E192*INDEX(N:N,MATCH($C192,$P:$P,0),1)+$G192,""),AND($B192&lt;&gt;"",$D192="COST"),$G192,TRUE,)</f>
        <v>147.23</v>
      </c>
      <c r="J192" s="134">
        <f t="shared" si="196"/>
        <v>31.56435294</v>
      </c>
      <c r="K192" s="219" t="str">
        <f t="shared" si="3"/>
        <v>Vanguard S&amp;P 500 UCITS ETF</v>
      </c>
      <c r="L192" s="340">
        <f t="shared" si="4"/>
        <v>4429</v>
      </c>
      <c r="M192" s="340">
        <f t="shared" si="5"/>
        <v>-189831.65</v>
      </c>
      <c r="N192" s="139" t="str">
        <f t="array" ref="N192">IF($P192&lt;&gt;"",IF(MAXIFS(Investment!$L:$L,Investment!$D:$D,LEFT($P192,40)&amp;"*"),MAXIFS(Investment!$L:$L,Investment!$D:$D,LEFT($P192,40)&amp;"*"),IFERROR(INDEX(Selection!$H:$H, MATCH($P192,Selection!$F:$F,0))/IF(OR(INDEX(Selection!$C:$C, MATCH($P192,Selection!$F:$F,0))="LN",INDEX(Selection!$C:$C, MATCH($P192,Selection!$F:$F,0))="US"),Investment!$K$7,1),"")),"")</f>
        <v/>
      </c>
      <c r="O192" s="144" t="str">
        <f>IF($P192&lt;&gt;"",IF(MAXIFS(Investment!$AG:$AG,Investment!$D:$D,LEFT($P192,40)&amp;"*"),MAXIFS(Investment!$AG:$AG,Investment!$D:$D,LEFT($P192,40)&amp;"*"),""),"")</f>
        <v/>
      </c>
      <c r="P192" s="328"/>
      <c r="Q192" s="150"/>
      <c r="R192" s="329"/>
    </row>
    <row r="193">
      <c r="A193" s="125">
        <v>43385.0</v>
      </c>
      <c r="B193" s="56" t="s">
        <v>243</v>
      </c>
      <c r="C193" s="56" t="s">
        <v>403</v>
      </c>
      <c r="D193" s="56" t="s">
        <v>263</v>
      </c>
      <c r="E193" s="56"/>
      <c r="F193" s="218"/>
      <c r="G193" s="132">
        <v>-4.42</v>
      </c>
      <c r="H193" s="56" t="s">
        <v>630</v>
      </c>
      <c r="I193" s="134">
        <f t="shared" ref="I193:J193" si="197">IFS(AND($B193&lt;&gt;"",$E193&lt;&gt;""),IF(INDEX(N:N,MATCH($C193,$P:$P,0),1)&lt;&gt;"",$E193*INDEX(N:N,MATCH($C193,$P:$P,0),1)+$G193,""),AND($B193&lt;&gt;"",$D193="COST"),$G193,TRUE,)</f>
        <v>-4.42</v>
      </c>
      <c r="J193" s="134">
        <f t="shared" si="197"/>
        <v>-4.42</v>
      </c>
      <c r="K193" s="219" t="str">
        <f t="shared" si="3"/>
        <v>iShares USD Treasury Bond 20+yr UCITS ETF USD Dist</v>
      </c>
      <c r="L193" s="340">
        <f t="shared" si="4"/>
        <v>0</v>
      </c>
      <c r="M193" s="340">
        <f t="shared" si="5"/>
        <v>27424.23</v>
      </c>
      <c r="N193" s="139" t="str">
        <f t="array" ref="N193">IF($P193&lt;&gt;"",IF(MAXIFS(Investment!$L:$L,Investment!$D:$D,LEFT($P193,40)&amp;"*"),MAXIFS(Investment!$L:$L,Investment!$D:$D,LEFT($P193,40)&amp;"*"),IFERROR(INDEX(Selection!$H:$H, MATCH($P193,Selection!$F:$F,0))/IF(OR(INDEX(Selection!$C:$C, MATCH($P193,Selection!$F:$F,0))="LN",INDEX(Selection!$C:$C, MATCH($P193,Selection!$F:$F,0))="US"),Investment!$K$7,1),"")),"")</f>
        <v/>
      </c>
      <c r="O193" s="144" t="str">
        <f>IF($P193&lt;&gt;"",IF(MAXIFS(Investment!$AG:$AG,Investment!$D:$D,LEFT($P193,40)&amp;"*"),MAXIFS(Investment!$AG:$AG,Investment!$D:$D,LEFT($P193,40)&amp;"*"),""),"")</f>
        <v/>
      </c>
      <c r="P193" s="328"/>
      <c r="Q193" s="150"/>
      <c r="R193" s="329"/>
    </row>
    <row r="194">
      <c r="A194" s="125">
        <v>43385.0</v>
      </c>
      <c r="B194" s="56" t="s">
        <v>243</v>
      </c>
      <c r="C194" s="56" t="s">
        <v>403</v>
      </c>
      <c r="D194" s="56" t="s">
        <v>245</v>
      </c>
      <c r="E194" s="51">
        <v>-3258.0</v>
      </c>
      <c r="F194" s="218">
        <v>3.707</v>
      </c>
      <c r="G194" s="132">
        <v>12076.62</v>
      </c>
      <c r="H194" s="56" t="s">
        <v>1264</v>
      </c>
      <c r="I194" s="134">
        <f t="shared" ref="I194:J194" si="198">IFS(AND($B194&lt;&gt;"",$E194&lt;&gt;""),IF(INDEX(N:N,MATCH($C194,$P:$P,0),1)&lt;&gt;"",$E194*INDEX(N:N,MATCH($C194,$P:$P,0),1)+$G194,""),AND($B194&lt;&gt;"",$D194="COST"),$G194,TRUE,)</f>
        <v>-1655.1984</v>
      </c>
      <c r="J194" s="134">
        <f t="shared" si="198"/>
        <v>-695.5551388</v>
      </c>
      <c r="K194" s="219" t="str">
        <f t="shared" si="3"/>
        <v>iShares USD Treasury Bond 20+yr UCITS ETF USD Dist</v>
      </c>
      <c r="L194" s="340">
        <f t="shared" si="4"/>
        <v>0</v>
      </c>
      <c r="M194" s="340">
        <f t="shared" si="5"/>
        <v>27424.23</v>
      </c>
      <c r="N194" s="139" t="str">
        <f t="array" ref="N194">IF($P194&lt;&gt;"",IF(MAXIFS(Investment!$L:$L,Investment!$D:$D,LEFT($P194,40)&amp;"*"),MAXIFS(Investment!$L:$L,Investment!$D:$D,LEFT($P194,40)&amp;"*"),IFERROR(INDEX(Selection!$H:$H, MATCH($P194,Selection!$F:$F,0))/IF(OR(INDEX(Selection!$C:$C, MATCH($P194,Selection!$F:$F,0))="LN",INDEX(Selection!$C:$C, MATCH($P194,Selection!$F:$F,0))="US"),Investment!$K$7,1),"")),"")</f>
        <v/>
      </c>
      <c r="O194" s="144" t="str">
        <f>IF($P194&lt;&gt;"",IF(MAXIFS(Investment!$AG:$AG,Investment!$D:$D,LEFT($P194,40)&amp;"*"),MAXIFS(Investment!$AG:$AG,Investment!$D:$D,LEFT($P194,40)&amp;"*"),""),"")</f>
        <v/>
      </c>
      <c r="P194" s="328"/>
      <c r="Q194" s="150"/>
      <c r="R194" s="329"/>
    </row>
    <row r="195">
      <c r="A195" s="125">
        <v>43385.0</v>
      </c>
      <c r="B195" s="56" t="s">
        <v>361</v>
      </c>
      <c r="C195" s="56" t="s">
        <v>830</v>
      </c>
      <c r="D195" s="56" t="s">
        <v>245</v>
      </c>
      <c r="E195" s="56">
        <v>-10.0</v>
      </c>
      <c r="F195" s="218">
        <v>100.61</v>
      </c>
      <c r="G195" s="132">
        <v>1006.1</v>
      </c>
      <c r="H195" s="56" t="s">
        <v>1265</v>
      </c>
      <c r="I195" s="134">
        <f t="shared" ref="I195:J195" si="199">IFS(AND($B195&lt;&gt;"",$E195&lt;&gt;""),IF(INDEX(N:N,MATCH($C195,$P:$P,0),1)&lt;&gt;"",$E195*INDEX(N:N,MATCH($C195,$P:$P,0),1)+$G195,""),AND($B195&lt;&gt;"",$D195="COST"),$G195,TRUE,)</f>
        <v>-97.2</v>
      </c>
      <c r="J195" s="134">
        <f t="shared" si="199"/>
        <v>-42.13058824</v>
      </c>
      <c r="K195" s="219" t="str">
        <f t="shared" si="3"/>
        <v>ETFS Physical Gold</v>
      </c>
      <c r="L195" s="340">
        <f t="shared" si="4"/>
        <v>506</v>
      </c>
      <c r="M195" s="340">
        <f t="shared" si="5"/>
        <v>-52182.08</v>
      </c>
      <c r="N195" s="139" t="str">
        <f t="array" ref="N195">IF($P195&lt;&gt;"",IF(MAXIFS(Investment!$L:$L,Investment!$D:$D,LEFT($P195,40)&amp;"*"),MAXIFS(Investment!$L:$L,Investment!$D:$D,LEFT($P195,40)&amp;"*"),IFERROR(INDEX(Selection!$H:$H, MATCH($P195,Selection!$F:$F,0))/IF(OR(INDEX(Selection!$C:$C, MATCH($P195,Selection!$F:$F,0))="LN",INDEX(Selection!$C:$C, MATCH($P195,Selection!$F:$F,0))="US"),Investment!$K$7,1),"")),"")</f>
        <v/>
      </c>
      <c r="O195" s="144" t="str">
        <f>IF($P195&lt;&gt;"",IF(MAXIFS(Investment!$AG:$AG,Investment!$D:$D,LEFT($P195,40)&amp;"*"),MAXIFS(Investment!$AG:$AG,Investment!$D:$D,LEFT($P195,40)&amp;"*"),""),"")</f>
        <v/>
      </c>
      <c r="P195" s="328"/>
      <c r="Q195" s="150"/>
      <c r="R195" s="329"/>
    </row>
    <row r="196">
      <c r="A196" s="125">
        <v>43385.0</v>
      </c>
      <c r="B196" s="56" t="s">
        <v>277</v>
      </c>
      <c r="C196" s="56" t="s">
        <v>278</v>
      </c>
      <c r="D196" s="56" t="s">
        <v>245</v>
      </c>
      <c r="E196" s="56">
        <v>-13.0</v>
      </c>
      <c r="F196" s="218">
        <v>160.39</v>
      </c>
      <c r="G196" s="132">
        <v>2085.07</v>
      </c>
      <c r="H196" s="56" t="s">
        <v>1266</v>
      </c>
      <c r="I196" s="134">
        <f t="shared" ref="I196:J196" si="200">IFS(AND($B196&lt;&gt;"",$E196&lt;&gt;""),IF(INDEX(N:N,MATCH($C196,$P:$P,0),1)&lt;&gt;"",$E196*INDEX(N:N,MATCH($C196,$P:$P,0),1)+$G196,""),AND($B196&lt;&gt;"",$D196="COST"),$G196,TRUE,)</f>
        <v>-209.3</v>
      </c>
      <c r="J196" s="134">
        <f t="shared" si="200"/>
        <v>-68.14752941</v>
      </c>
      <c r="K196" s="219" t="str">
        <f t="shared" si="3"/>
        <v>iShares USD Treasury Bond 7-10yr UCITS ETF</v>
      </c>
      <c r="L196" s="340">
        <f t="shared" si="4"/>
        <v>622</v>
      </c>
      <c r="M196" s="340">
        <f t="shared" si="5"/>
        <v>-96952.49</v>
      </c>
      <c r="N196" s="139" t="str">
        <f t="array" ref="N196">IF($P196&lt;&gt;"",IF(MAXIFS(Investment!$L:$L,Investment!$D:$D,LEFT($P196,40)&amp;"*"),MAXIFS(Investment!$L:$L,Investment!$D:$D,LEFT($P196,40)&amp;"*"),IFERROR(INDEX(Selection!$H:$H, MATCH($P196,Selection!$F:$F,0))/IF(OR(INDEX(Selection!$C:$C, MATCH($P196,Selection!$F:$F,0))="LN",INDEX(Selection!$C:$C, MATCH($P196,Selection!$F:$F,0))="US"),Investment!$K$7,1),"")),"")</f>
        <v/>
      </c>
      <c r="O196" s="144" t="str">
        <f>IF($P196&lt;&gt;"",IF(MAXIFS(Investment!$AG:$AG,Investment!$D:$D,LEFT($P196,40)&amp;"*"),MAXIFS(Investment!$AG:$AG,Investment!$D:$D,LEFT($P196,40)&amp;"*"),""),"")</f>
        <v/>
      </c>
      <c r="P196" s="328"/>
      <c r="Q196" s="150"/>
      <c r="R196" s="329"/>
    </row>
    <row r="197">
      <c r="A197" s="125">
        <v>43385.0</v>
      </c>
      <c r="B197" s="56" t="s">
        <v>217</v>
      </c>
      <c r="C197" s="56" t="s">
        <v>220</v>
      </c>
      <c r="D197" s="56" t="s">
        <v>245</v>
      </c>
      <c r="E197" s="56">
        <v>-32.0</v>
      </c>
      <c r="F197" s="218">
        <v>7.607</v>
      </c>
      <c r="G197" s="132">
        <v>243.42</v>
      </c>
      <c r="H197" s="56" t="s">
        <v>1267</v>
      </c>
      <c r="I197" s="134">
        <f t="shared" ref="I197:J197" si="201">IFS(AND($B197&lt;&gt;"",$E197&lt;&gt;""),IF(INDEX(N:N,MATCH($C197,$P:$P,0),1)&lt;&gt;"",$E197*INDEX(N:N,MATCH($C197,$P:$P,0),1)+$G197,""),AND($B197&lt;&gt;"",$D197="COST"),$G197,TRUE,)</f>
        <v>13.82</v>
      </c>
      <c r="J197" s="134">
        <f t="shared" si="201"/>
        <v>6.715247059</v>
      </c>
      <c r="K197" s="219" t="str">
        <f t="shared" si="3"/>
        <v>ETFS All Commodities</v>
      </c>
      <c r="L197" s="340">
        <f t="shared" si="4"/>
        <v>8177</v>
      </c>
      <c r="M197" s="340">
        <f t="shared" si="5"/>
        <v>-60085.79</v>
      </c>
      <c r="N197" s="139" t="str">
        <f t="array" ref="N197">IF($P197&lt;&gt;"",IF(MAXIFS(Investment!$L:$L,Investment!$D:$D,LEFT($P197,40)&amp;"*"),MAXIFS(Investment!$L:$L,Investment!$D:$D,LEFT($P197,40)&amp;"*"),IFERROR(INDEX(Selection!$H:$H, MATCH($P197,Selection!$F:$F,0))/IF(OR(INDEX(Selection!$C:$C, MATCH($P197,Selection!$F:$F,0))="LN",INDEX(Selection!$C:$C, MATCH($P197,Selection!$F:$F,0))="US"),Investment!$K$7,1),"")),"")</f>
        <v/>
      </c>
      <c r="O197" s="144" t="str">
        <f>IF($P197&lt;&gt;"",IF(MAXIFS(Investment!$AG:$AG,Investment!$D:$D,LEFT($P197,40)&amp;"*"),MAXIFS(Investment!$AG:$AG,Investment!$D:$D,LEFT($P197,40)&amp;"*"),""),"")</f>
        <v/>
      </c>
      <c r="P197" s="328"/>
      <c r="Q197" s="150"/>
      <c r="R197" s="329"/>
    </row>
    <row r="198">
      <c r="A198" s="125">
        <v>43385.0</v>
      </c>
      <c r="B198" s="56" t="s">
        <v>217</v>
      </c>
      <c r="C198" s="56" t="s">
        <v>220</v>
      </c>
      <c r="D198" s="56" t="s">
        <v>263</v>
      </c>
      <c r="E198" s="56"/>
      <c r="F198" s="218"/>
      <c r="G198" s="132">
        <v>-2.05</v>
      </c>
      <c r="H198" s="56" t="s">
        <v>1268</v>
      </c>
      <c r="I198" s="134">
        <f t="shared" ref="I198:J198" si="202">IFS(AND($B198&lt;&gt;"",$E198&lt;&gt;""),IF(INDEX(N:N,MATCH($C198,$P:$P,0),1)&lt;&gt;"",$E198*INDEX(N:N,MATCH($C198,$P:$P,0),1)+$G198,""),AND($B198&lt;&gt;"",$D198="COST"),$G198,TRUE,)</f>
        <v>-2.05</v>
      </c>
      <c r="J198" s="134">
        <f t="shared" si="202"/>
        <v>-2.05</v>
      </c>
      <c r="K198" s="219" t="str">
        <f t="shared" si="3"/>
        <v>ETFS All Commodities</v>
      </c>
      <c r="L198" s="340">
        <f t="shared" si="4"/>
        <v>8177</v>
      </c>
      <c r="M198" s="340">
        <f t="shared" si="5"/>
        <v>-60085.79</v>
      </c>
      <c r="N198" s="139" t="str">
        <f t="array" ref="N198">IF($P198&lt;&gt;"",IF(MAXIFS(Investment!$L:$L,Investment!$D:$D,LEFT($P198,40)&amp;"*"),MAXIFS(Investment!$L:$L,Investment!$D:$D,LEFT($P198,40)&amp;"*"),IFERROR(INDEX(Selection!$H:$H, MATCH($P198,Selection!$F:$F,0))/IF(OR(INDEX(Selection!$C:$C, MATCH($P198,Selection!$F:$F,0))="LN",INDEX(Selection!$C:$C, MATCH($P198,Selection!$F:$F,0))="US"),Investment!$K$7,1),"")),"")</f>
        <v/>
      </c>
      <c r="O198" s="144" t="str">
        <f>IF($P198&lt;&gt;"",IF(MAXIFS(Investment!$AG:$AG,Investment!$D:$D,LEFT($P198,40)&amp;"*"),MAXIFS(Investment!$AG:$AG,Investment!$D:$D,LEFT($P198,40)&amp;"*"),""),"")</f>
        <v/>
      </c>
      <c r="P198" s="328"/>
      <c r="Q198" s="150"/>
      <c r="R198" s="329"/>
    </row>
    <row r="199">
      <c r="A199" s="125">
        <v>43384.0</v>
      </c>
      <c r="B199" s="56" t="s">
        <v>307</v>
      </c>
      <c r="C199" s="56" t="s">
        <v>308</v>
      </c>
      <c r="D199" s="56" t="s">
        <v>390</v>
      </c>
      <c r="E199" s="56"/>
      <c r="F199" s="218"/>
      <c r="G199" s="132">
        <v>-136.05</v>
      </c>
      <c r="H199" s="56" t="s">
        <v>1269</v>
      </c>
      <c r="I199" s="134" t="str">
        <f t="shared" ref="I199:J199" si="203">IFS(AND($B199&lt;&gt;"",$E199&lt;&gt;""),IF(INDEX(N:N,MATCH($C199,$P:$P,0),1)&lt;&gt;"",$E199*INDEX(N:N,MATCH($C199,$P:$P,0),1)+$G199,""),AND($B199&lt;&gt;"",$D199="COST"),$G199,TRUE,)</f>
        <v/>
      </c>
      <c r="J199" s="134" t="str">
        <f t="shared" si="203"/>
        <v/>
      </c>
      <c r="K199" s="219" t="str">
        <f t="shared" si="3"/>
        <v>Vanguard S&amp;P 500 UCITS ETF</v>
      </c>
      <c r="L199" s="340">
        <f t="shared" si="4"/>
        <v>4429</v>
      </c>
      <c r="M199" s="340">
        <f t="shared" si="5"/>
        <v>-189831.65</v>
      </c>
      <c r="N199" s="139" t="str">
        <f t="array" ref="N199">IF($P199&lt;&gt;"",IF(MAXIFS(Investment!$L:$L,Investment!$D:$D,LEFT($P199,40)&amp;"*"),MAXIFS(Investment!$L:$L,Investment!$D:$D,LEFT($P199,40)&amp;"*"),IFERROR(INDEX(Selection!$H:$H, MATCH($P199,Selection!$F:$F,0))/IF(OR(INDEX(Selection!$C:$C, MATCH($P199,Selection!$F:$F,0))="LN",INDEX(Selection!$C:$C, MATCH($P199,Selection!$F:$F,0))="US"),Investment!$K$7,1),"")),"")</f>
        <v/>
      </c>
      <c r="O199" s="144" t="str">
        <f>IF($P199&lt;&gt;"",IF(MAXIFS(Investment!$AG:$AG,Investment!$D:$D,LEFT($P199,40)&amp;"*"),MAXIFS(Investment!$AG:$AG,Investment!$D:$D,LEFT($P199,40)&amp;"*"),""),"")</f>
        <v/>
      </c>
      <c r="P199" s="328"/>
      <c r="Q199" s="150"/>
      <c r="R199" s="329"/>
    </row>
    <row r="200">
      <c r="A200" s="125">
        <v>43383.0</v>
      </c>
      <c r="B200" s="56" t="s">
        <v>307</v>
      </c>
      <c r="C200" s="56" t="s">
        <v>308</v>
      </c>
      <c r="D200" s="56" t="s">
        <v>390</v>
      </c>
      <c r="E200" s="56"/>
      <c r="F200" s="218"/>
      <c r="G200" s="132">
        <v>1024.7</v>
      </c>
      <c r="H200" s="56" t="s">
        <v>1270</v>
      </c>
      <c r="I200" s="134" t="str">
        <f t="shared" ref="I200:J200" si="204">IFS(AND($B200&lt;&gt;"",$E200&lt;&gt;""),IF(INDEX(N:N,MATCH($C200,$P:$P,0),1)&lt;&gt;"",$E200*INDEX(N:N,MATCH($C200,$P:$P,0),1)+$G200,""),AND($B200&lt;&gt;"",$D200="COST"),$G200,TRUE,)</f>
        <v/>
      </c>
      <c r="J200" s="134" t="str">
        <f t="shared" si="204"/>
        <v/>
      </c>
      <c r="K200" s="219" t="str">
        <f t="shared" si="3"/>
        <v>Vanguard S&amp;P 500 UCITS ETF</v>
      </c>
      <c r="L200" s="340">
        <f t="shared" si="4"/>
        <v>4429</v>
      </c>
      <c r="M200" s="340">
        <f t="shared" si="5"/>
        <v>-189831.65</v>
      </c>
      <c r="N200" s="139" t="str">
        <f t="array" ref="N200">IF($P200&lt;&gt;"",IF(MAXIFS(Investment!$L:$L,Investment!$D:$D,LEFT($P200,40)&amp;"*"),MAXIFS(Investment!$L:$L,Investment!$D:$D,LEFT($P200,40)&amp;"*"),IFERROR(INDEX(Selection!$H:$H, MATCH($P200,Selection!$F:$F,0))/IF(OR(INDEX(Selection!$C:$C, MATCH($P200,Selection!$F:$F,0))="LN",INDEX(Selection!$C:$C, MATCH($P200,Selection!$F:$F,0))="US"),Investment!$K$7,1),"")),"")</f>
        <v/>
      </c>
      <c r="O200" s="144" t="str">
        <f>IF($P200&lt;&gt;"",IF(MAXIFS(Investment!$AG:$AG,Investment!$D:$D,LEFT($P200,40)&amp;"*"),MAXIFS(Investment!$AG:$AG,Investment!$D:$D,LEFT($P200,40)&amp;"*"),""),"")</f>
        <v/>
      </c>
      <c r="P200" s="328"/>
      <c r="Q200" s="150"/>
      <c r="R200" s="329"/>
    </row>
    <row r="201">
      <c r="A201" s="125">
        <v>43378.0</v>
      </c>
      <c r="B201" s="56" t="s">
        <v>361</v>
      </c>
      <c r="C201" s="56" t="s">
        <v>830</v>
      </c>
      <c r="D201" s="56" t="s">
        <v>245</v>
      </c>
      <c r="E201" s="56">
        <v>-9.0</v>
      </c>
      <c r="F201" s="218">
        <v>99.89</v>
      </c>
      <c r="G201" s="132">
        <v>899.01</v>
      </c>
      <c r="H201" s="56" t="s">
        <v>1271</v>
      </c>
      <c r="I201" s="134">
        <f t="shared" ref="I201:J201" si="205">IFS(AND($B201&lt;&gt;"",$E201&lt;&gt;""),IF(INDEX(N:N,MATCH($C201,$P:$P,0),1)&lt;&gt;"",$E201*INDEX(N:N,MATCH($C201,$P:$P,0),1)+$G201,""),AND($B201&lt;&gt;"",$D201="COST"),$G201,TRUE,)</f>
        <v>-93.96</v>
      </c>
      <c r="J201" s="134">
        <f t="shared" si="205"/>
        <v>-44.39752941</v>
      </c>
      <c r="K201" s="219" t="str">
        <f t="shared" si="3"/>
        <v>ETFS Physical Gold</v>
      </c>
      <c r="L201" s="340">
        <f t="shared" si="4"/>
        <v>506</v>
      </c>
      <c r="M201" s="340">
        <f t="shared" si="5"/>
        <v>-52182.08</v>
      </c>
      <c r="N201" s="139" t="str">
        <f t="array" ref="N201">IF($P201&lt;&gt;"",IF(MAXIFS(Investment!$L:$L,Investment!$D:$D,LEFT($P201,40)&amp;"*"),MAXIFS(Investment!$L:$L,Investment!$D:$D,LEFT($P201,40)&amp;"*"),IFERROR(INDEX(Selection!$H:$H, MATCH($P201,Selection!$F:$F,0))/IF(OR(INDEX(Selection!$C:$C, MATCH($P201,Selection!$F:$F,0))="LN",INDEX(Selection!$C:$C, MATCH($P201,Selection!$F:$F,0))="US"),Investment!$K$7,1),"")),"")</f>
        <v/>
      </c>
      <c r="O201" s="144" t="str">
        <f>IF($P201&lt;&gt;"",IF(MAXIFS(Investment!$AG:$AG,Investment!$D:$D,LEFT($P201,40)&amp;"*"),MAXIFS(Investment!$AG:$AG,Investment!$D:$D,LEFT($P201,40)&amp;"*"),""),"")</f>
        <v/>
      </c>
      <c r="P201" s="328"/>
      <c r="Q201" s="150"/>
      <c r="R201" s="329"/>
    </row>
    <row r="202">
      <c r="A202" s="125">
        <v>43377.0</v>
      </c>
      <c r="B202" s="56" t="s">
        <v>217</v>
      </c>
      <c r="C202" s="56" t="s">
        <v>220</v>
      </c>
      <c r="D202" s="56" t="s">
        <v>245</v>
      </c>
      <c r="E202" s="56">
        <v>-238.0</v>
      </c>
      <c r="F202" s="218">
        <v>7.784</v>
      </c>
      <c r="G202" s="132">
        <v>1852.59</v>
      </c>
      <c r="H202" s="56" t="s">
        <v>1272</v>
      </c>
      <c r="I202" s="134">
        <f t="shared" ref="I202:J202" si="206">IFS(AND($B202&lt;&gt;"",$E202&lt;&gt;""),IF(INDEX(N:N,MATCH($C202,$P:$P,0),1)&lt;&gt;"",$E202*INDEX(N:N,MATCH($C202,$P:$P,0),1)+$G202,""),AND($B202&lt;&gt;"",$D202="COST"),$G202,TRUE,)</f>
        <v>144.94</v>
      </c>
      <c r="J202" s="134">
        <f t="shared" si="206"/>
        <v>92.0984</v>
      </c>
      <c r="K202" s="219" t="str">
        <f t="shared" si="3"/>
        <v>ETFS All Commodities</v>
      </c>
      <c r="L202" s="340">
        <f t="shared" si="4"/>
        <v>8177</v>
      </c>
      <c r="M202" s="340">
        <f t="shared" si="5"/>
        <v>-60085.79</v>
      </c>
      <c r="N202" s="139" t="str">
        <f t="array" ref="N202">IF($P202&lt;&gt;"",IF(MAXIFS(Investment!$L:$L,Investment!$D:$D,LEFT($P202,40)&amp;"*"),MAXIFS(Investment!$L:$L,Investment!$D:$D,LEFT($P202,40)&amp;"*"),IFERROR(INDEX(Selection!$H:$H, MATCH($P202,Selection!$F:$F,0))/IF(OR(INDEX(Selection!$C:$C, MATCH($P202,Selection!$F:$F,0))="LN",INDEX(Selection!$C:$C, MATCH($P202,Selection!$F:$F,0))="US"),Investment!$K$7,1),"")),"")</f>
        <v/>
      </c>
      <c r="O202" s="144" t="str">
        <f>IF($P202&lt;&gt;"",IF(MAXIFS(Investment!$AG:$AG,Investment!$D:$D,LEFT($P202,40)&amp;"*"),MAXIFS(Investment!$AG:$AG,Investment!$D:$D,LEFT($P202,40)&amp;"*"),""),"")</f>
        <v/>
      </c>
      <c r="P202" s="328"/>
      <c r="Q202" s="150"/>
      <c r="R202" s="329"/>
    </row>
    <row r="203">
      <c r="A203" s="125">
        <v>43377.0</v>
      </c>
      <c r="B203" s="56" t="s">
        <v>277</v>
      </c>
      <c r="C203" s="56" t="s">
        <v>278</v>
      </c>
      <c r="D203" s="56" t="s">
        <v>245</v>
      </c>
      <c r="E203" s="56">
        <v>-5.0</v>
      </c>
      <c r="F203" s="218">
        <v>161.06</v>
      </c>
      <c r="G203" s="132">
        <v>805.3</v>
      </c>
      <c r="H203" s="56" t="s">
        <v>1273</v>
      </c>
      <c r="I203" s="134">
        <f t="shared" ref="I203:J203" si="207">IFS(AND($B203&lt;&gt;"",$E203&lt;&gt;""),IF(INDEX(N:N,MATCH($C203,$P:$P,0),1)&lt;&gt;"",$E203*INDEX(N:N,MATCH($C203,$P:$P,0),1)+$G203,""),AND($B203&lt;&gt;"",$D203="COST"),$G203,TRUE,)</f>
        <v>-77.15</v>
      </c>
      <c r="J203" s="134">
        <f t="shared" si="207"/>
        <v>-22.86058824</v>
      </c>
      <c r="K203" s="219" t="str">
        <f t="shared" si="3"/>
        <v>iShares USD Treasury Bond 7-10yr UCITS ETF</v>
      </c>
      <c r="L203" s="340">
        <f t="shared" si="4"/>
        <v>622</v>
      </c>
      <c r="M203" s="340">
        <f t="shared" si="5"/>
        <v>-96952.49</v>
      </c>
      <c r="N203" s="139" t="str">
        <f t="array" ref="N203">IF($P203&lt;&gt;"",IF(MAXIFS(Investment!$L:$L,Investment!$D:$D,LEFT($P203,40)&amp;"*"),MAXIFS(Investment!$L:$L,Investment!$D:$D,LEFT($P203,40)&amp;"*"),IFERROR(INDEX(Selection!$H:$H, MATCH($P203,Selection!$F:$F,0))/IF(OR(INDEX(Selection!$C:$C, MATCH($P203,Selection!$F:$F,0))="LN",INDEX(Selection!$C:$C, MATCH($P203,Selection!$F:$F,0))="US"),Investment!$K$7,1),"")),"")</f>
        <v/>
      </c>
      <c r="O203" s="144" t="str">
        <f>IF($P203&lt;&gt;"",IF(MAXIFS(Investment!$AG:$AG,Investment!$D:$D,LEFT($P203,40)&amp;"*"),MAXIFS(Investment!$AG:$AG,Investment!$D:$D,LEFT($P203,40)&amp;"*"),""),"")</f>
        <v/>
      </c>
      <c r="P203" s="328"/>
      <c r="Q203" s="150"/>
      <c r="R203" s="329"/>
    </row>
    <row r="204">
      <c r="A204" s="125">
        <v>43377.0</v>
      </c>
      <c r="B204" s="56" t="s">
        <v>243</v>
      </c>
      <c r="C204" s="56" t="s">
        <v>403</v>
      </c>
      <c r="D204" s="56" t="s">
        <v>263</v>
      </c>
      <c r="E204" s="56"/>
      <c r="F204" s="218"/>
      <c r="G204" s="132">
        <v>-3.76</v>
      </c>
      <c r="H204" s="56" t="s">
        <v>1274</v>
      </c>
      <c r="I204" s="134">
        <f t="shared" ref="I204:J204" si="208">IFS(AND($B204&lt;&gt;"",$E204&lt;&gt;""),IF(INDEX(N:N,MATCH($C204,$P:$P,0),1)&lt;&gt;"",$E204*INDEX(N:N,MATCH($C204,$P:$P,0),1)+$G204,""),AND($B204&lt;&gt;"",$D204="COST"),$G204,TRUE,)</f>
        <v>-3.76</v>
      </c>
      <c r="J204" s="134">
        <f t="shared" si="208"/>
        <v>-3.76</v>
      </c>
      <c r="K204" s="219" t="str">
        <f t="shared" si="3"/>
        <v>iShares USD Treasury Bond 20+yr UCITS ETF USD Dist</v>
      </c>
      <c r="L204" s="340">
        <f t="shared" si="4"/>
        <v>0</v>
      </c>
      <c r="M204" s="340">
        <f t="shared" si="5"/>
        <v>27424.23</v>
      </c>
      <c r="N204" s="139" t="str">
        <f t="array" ref="N204">IF($P204&lt;&gt;"",IF(MAXIFS(Investment!$L:$L,Investment!$D:$D,LEFT($P204,40)&amp;"*"),MAXIFS(Investment!$L:$L,Investment!$D:$D,LEFT($P204,40)&amp;"*"),IFERROR(INDEX(Selection!$H:$H, MATCH($P204,Selection!$F:$F,0))/IF(OR(INDEX(Selection!$C:$C, MATCH($P204,Selection!$F:$F,0))="LN",INDEX(Selection!$C:$C, MATCH($P204,Selection!$F:$F,0))="US"),Investment!$K$7,1),"")),"")</f>
        <v/>
      </c>
      <c r="O204" s="144" t="str">
        <f>IF($P204&lt;&gt;"",IF(MAXIFS(Investment!$AG:$AG,Investment!$D:$D,LEFT($P204,40)&amp;"*"),MAXIFS(Investment!$AG:$AG,Investment!$D:$D,LEFT($P204,40)&amp;"*"),""),"")</f>
        <v/>
      </c>
      <c r="P204" s="328"/>
      <c r="Q204" s="150"/>
      <c r="R204" s="329"/>
    </row>
    <row r="205">
      <c r="A205" s="125">
        <v>43377.0</v>
      </c>
      <c r="B205" s="56" t="s">
        <v>243</v>
      </c>
      <c r="C205" s="56" t="s">
        <v>403</v>
      </c>
      <c r="D205" s="56" t="s">
        <v>222</v>
      </c>
      <c r="E205" s="51">
        <v>2361.0</v>
      </c>
      <c r="F205" s="218">
        <v>3.731</v>
      </c>
      <c r="G205" s="132">
        <v>-8808.53</v>
      </c>
      <c r="H205" s="56" t="s">
        <v>1275</v>
      </c>
      <c r="I205" s="134">
        <f t="shared" ref="I205:J205" si="209">IFS(AND($B205&lt;&gt;"",$E205&lt;&gt;""),IF(INDEX(N:N,MATCH($C205,$P:$P,0),1)&lt;&gt;"",$E205*INDEX(N:N,MATCH($C205,$P:$P,0),1)+$G205,""),AND($B205&lt;&gt;"",$D205="COST"),$G205,TRUE,)</f>
        <v>1142.6128</v>
      </c>
      <c r="J205" s="134">
        <f t="shared" si="209"/>
        <v>447.1807129</v>
      </c>
      <c r="K205" s="219" t="str">
        <f t="shared" si="3"/>
        <v>iShares USD Treasury Bond 20+yr UCITS ETF USD Dist</v>
      </c>
      <c r="L205" s="340">
        <f t="shared" si="4"/>
        <v>0</v>
      </c>
      <c r="M205" s="340">
        <f t="shared" si="5"/>
        <v>27424.23</v>
      </c>
      <c r="N205" s="139" t="str">
        <f t="array" ref="N205">IF($P205&lt;&gt;"",IF(MAXIFS(Investment!$L:$L,Investment!$D:$D,LEFT($P205,40)&amp;"*"),MAXIFS(Investment!$L:$L,Investment!$D:$D,LEFT($P205,40)&amp;"*"),IFERROR(INDEX(Selection!$H:$H, MATCH($P205,Selection!$F:$F,0))/IF(OR(INDEX(Selection!$C:$C, MATCH($P205,Selection!$F:$F,0))="LN",INDEX(Selection!$C:$C, MATCH($P205,Selection!$F:$F,0))="US"),Investment!$K$7,1),"")),"")</f>
        <v/>
      </c>
      <c r="O205" s="144" t="str">
        <f>IF($P205&lt;&gt;"",IF(MAXIFS(Investment!$AG:$AG,Investment!$D:$D,LEFT($P205,40)&amp;"*"),MAXIFS(Investment!$AG:$AG,Investment!$D:$D,LEFT($P205,40)&amp;"*"),""),"")</f>
        <v/>
      </c>
      <c r="P205" s="328"/>
      <c r="Q205" s="150"/>
      <c r="R205" s="329"/>
    </row>
    <row r="206">
      <c r="A206" s="125">
        <v>43375.0</v>
      </c>
      <c r="B206" s="56"/>
      <c r="C206" s="56"/>
      <c r="D206" s="56" t="s">
        <v>263</v>
      </c>
      <c r="E206" s="56"/>
      <c r="F206" s="218"/>
      <c r="G206" s="132">
        <v>-501.62</v>
      </c>
      <c r="H206" s="56" t="s">
        <v>1276</v>
      </c>
      <c r="I206" s="134" t="str">
        <f t="shared" ref="I206:J206" si="210">IFS(AND($B206&lt;&gt;"",$E206&lt;&gt;""),IF(INDEX(N:N,MATCH($C206,$P:$P,0),1)&lt;&gt;"",$E206*INDEX(N:N,MATCH($C206,$P:$P,0),1)+$G206,""),AND($B206&lt;&gt;"",$D206="COST"),$G206,TRUE,)</f>
        <v/>
      </c>
      <c r="J206" s="134" t="str">
        <f t="shared" si="210"/>
        <v/>
      </c>
      <c r="K206" s="219" t="str">
        <f t="shared" si="3"/>
        <v/>
      </c>
      <c r="L206" s="340" t="str">
        <f t="shared" si="4"/>
        <v/>
      </c>
      <c r="M206" s="340" t="str">
        <f t="shared" si="5"/>
        <v/>
      </c>
      <c r="N206" s="139" t="str">
        <f t="array" ref="N206">IF($P206&lt;&gt;"",IF(MAXIFS(Investment!$L:$L,Investment!$D:$D,LEFT($P206,40)&amp;"*"),MAXIFS(Investment!$L:$L,Investment!$D:$D,LEFT($P206,40)&amp;"*"),IFERROR(INDEX(Selection!$H:$H, MATCH($P206,Selection!$F:$F,0))/IF(OR(INDEX(Selection!$C:$C, MATCH($P206,Selection!$F:$F,0))="LN",INDEX(Selection!$C:$C, MATCH($P206,Selection!$F:$F,0))="US"),Investment!$K$7,1),"")),"")</f>
        <v/>
      </c>
      <c r="O206" s="144" t="str">
        <f>IF($P206&lt;&gt;"",IF(MAXIFS(Investment!$AG:$AG,Investment!$D:$D,LEFT($P206,40)&amp;"*"),MAXIFS(Investment!$AG:$AG,Investment!$D:$D,LEFT($P206,40)&amp;"*"),""),"")</f>
        <v/>
      </c>
      <c r="P206" s="328"/>
      <c r="Q206" s="150"/>
      <c r="R206" s="329"/>
    </row>
    <row r="207">
      <c r="A207" s="125">
        <v>43369.0</v>
      </c>
      <c r="B207" s="56" t="s">
        <v>307</v>
      </c>
      <c r="C207" s="56" t="s">
        <v>308</v>
      </c>
      <c r="D207" s="56" t="s">
        <v>245</v>
      </c>
      <c r="E207" s="56">
        <v>-30.0</v>
      </c>
      <c r="F207" s="218">
        <v>47.288</v>
      </c>
      <c r="G207" s="132">
        <v>1418.64</v>
      </c>
      <c r="H207" s="56" t="s">
        <v>1277</v>
      </c>
      <c r="I207" s="134">
        <f t="shared" ref="I207:J207" si="211">IFS(AND($B207&lt;&gt;"",$E207&lt;&gt;""),IF(INDEX(N:N,MATCH($C207,$P:$P,0),1)&lt;&gt;"",$E207*INDEX(N:N,MATCH($C207,$P:$P,0),1)+$G207,""),AND($B207&lt;&gt;"",$D207="COST"),$G207,TRUE,)</f>
        <v>-22.26</v>
      </c>
      <c r="J207" s="134">
        <f t="shared" si="211"/>
        <v>40.83035294</v>
      </c>
      <c r="K207" s="219" t="str">
        <f t="shared" si="3"/>
        <v>Vanguard S&amp;P 500 UCITS ETF</v>
      </c>
      <c r="L207" s="340">
        <f t="shared" si="4"/>
        <v>4429</v>
      </c>
      <c r="M207" s="340">
        <f t="shared" si="5"/>
        <v>-189831.65</v>
      </c>
      <c r="N207" s="139" t="str">
        <f t="array" ref="N207">IF($P207&lt;&gt;"",IF(MAXIFS(Investment!$L:$L,Investment!$D:$D,LEFT($P207,40)&amp;"*"),MAXIFS(Investment!$L:$L,Investment!$D:$D,LEFT($P207,40)&amp;"*"),IFERROR(INDEX(Selection!$H:$H, MATCH($P207,Selection!$F:$F,0))/IF(OR(INDEX(Selection!$C:$C, MATCH($P207,Selection!$F:$F,0))="LN",INDEX(Selection!$C:$C, MATCH($P207,Selection!$F:$F,0))="US"),Investment!$K$7,1),"")),"")</f>
        <v/>
      </c>
      <c r="O207" s="144" t="str">
        <f>IF($P207&lt;&gt;"",IF(MAXIFS(Investment!$AG:$AG,Investment!$D:$D,LEFT($P207,40)&amp;"*"),MAXIFS(Investment!$AG:$AG,Investment!$D:$D,LEFT($P207,40)&amp;"*"),""),"")</f>
        <v/>
      </c>
      <c r="P207" s="328"/>
      <c r="Q207" s="150"/>
      <c r="R207" s="329"/>
    </row>
    <row r="208">
      <c r="A208" s="125">
        <v>43369.0</v>
      </c>
      <c r="B208" s="56" t="s">
        <v>217</v>
      </c>
      <c r="C208" s="56" t="s">
        <v>220</v>
      </c>
      <c r="D208" s="56" t="s">
        <v>245</v>
      </c>
      <c r="E208" s="56">
        <v>-225.0</v>
      </c>
      <c r="F208" s="218">
        <v>7.373</v>
      </c>
      <c r="G208" s="132">
        <v>1658.92</v>
      </c>
      <c r="H208" s="56" t="s">
        <v>1278</v>
      </c>
      <c r="I208" s="134">
        <f t="shared" ref="I208:J208" si="212">IFS(AND($B208&lt;&gt;"",$E208&lt;&gt;""),IF(INDEX(N:N,MATCH($C208,$P:$P,0),1)&lt;&gt;"",$E208*INDEX(N:N,MATCH($C208,$P:$P,0),1)+$G208,""),AND($B208&lt;&gt;"",$D208="COST"),$G208,TRUE,)</f>
        <v>44.545</v>
      </c>
      <c r="J208" s="134">
        <f t="shared" si="212"/>
        <v>-5.410294118</v>
      </c>
      <c r="K208" s="219" t="str">
        <f t="shared" si="3"/>
        <v>ETFS All Commodities</v>
      </c>
      <c r="L208" s="340">
        <f t="shared" si="4"/>
        <v>8177</v>
      </c>
      <c r="M208" s="340">
        <f t="shared" si="5"/>
        <v>-60085.79</v>
      </c>
      <c r="N208" s="139" t="str">
        <f t="array" ref="N208">IF($P208&lt;&gt;"",IF(MAXIFS(Investment!$L:$L,Investment!$D:$D,LEFT($P208,40)&amp;"*"),MAXIFS(Investment!$L:$L,Investment!$D:$D,LEFT($P208,40)&amp;"*"),IFERROR(INDEX(Selection!$H:$H, MATCH($P208,Selection!$F:$F,0))/IF(OR(INDEX(Selection!$C:$C, MATCH($P208,Selection!$F:$F,0))="LN",INDEX(Selection!$C:$C, MATCH($P208,Selection!$F:$F,0))="US"),Investment!$K$7,1),"")),"")</f>
        <v/>
      </c>
      <c r="O208" s="144" t="str">
        <f>IF($P208&lt;&gt;"",IF(MAXIFS(Investment!$AG:$AG,Investment!$D:$D,LEFT($P208,40)&amp;"*"),MAXIFS(Investment!$AG:$AG,Investment!$D:$D,LEFT($P208,40)&amp;"*"),""),"")</f>
        <v/>
      </c>
      <c r="P208" s="328"/>
      <c r="Q208" s="150"/>
      <c r="R208" s="329"/>
    </row>
    <row r="209">
      <c r="A209" s="125">
        <v>43369.0</v>
      </c>
      <c r="B209" s="56" t="s">
        <v>361</v>
      </c>
      <c r="C209" s="56" t="s">
        <v>830</v>
      </c>
      <c r="D209" s="56" t="s">
        <v>245</v>
      </c>
      <c r="E209" s="56">
        <v>-12.0</v>
      </c>
      <c r="F209" s="218">
        <v>97.53</v>
      </c>
      <c r="G209" s="132">
        <v>1170.36</v>
      </c>
      <c r="H209" s="56" t="s">
        <v>1279</v>
      </c>
      <c r="I209" s="134">
        <f t="shared" ref="I209:J209" si="213">IFS(AND($B209&lt;&gt;"",$E209&lt;&gt;""),IF(INDEX(N:N,MATCH($C209,$P:$P,0),1)&lt;&gt;"",$E209*INDEX(N:N,MATCH($C209,$P:$P,0),1)+$G209,""),AND($B209&lt;&gt;"",$D209="COST"),$G209,TRUE,)</f>
        <v>-153.6</v>
      </c>
      <c r="J209" s="134">
        <f t="shared" si="213"/>
        <v>-87.51670588</v>
      </c>
      <c r="K209" s="219" t="str">
        <f t="shared" si="3"/>
        <v>ETFS Physical Gold</v>
      </c>
      <c r="L209" s="340">
        <f t="shared" si="4"/>
        <v>506</v>
      </c>
      <c r="M209" s="340">
        <f t="shared" si="5"/>
        <v>-52182.08</v>
      </c>
      <c r="N209" s="139" t="str">
        <f t="array" ref="N209">IF($P209&lt;&gt;"",IF(MAXIFS(Investment!$L:$L,Investment!$D:$D,LEFT($P209,40)&amp;"*"),MAXIFS(Investment!$L:$L,Investment!$D:$D,LEFT($P209,40)&amp;"*"),IFERROR(INDEX(Selection!$H:$H, MATCH($P209,Selection!$F:$F,0))/IF(OR(INDEX(Selection!$C:$C, MATCH($P209,Selection!$F:$F,0))="LN",INDEX(Selection!$C:$C, MATCH($P209,Selection!$F:$F,0))="US"),Investment!$K$7,1),"")),"")</f>
        <v/>
      </c>
      <c r="O209" s="144" t="str">
        <f>IF($P209&lt;&gt;"",IF(MAXIFS(Investment!$AG:$AG,Investment!$D:$D,LEFT($P209,40)&amp;"*"),MAXIFS(Investment!$AG:$AG,Investment!$D:$D,LEFT($P209,40)&amp;"*"),""),"")</f>
        <v/>
      </c>
      <c r="P209" s="328"/>
      <c r="Q209" s="150"/>
      <c r="R209" s="329"/>
    </row>
    <row r="210">
      <c r="A210" s="125">
        <v>43367.0</v>
      </c>
      <c r="B210" s="56" t="s">
        <v>307</v>
      </c>
      <c r="C210" s="56" t="s">
        <v>308</v>
      </c>
      <c r="D210" s="56" t="s">
        <v>245</v>
      </c>
      <c r="E210" s="56">
        <v>-30.0</v>
      </c>
      <c r="F210" s="218">
        <v>47.385</v>
      </c>
      <c r="G210" s="132">
        <v>1421.55</v>
      </c>
      <c r="H210" s="56" t="s">
        <v>1280</v>
      </c>
      <c r="I210" s="134">
        <f t="shared" ref="I210:J210" si="214">IFS(AND($B210&lt;&gt;"",$E210&lt;&gt;""),IF(INDEX(N:N,MATCH($C210,$P:$P,0),1)&lt;&gt;"",$E210*INDEX(N:N,MATCH($C210,$P:$P,0),1)+$G210,""),AND($B210&lt;&gt;"",$D210="COST"),$G210,TRUE,)</f>
        <v>-19.35</v>
      </c>
      <c r="J210" s="134">
        <f t="shared" si="214"/>
        <v>43.74035294</v>
      </c>
      <c r="K210" s="219" t="str">
        <f t="shared" si="3"/>
        <v>Vanguard S&amp;P 500 UCITS ETF</v>
      </c>
      <c r="L210" s="340">
        <f t="shared" si="4"/>
        <v>4429</v>
      </c>
      <c r="M210" s="340">
        <f t="shared" si="5"/>
        <v>-189831.65</v>
      </c>
      <c r="N210" s="139" t="str">
        <f t="array" ref="N210">IF($P210&lt;&gt;"",IF(MAXIFS(Investment!$L:$L,Investment!$D:$D,LEFT($P210,40)&amp;"*"),MAXIFS(Investment!$L:$L,Investment!$D:$D,LEFT($P210,40)&amp;"*"),IFERROR(INDEX(Selection!$H:$H, MATCH($P210,Selection!$F:$F,0))/IF(OR(INDEX(Selection!$C:$C, MATCH($P210,Selection!$F:$F,0))="LN",INDEX(Selection!$C:$C, MATCH($P210,Selection!$F:$F,0))="US"),Investment!$K$7,1),"")),"")</f>
        <v/>
      </c>
      <c r="O210" s="144" t="str">
        <f>IF($P210&lt;&gt;"",IF(MAXIFS(Investment!$AG:$AG,Investment!$D:$D,LEFT($P210,40)&amp;"*"),MAXIFS(Investment!$AG:$AG,Investment!$D:$D,LEFT($P210,40)&amp;"*"),""),"")</f>
        <v/>
      </c>
      <c r="P210" s="328"/>
      <c r="Q210" s="150"/>
      <c r="R210" s="329"/>
    </row>
    <row r="211">
      <c r="A211" s="125">
        <v>43363.0</v>
      </c>
      <c r="B211" s="56" t="s">
        <v>217</v>
      </c>
      <c r="C211" s="56" t="s">
        <v>220</v>
      </c>
      <c r="D211" s="56" t="s">
        <v>245</v>
      </c>
      <c r="E211" s="56">
        <v>-250.0</v>
      </c>
      <c r="F211" s="218">
        <v>7.261</v>
      </c>
      <c r="G211" s="132">
        <v>1815.25</v>
      </c>
      <c r="H211" s="56" t="s">
        <v>1281</v>
      </c>
      <c r="I211" s="134">
        <f t="shared" ref="I211:J211" si="215">IFS(AND($B211&lt;&gt;"",$E211&lt;&gt;""),IF(INDEX(N:N,MATCH($C211,$P:$P,0),1)&lt;&gt;"",$E211*INDEX(N:N,MATCH($C211,$P:$P,0),1)+$G211,""),AND($B211&lt;&gt;"",$D211="COST"),$G211,TRUE,)</f>
        <v>21.5</v>
      </c>
      <c r="J211" s="134">
        <f t="shared" si="215"/>
        <v>-34.00588235</v>
      </c>
      <c r="K211" s="219" t="str">
        <f t="shared" si="3"/>
        <v>ETFS All Commodities</v>
      </c>
      <c r="L211" s="340">
        <f t="shared" si="4"/>
        <v>8177</v>
      </c>
      <c r="M211" s="340">
        <f t="shared" si="5"/>
        <v>-60085.79</v>
      </c>
      <c r="N211" s="139" t="str">
        <f t="array" ref="N211">IF($P211&lt;&gt;"",IF(MAXIFS(Investment!$L:$L,Investment!$D:$D,LEFT($P211,40)&amp;"*"),MAXIFS(Investment!$L:$L,Investment!$D:$D,LEFT($P211,40)&amp;"*"),IFERROR(INDEX(Selection!$H:$H, MATCH($P211,Selection!$F:$F,0))/IF(OR(INDEX(Selection!$C:$C, MATCH($P211,Selection!$F:$F,0))="LN",INDEX(Selection!$C:$C, MATCH($P211,Selection!$F:$F,0))="US"),Investment!$K$7,1),"")),"")</f>
        <v/>
      </c>
      <c r="O211" s="144" t="str">
        <f>IF($P211&lt;&gt;"",IF(MAXIFS(Investment!$AG:$AG,Investment!$D:$D,LEFT($P211,40)&amp;"*"),MAXIFS(Investment!$AG:$AG,Investment!$D:$D,LEFT($P211,40)&amp;"*"),""),"")</f>
        <v/>
      </c>
      <c r="P211" s="328"/>
      <c r="Q211" s="150"/>
      <c r="R211" s="329"/>
    </row>
    <row r="212">
      <c r="A212" s="125">
        <v>43363.0</v>
      </c>
      <c r="B212" s="56" t="s">
        <v>307</v>
      </c>
      <c r="C212" s="56" t="s">
        <v>308</v>
      </c>
      <c r="D212" s="56" t="s">
        <v>245</v>
      </c>
      <c r="E212" s="56">
        <v>-45.0</v>
      </c>
      <c r="F212" s="218">
        <v>47.386</v>
      </c>
      <c r="G212" s="132">
        <v>2132.37</v>
      </c>
      <c r="H212" s="56" t="s">
        <v>1282</v>
      </c>
      <c r="I212" s="134">
        <f t="shared" ref="I212:J212" si="216">IFS(AND($B212&lt;&gt;"",$E212&lt;&gt;""),IF(INDEX(N:N,MATCH($C212,$P:$P,0),1)&lt;&gt;"",$E212*INDEX(N:N,MATCH($C212,$P:$P,0),1)+$G212,""),AND($B212&lt;&gt;"",$D212="COST"),$G212,TRUE,)</f>
        <v>-28.98</v>
      </c>
      <c r="J212" s="134">
        <f t="shared" si="216"/>
        <v>65.65552941</v>
      </c>
      <c r="K212" s="219" t="str">
        <f t="shared" si="3"/>
        <v>Vanguard S&amp;P 500 UCITS ETF</v>
      </c>
      <c r="L212" s="340">
        <f t="shared" si="4"/>
        <v>4429</v>
      </c>
      <c r="M212" s="340">
        <f t="shared" si="5"/>
        <v>-189831.65</v>
      </c>
      <c r="N212" s="139" t="str">
        <f t="array" ref="N212">IF($P212&lt;&gt;"",IF(MAXIFS(Investment!$L:$L,Investment!$D:$D,LEFT($P212,40)&amp;"*"),MAXIFS(Investment!$L:$L,Investment!$D:$D,LEFT($P212,40)&amp;"*"),IFERROR(INDEX(Selection!$H:$H, MATCH($P212,Selection!$F:$F,0))/IF(OR(INDEX(Selection!$C:$C, MATCH($P212,Selection!$F:$F,0))="LN",INDEX(Selection!$C:$C, MATCH($P212,Selection!$F:$F,0))="US"),Investment!$K$7,1),"")),"")</f>
        <v/>
      </c>
      <c r="O212" s="144" t="str">
        <f>IF($P212&lt;&gt;"",IF(MAXIFS(Investment!$AG:$AG,Investment!$D:$D,LEFT($P212,40)&amp;"*"),MAXIFS(Investment!$AG:$AG,Investment!$D:$D,LEFT($P212,40)&amp;"*"),""),"")</f>
        <v/>
      </c>
      <c r="P212" s="328"/>
      <c r="Q212" s="150"/>
      <c r="R212" s="329"/>
    </row>
    <row r="213">
      <c r="A213" s="125">
        <v>43363.0</v>
      </c>
      <c r="B213" s="56" t="s">
        <v>243</v>
      </c>
      <c r="C213" s="56" t="s">
        <v>403</v>
      </c>
      <c r="D213" s="56" t="s">
        <v>263</v>
      </c>
      <c r="E213" s="56"/>
      <c r="F213" s="218"/>
      <c r="G213" s="132">
        <v>-2.54</v>
      </c>
      <c r="H213" s="56" t="s">
        <v>1283</v>
      </c>
      <c r="I213" s="134">
        <f t="shared" ref="I213:J213" si="217">IFS(AND($B213&lt;&gt;"",$E213&lt;&gt;""),IF(INDEX(N:N,MATCH($C213,$P:$P,0),1)&lt;&gt;"",$E213*INDEX(N:N,MATCH($C213,$P:$P,0),1)+$G213,""),AND($B213&lt;&gt;"",$D213="COST"),$G213,TRUE,)</f>
        <v>-2.54</v>
      </c>
      <c r="J213" s="134">
        <f t="shared" si="217"/>
        <v>-2.54</v>
      </c>
      <c r="K213" s="219" t="str">
        <f t="shared" si="3"/>
        <v>iShares USD Treasury Bond 20+yr UCITS ETF USD Dist</v>
      </c>
      <c r="L213" s="340">
        <f t="shared" si="4"/>
        <v>0</v>
      </c>
      <c r="M213" s="340">
        <f t="shared" si="5"/>
        <v>27424.23</v>
      </c>
      <c r="N213" s="139" t="str">
        <f t="array" ref="N213">IF($P213&lt;&gt;"",IF(MAXIFS(Investment!$L:$L,Investment!$D:$D,LEFT($P213,40)&amp;"*"),MAXIFS(Investment!$L:$L,Investment!$D:$D,LEFT($P213,40)&amp;"*"),IFERROR(INDEX(Selection!$H:$H, MATCH($P213,Selection!$F:$F,0))/IF(OR(INDEX(Selection!$C:$C, MATCH($P213,Selection!$F:$F,0))="LN",INDEX(Selection!$C:$C, MATCH($P213,Selection!$F:$F,0))="US"),Investment!$K$7,1),"")),"")</f>
        <v/>
      </c>
      <c r="O213" s="144" t="str">
        <f>IF($P213&lt;&gt;"",IF(MAXIFS(Investment!$AG:$AG,Investment!$D:$D,LEFT($P213,40)&amp;"*"),MAXIFS(Investment!$AG:$AG,Investment!$D:$D,LEFT($P213,40)&amp;"*"),""),"")</f>
        <v/>
      </c>
      <c r="P213" s="328"/>
      <c r="Q213" s="150"/>
      <c r="R213" s="329"/>
    </row>
    <row r="214">
      <c r="A214" s="125">
        <v>43363.0</v>
      </c>
      <c r="B214" s="56" t="s">
        <v>243</v>
      </c>
      <c r="C214" s="56" t="s">
        <v>403</v>
      </c>
      <c r="D214" s="56" t="s">
        <v>222</v>
      </c>
      <c r="E214" s="56">
        <v>717.0</v>
      </c>
      <c r="F214" s="218">
        <v>3.757</v>
      </c>
      <c r="G214" s="132">
        <v>-2693.88</v>
      </c>
      <c r="H214" s="56" t="s">
        <v>1284</v>
      </c>
      <c r="I214" s="134">
        <f t="shared" ref="I214:J214" si="218">IFS(AND($B214&lt;&gt;"",$E214&lt;&gt;""),IF(INDEX(N:N,MATCH($C214,$P:$P,0),1)&lt;&gt;"",$E214*INDEX(N:N,MATCH($C214,$P:$P,0),1)+$G214,""),AND($B214&lt;&gt;"",$D214="COST"),$G214,TRUE,)</f>
        <v>328.1316</v>
      </c>
      <c r="J214" s="134">
        <f t="shared" si="218"/>
        <v>116.9393906</v>
      </c>
      <c r="K214" s="219" t="str">
        <f t="shared" si="3"/>
        <v>iShares USD Treasury Bond 20+yr UCITS ETF USD Dist</v>
      </c>
      <c r="L214" s="340">
        <f t="shared" si="4"/>
        <v>0</v>
      </c>
      <c r="M214" s="340">
        <f t="shared" si="5"/>
        <v>27424.23</v>
      </c>
      <c r="N214" s="139" t="str">
        <f t="array" ref="N214">IF($P214&lt;&gt;"",IF(MAXIFS(Investment!$L:$L,Investment!$D:$D,LEFT($P214,40)&amp;"*"),MAXIFS(Investment!$L:$L,Investment!$D:$D,LEFT($P214,40)&amp;"*"),IFERROR(INDEX(Selection!$H:$H, MATCH($P214,Selection!$F:$F,0))/IF(OR(INDEX(Selection!$C:$C, MATCH($P214,Selection!$F:$F,0))="LN",INDEX(Selection!$C:$C, MATCH($P214,Selection!$F:$F,0))="US"),Investment!$K$7,1),"")),"")</f>
        <v/>
      </c>
      <c r="O214" s="144" t="str">
        <f>IF($P214&lt;&gt;"",IF(MAXIFS(Investment!$AG:$AG,Investment!$D:$D,LEFT($P214,40)&amp;"*"),MAXIFS(Investment!$AG:$AG,Investment!$D:$D,LEFT($P214,40)&amp;"*"),""),"")</f>
        <v/>
      </c>
      <c r="P214" s="328"/>
      <c r="Q214" s="150"/>
      <c r="R214" s="329"/>
    </row>
    <row r="215">
      <c r="A215" s="125">
        <v>43361.0</v>
      </c>
      <c r="B215" s="56" t="s">
        <v>243</v>
      </c>
      <c r="C215" s="56" t="s">
        <v>403</v>
      </c>
      <c r="D215" s="56" t="s">
        <v>263</v>
      </c>
      <c r="E215" s="56"/>
      <c r="F215" s="218"/>
      <c r="G215" s="132">
        <v>-2.4</v>
      </c>
      <c r="H215" s="56" t="s">
        <v>472</v>
      </c>
      <c r="I215" s="134">
        <f t="shared" ref="I215:J215" si="219">IFS(AND($B215&lt;&gt;"",$E215&lt;&gt;""),IF(INDEX(N:N,MATCH($C215,$P:$P,0),1)&lt;&gt;"",$E215*INDEX(N:N,MATCH($C215,$P:$P,0),1)+$G215,""),AND($B215&lt;&gt;"",$D215="COST"),$G215,TRUE,)</f>
        <v>-2.4</v>
      </c>
      <c r="J215" s="134">
        <f t="shared" si="219"/>
        <v>-2.4</v>
      </c>
      <c r="K215" s="219" t="str">
        <f t="shared" si="3"/>
        <v>iShares USD Treasury Bond 20+yr UCITS ETF USD Dist</v>
      </c>
      <c r="L215" s="340">
        <f t="shared" si="4"/>
        <v>0</v>
      </c>
      <c r="M215" s="340">
        <f t="shared" si="5"/>
        <v>27424.23</v>
      </c>
      <c r="N215" s="139" t="str">
        <f t="array" ref="N215">IF($P215&lt;&gt;"",IF(MAXIFS(Investment!$L:$L,Investment!$D:$D,LEFT($P215,40)&amp;"*"),MAXIFS(Investment!$L:$L,Investment!$D:$D,LEFT($P215,40)&amp;"*"),IFERROR(INDEX(Selection!$H:$H, MATCH($P215,Selection!$F:$F,0))/IF(OR(INDEX(Selection!$C:$C, MATCH($P215,Selection!$F:$F,0))="LN",INDEX(Selection!$C:$C, MATCH($P215,Selection!$F:$F,0))="US"),Investment!$K$7,1),"")),"")</f>
        <v/>
      </c>
      <c r="O215" s="144" t="str">
        <f>IF($P215&lt;&gt;"",IF(MAXIFS(Investment!$AG:$AG,Investment!$D:$D,LEFT($P215,40)&amp;"*"),MAXIFS(Investment!$AG:$AG,Investment!$D:$D,LEFT($P215,40)&amp;"*"),""),"")</f>
        <v/>
      </c>
      <c r="P215" s="328"/>
      <c r="Q215" s="150"/>
      <c r="R215" s="329"/>
    </row>
    <row r="216">
      <c r="A216" s="125">
        <v>43361.0</v>
      </c>
      <c r="B216" s="56" t="s">
        <v>243</v>
      </c>
      <c r="C216" s="56" t="s">
        <v>403</v>
      </c>
      <c r="D216" s="56" t="s">
        <v>222</v>
      </c>
      <c r="E216" s="56">
        <v>525.0</v>
      </c>
      <c r="F216" s="218">
        <v>3.811</v>
      </c>
      <c r="G216" s="132">
        <v>-2000.72</v>
      </c>
      <c r="H216" s="56" t="s">
        <v>1285</v>
      </c>
      <c r="I216" s="134">
        <f t="shared" ref="I216:J216" si="220">IFS(AND($B216&lt;&gt;"",$E216&lt;&gt;""),IF(INDEX(N:N,MATCH($C216,$P:$P,0),1)&lt;&gt;"",$E216*INDEX(N:N,MATCH($C216,$P:$P,0),1)+$G216,""),AND($B216&lt;&gt;"",$D216="COST"),$G216,TRUE,)</f>
        <v>212.05</v>
      </c>
      <c r="J216" s="134">
        <f t="shared" si="220"/>
        <v>57.41135294</v>
      </c>
      <c r="K216" s="219" t="str">
        <f t="shared" si="3"/>
        <v>iShares USD Treasury Bond 20+yr UCITS ETF USD Dist</v>
      </c>
      <c r="L216" s="340">
        <f t="shared" si="4"/>
        <v>0</v>
      </c>
      <c r="M216" s="340">
        <f t="shared" si="5"/>
        <v>27424.23</v>
      </c>
      <c r="N216" s="139" t="str">
        <f t="array" ref="N216">IF($P216&lt;&gt;"",IF(MAXIFS(Investment!$L:$L,Investment!$D:$D,LEFT($P216,40)&amp;"*"),MAXIFS(Investment!$L:$L,Investment!$D:$D,LEFT($P216,40)&amp;"*"),IFERROR(INDEX(Selection!$H:$H, MATCH($P216,Selection!$F:$F,0))/IF(OR(INDEX(Selection!$C:$C, MATCH($P216,Selection!$F:$F,0))="LN",INDEX(Selection!$C:$C, MATCH($P216,Selection!$F:$F,0))="US"),Investment!$K$7,1),"")),"")</f>
        <v/>
      </c>
      <c r="O216" s="144" t="str">
        <f>IF($P216&lt;&gt;"",IF(MAXIFS(Investment!$AG:$AG,Investment!$D:$D,LEFT($P216,40)&amp;"*"),MAXIFS(Investment!$AG:$AG,Investment!$D:$D,LEFT($P216,40)&amp;"*"),""),"")</f>
        <v/>
      </c>
      <c r="P216" s="328"/>
      <c r="Q216" s="150"/>
      <c r="R216" s="329"/>
    </row>
    <row r="217">
      <c r="A217" s="125">
        <v>43357.0</v>
      </c>
      <c r="B217" s="56"/>
      <c r="C217" s="56"/>
      <c r="D217" s="56" t="s">
        <v>268</v>
      </c>
      <c r="E217" s="56"/>
      <c r="F217" s="218"/>
      <c r="G217" s="132">
        <v>440.0</v>
      </c>
      <c r="H217" s="56" t="s">
        <v>1286</v>
      </c>
      <c r="I217" s="134" t="str">
        <f t="shared" ref="I217:J217" si="221">IFS(AND($B217&lt;&gt;"",$E217&lt;&gt;""),IF(INDEX(N:N,MATCH($C217,$P:$P,0),1)&lt;&gt;"",$E217*INDEX(N:N,MATCH($C217,$P:$P,0),1)+$G217,""),AND($B217&lt;&gt;"",$D217="COST"),$G217,TRUE,)</f>
        <v/>
      </c>
      <c r="J217" s="134" t="str">
        <f t="shared" si="221"/>
        <v/>
      </c>
      <c r="K217" s="219" t="str">
        <f t="shared" si="3"/>
        <v/>
      </c>
      <c r="L217" s="340" t="str">
        <f t="shared" si="4"/>
        <v/>
      </c>
      <c r="M217" s="340" t="str">
        <f t="shared" si="5"/>
        <v/>
      </c>
      <c r="N217" s="139" t="str">
        <f t="array" ref="N217">IF($P217&lt;&gt;"",IF(MAXIFS(Investment!$L:$L,Investment!$D:$D,LEFT($P217,40)&amp;"*"),MAXIFS(Investment!$L:$L,Investment!$D:$D,LEFT($P217,40)&amp;"*"),IFERROR(INDEX(Selection!$H:$H, MATCH($P217,Selection!$F:$F,0))/IF(OR(INDEX(Selection!$C:$C, MATCH($P217,Selection!$F:$F,0))="LN",INDEX(Selection!$C:$C, MATCH($P217,Selection!$F:$F,0))="US"),Investment!$K$7,1),"")),"")</f>
        <v/>
      </c>
      <c r="O217" s="144" t="str">
        <f>IF($P217&lt;&gt;"",IF(MAXIFS(Investment!$AG:$AG,Investment!$D:$D,LEFT($P217,40)&amp;"*"),MAXIFS(Investment!$AG:$AG,Investment!$D:$D,LEFT($P217,40)&amp;"*"),""),"")</f>
        <v/>
      </c>
      <c r="P217" s="328"/>
      <c r="Q217" s="150"/>
      <c r="R217" s="329"/>
    </row>
    <row r="218">
      <c r="A218" s="125">
        <v>43354.0</v>
      </c>
      <c r="B218" s="56"/>
      <c r="C218" s="56"/>
      <c r="D218" s="56" t="s">
        <v>268</v>
      </c>
      <c r="E218" s="56"/>
      <c r="F218" s="218"/>
      <c r="G218" s="132">
        <v>-500.0</v>
      </c>
      <c r="H218" s="56" t="s">
        <v>269</v>
      </c>
      <c r="I218" s="134" t="str">
        <f t="shared" ref="I218:J218" si="222">IFS(AND($B218&lt;&gt;"",$E218&lt;&gt;""),IF(INDEX(N:N,MATCH($C218,$P:$P,0),1)&lt;&gt;"",$E218*INDEX(N:N,MATCH($C218,$P:$P,0),1)+$G218,""),AND($B218&lt;&gt;"",$D218="COST"),$G218,TRUE,)</f>
        <v/>
      </c>
      <c r="J218" s="134" t="str">
        <f t="shared" si="222"/>
        <v/>
      </c>
      <c r="K218" s="219" t="str">
        <f t="shared" si="3"/>
        <v/>
      </c>
      <c r="L218" s="340" t="str">
        <f t="shared" si="4"/>
        <v/>
      </c>
      <c r="M218" s="340" t="str">
        <f t="shared" si="5"/>
        <v/>
      </c>
      <c r="N218" s="139" t="str">
        <f t="array" ref="N218">IF($P218&lt;&gt;"",IF(MAXIFS(Investment!$L:$L,Investment!$D:$D,LEFT($P218,40)&amp;"*"),MAXIFS(Investment!$L:$L,Investment!$D:$D,LEFT($P218,40)&amp;"*"),IFERROR(INDEX(Selection!$H:$H, MATCH($P218,Selection!$F:$F,0))/IF(OR(INDEX(Selection!$C:$C, MATCH($P218,Selection!$F:$F,0))="LN",INDEX(Selection!$C:$C, MATCH($P218,Selection!$F:$F,0))="US"),Investment!$K$7,1),"")),"")</f>
        <v/>
      </c>
      <c r="O218" s="144" t="str">
        <f>IF($P218&lt;&gt;"",IF(MAXIFS(Investment!$AG:$AG,Investment!$D:$D,LEFT($P218,40)&amp;"*"),MAXIFS(Investment!$AG:$AG,Investment!$D:$D,LEFT($P218,40)&amp;"*"),""),"")</f>
        <v/>
      </c>
      <c r="P218" s="328"/>
      <c r="Q218" s="150"/>
      <c r="R218" s="329"/>
    </row>
    <row r="219">
      <c r="A219" s="125">
        <v>43350.0</v>
      </c>
      <c r="B219" s="56" t="s">
        <v>243</v>
      </c>
      <c r="C219" s="56" t="s">
        <v>588</v>
      </c>
      <c r="D219" s="56" t="s">
        <v>390</v>
      </c>
      <c r="E219" s="56"/>
      <c r="F219" s="218"/>
      <c r="G219" s="132">
        <v>-12.85</v>
      </c>
      <c r="H219" s="56" t="s">
        <v>1287</v>
      </c>
      <c r="I219" s="134" t="str">
        <f t="shared" ref="I219:J219" si="223">IFS(AND($B219&lt;&gt;"",$E219&lt;&gt;""),IF(INDEX(N:N,MATCH($C219,$P:$P,0),1)&lt;&gt;"",$E219*INDEX(N:N,MATCH($C219,$P:$P,0),1)+$G219,""),AND($B219&lt;&gt;"",$D219="COST"),$G219,TRUE,)</f>
        <v/>
      </c>
      <c r="J219" s="134" t="str">
        <f t="shared" si="223"/>
        <v/>
      </c>
      <c r="K219" s="219" t="str">
        <f t="shared" si="3"/>
        <v>Vanguard Extended Duration Treasury ETF</v>
      </c>
      <c r="L219" s="340">
        <f t="shared" si="4"/>
        <v>0</v>
      </c>
      <c r="M219" s="340">
        <f t="shared" si="5"/>
        <v>-4941.36</v>
      </c>
      <c r="N219" s="139" t="str">
        <f t="array" ref="N219">IF($P219&lt;&gt;"",IF(MAXIFS(Investment!$L:$L,Investment!$D:$D,LEFT($P219,40)&amp;"*"),MAXIFS(Investment!$L:$L,Investment!$D:$D,LEFT($P219,40)&amp;"*"),IFERROR(INDEX(Selection!$H:$H, MATCH($P219,Selection!$F:$F,0))/IF(OR(INDEX(Selection!$C:$C, MATCH($P219,Selection!$F:$F,0))="LN",INDEX(Selection!$C:$C, MATCH($P219,Selection!$F:$F,0))="US"),Investment!$K$7,1),"")),"")</f>
        <v/>
      </c>
      <c r="O219" s="144" t="str">
        <f>IF($P219&lt;&gt;"",IF(MAXIFS(Investment!$AG:$AG,Investment!$D:$D,LEFT($P219,40)&amp;"*"),MAXIFS(Investment!$AG:$AG,Investment!$D:$D,LEFT($P219,40)&amp;"*"),""),"")</f>
        <v/>
      </c>
      <c r="P219" s="328"/>
      <c r="Q219" s="150"/>
      <c r="R219" s="329"/>
    </row>
    <row r="220">
      <c r="A220" s="125">
        <v>43349.0</v>
      </c>
      <c r="B220" s="56" t="s">
        <v>243</v>
      </c>
      <c r="C220" s="56" t="s">
        <v>588</v>
      </c>
      <c r="D220" s="56" t="s">
        <v>390</v>
      </c>
      <c r="E220" s="56"/>
      <c r="F220" s="218"/>
      <c r="G220" s="132">
        <v>91.39</v>
      </c>
      <c r="H220" s="56" t="s">
        <v>1288</v>
      </c>
      <c r="I220" s="134" t="str">
        <f t="shared" ref="I220:J220" si="224">IFS(AND($B220&lt;&gt;"",$E220&lt;&gt;""),IF(INDEX(N:N,MATCH($C220,$P:$P,0),1)&lt;&gt;"",$E220*INDEX(N:N,MATCH($C220,$P:$P,0),1)+$G220,""),AND($B220&lt;&gt;"",$D220="COST"),$G220,TRUE,)</f>
        <v/>
      </c>
      <c r="J220" s="134" t="str">
        <f t="shared" si="224"/>
        <v/>
      </c>
      <c r="K220" s="219" t="str">
        <f t="shared" si="3"/>
        <v>Vanguard Extended Duration Treasury ETF</v>
      </c>
      <c r="L220" s="340">
        <f t="shared" si="4"/>
        <v>0</v>
      </c>
      <c r="M220" s="340">
        <f t="shared" si="5"/>
        <v>-4941.36</v>
      </c>
      <c r="N220" s="139" t="str">
        <f t="array" ref="N220">IF($P220&lt;&gt;"",IF(MAXIFS(Investment!$L:$L,Investment!$D:$D,LEFT($P220,40)&amp;"*"),MAXIFS(Investment!$L:$L,Investment!$D:$D,LEFT($P220,40)&amp;"*"),IFERROR(INDEX(Selection!$H:$H, MATCH($P220,Selection!$F:$F,0))/IF(OR(INDEX(Selection!$C:$C, MATCH($P220,Selection!$F:$F,0))="LN",INDEX(Selection!$C:$C, MATCH($P220,Selection!$F:$F,0))="US"),Investment!$K$7,1),"")),"")</f>
        <v/>
      </c>
      <c r="O220" s="144" t="str">
        <f>IF($P220&lt;&gt;"",IF(MAXIFS(Investment!$AG:$AG,Investment!$D:$D,LEFT($P220,40)&amp;"*"),MAXIFS(Investment!$AG:$AG,Investment!$D:$D,LEFT($P220,40)&amp;"*"),""),"")</f>
        <v/>
      </c>
      <c r="P220" s="328"/>
      <c r="Q220" s="150"/>
      <c r="R220" s="329"/>
    </row>
    <row r="221">
      <c r="A221" s="125">
        <v>43349.0</v>
      </c>
      <c r="B221" s="56" t="s">
        <v>243</v>
      </c>
      <c r="C221" s="56" t="s">
        <v>403</v>
      </c>
      <c r="D221" s="56" t="s">
        <v>263</v>
      </c>
      <c r="E221" s="56"/>
      <c r="F221" s="218"/>
      <c r="G221" s="132">
        <v>-2.26</v>
      </c>
      <c r="H221" s="56" t="s">
        <v>336</v>
      </c>
      <c r="I221" s="134">
        <f t="shared" ref="I221:J221" si="225">IFS(AND($B221&lt;&gt;"",$E221&lt;&gt;""),IF(INDEX(N:N,MATCH($C221,$P:$P,0),1)&lt;&gt;"",$E221*INDEX(N:N,MATCH($C221,$P:$P,0),1)+$G221,""),AND($B221&lt;&gt;"",$D221="COST"),$G221,TRUE,)</f>
        <v>-2.26</v>
      </c>
      <c r="J221" s="134">
        <f t="shared" si="225"/>
        <v>-2.26</v>
      </c>
      <c r="K221" s="219" t="str">
        <f t="shared" si="3"/>
        <v>iShares USD Treasury Bond 20+yr UCITS ETF USD Dist</v>
      </c>
      <c r="L221" s="340">
        <f t="shared" si="4"/>
        <v>0</v>
      </c>
      <c r="M221" s="340">
        <f t="shared" si="5"/>
        <v>27424.23</v>
      </c>
      <c r="N221" s="139" t="str">
        <f t="array" ref="N221">IF($P221&lt;&gt;"",IF(MAXIFS(Investment!$L:$L,Investment!$D:$D,LEFT($P221,40)&amp;"*"),MAXIFS(Investment!$L:$L,Investment!$D:$D,LEFT($P221,40)&amp;"*"),IFERROR(INDEX(Selection!$H:$H, MATCH($P221,Selection!$F:$F,0))/IF(OR(INDEX(Selection!$C:$C, MATCH($P221,Selection!$F:$F,0))="LN",INDEX(Selection!$C:$C, MATCH($P221,Selection!$F:$F,0))="US"),Investment!$K$7,1),"")),"")</f>
        <v/>
      </c>
      <c r="O221" s="144" t="str">
        <f>IF($P221&lt;&gt;"",IF(MAXIFS(Investment!$AG:$AG,Investment!$D:$D,LEFT($P221,40)&amp;"*"),MAXIFS(Investment!$AG:$AG,Investment!$D:$D,LEFT($P221,40)&amp;"*"),""),"")</f>
        <v/>
      </c>
      <c r="P221" s="328"/>
      <c r="Q221" s="150"/>
      <c r="R221" s="329"/>
    </row>
    <row r="222">
      <c r="A222" s="125">
        <v>43349.0</v>
      </c>
      <c r="B222" s="56" t="s">
        <v>243</v>
      </c>
      <c r="C222" s="56" t="s">
        <v>403</v>
      </c>
      <c r="D222" s="56" t="s">
        <v>222</v>
      </c>
      <c r="E222" s="56">
        <v>336.0</v>
      </c>
      <c r="F222" s="218">
        <v>3.874</v>
      </c>
      <c r="G222" s="132">
        <v>-1301.59</v>
      </c>
      <c r="H222" s="56" t="s">
        <v>1289</v>
      </c>
      <c r="I222" s="134">
        <f t="shared" ref="I222:J222" si="226">IFS(AND($B222&lt;&gt;"",$E222&lt;&gt;""),IF(INDEX(N:N,MATCH($C222,$P:$P,0),1)&lt;&gt;"",$E222*INDEX(N:N,MATCH($C222,$P:$P,0),1)+$G222,""),AND($B222&lt;&gt;"",$D222="COST"),$G222,TRUE,)</f>
        <v>114.5828</v>
      </c>
      <c r="J222" s="134">
        <f t="shared" si="226"/>
        <v>15.61406588</v>
      </c>
      <c r="K222" s="219" t="str">
        <f t="shared" si="3"/>
        <v>iShares USD Treasury Bond 20+yr UCITS ETF USD Dist</v>
      </c>
      <c r="L222" s="340">
        <f t="shared" si="4"/>
        <v>0</v>
      </c>
      <c r="M222" s="340">
        <f t="shared" si="5"/>
        <v>27424.23</v>
      </c>
      <c r="N222" s="139" t="str">
        <f t="array" ref="N222">IF($P222&lt;&gt;"",IF(MAXIFS(Investment!$L:$L,Investment!$D:$D,LEFT($P222,40)&amp;"*"),MAXIFS(Investment!$L:$L,Investment!$D:$D,LEFT($P222,40)&amp;"*"),IFERROR(INDEX(Selection!$H:$H, MATCH($P222,Selection!$F:$F,0))/IF(OR(INDEX(Selection!$C:$C, MATCH($P222,Selection!$F:$F,0))="LN",INDEX(Selection!$C:$C, MATCH($P222,Selection!$F:$F,0))="US"),Investment!$K$7,1),"")),"")</f>
        <v/>
      </c>
      <c r="O222" s="144" t="str">
        <f>IF($P222&lt;&gt;"",IF(MAXIFS(Investment!$AG:$AG,Investment!$D:$D,LEFT($P222,40)&amp;"*"),MAXIFS(Investment!$AG:$AG,Investment!$D:$D,LEFT($P222,40)&amp;"*"),""),"")</f>
        <v/>
      </c>
      <c r="P222" s="328"/>
      <c r="Q222" s="150"/>
      <c r="R222" s="329"/>
    </row>
    <row r="223">
      <c r="A223" s="125">
        <v>43346.0</v>
      </c>
      <c r="B223" s="56"/>
      <c r="C223" s="56"/>
      <c r="D223" s="56" t="s">
        <v>263</v>
      </c>
      <c r="E223" s="56"/>
      <c r="F223" s="218"/>
      <c r="G223" s="132">
        <v>-573.99</v>
      </c>
      <c r="H223" s="56" t="s">
        <v>1290</v>
      </c>
      <c r="I223" s="134" t="str">
        <f t="shared" ref="I223:J223" si="227">IFS(AND($B223&lt;&gt;"",$E223&lt;&gt;""),IF(INDEX(N:N,MATCH($C223,$P:$P,0),1)&lt;&gt;"",$E223*INDEX(N:N,MATCH($C223,$P:$P,0),1)+$G223,""),AND($B223&lt;&gt;"",$D223="COST"),$G223,TRUE,)</f>
        <v/>
      </c>
      <c r="J223" s="134" t="str">
        <f t="shared" si="227"/>
        <v/>
      </c>
      <c r="K223" s="219" t="str">
        <f t="shared" si="3"/>
        <v/>
      </c>
      <c r="L223" s="340" t="str">
        <f t="shared" si="4"/>
        <v/>
      </c>
      <c r="M223" s="340" t="str">
        <f t="shared" si="5"/>
        <v/>
      </c>
      <c r="N223" s="139" t="str">
        <f t="array" ref="N223">IF($P223&lt;&gt;"",IF(MAXIFS(Investment!$L:$L,Investment!$D:$D,LEFT($P223,40)&amp;"*"),MAXIFS(Investment!$L:$L,Investment!$D:$D,LEFT($P223,40)&amp;"*"),IFERROR(INDEX(Selection!$H:$H, MATCH($P223,Selection!$F:$F,0))/IF(OR(INDEX(Selection!$C:$C, MATCH($P223,Selection!$F:$F,0))="LN",INDEX(Selection!$C:$C, MATCH($P223,Selection!$F:$F,0))="US"),Investment!$K$7,1),"")),"")</f>
        <v/>
      </c>
      <c r="O223" s="144" t="str">
        <f>IF($P223&lt;&gt;"",IF(MAXIFS(Investment!$AG:$AG,Investment!$D:$D,LEFT($P223,40)&amp;"*"),MAXIFS(Investment!$AG:$AG,Investment!$D:$D,LEFT($P223,40)&amp;"*"),""),"")</f>
        <v/>
      </c>
      <c r="P223" s="328"/>
      <c r="Q223" s="150"/>
      <c r="R223" s="329"/>
    </row>
    <row r="224">
      <c r="A224" s="125">
        <v>43342.0</v>
      </c>
      <c r="B224" s="56" t="s">
        <v>361</v>
      </c>
      <c r="C224" s="56" t="s">
        <v>830</v>
      </c>
      <c r="D224" s="56" t="s">
        <v>222</v>
      </c>
      <c r="E224" s="56">
        <v>12.0</v>
      </c>
      <c r="F224" s="218">
        <v>98.34</v>
      </c>
      <c r="G224" s="132">
        <v>-1180.08</v>
      </c>
      <c r="H224" s="56" t="s">
        <v>1291</v>
      </c>
      <c r="I224" s="134">
        <f t="shared" ref="I224:J224" si="228">IFS(AND($B224&lt;&gt;"",$E224&lt;&gt;""),IF(INDEX(N:N,MATCH($C224,$P:$P,0),1)&lt;&gt;"",$E224*INDEX(N:N,MATCH($C224,$P:$P,0),1)+$G224,""),AND($B224&lt;&gt;"",$D224="COST"),$G224,TRUE,)</f>
        <v>143.88</v>
      </c>
      <c r="J224" s="134">
        <f t="shared" si="228"/>
        <v>77.79670588</v>
      </c>
      <c r="K224" s="219" t="str">
        <f t="shared" si="3"/>
        <v>ETFS Physical Gold</v>
      </c>
      <c r="L224" s="340">
        <f t="shared" si="4"/>
        <v>506</v>
      </c>
      <c r="M224" s="340">
        <f t="shared" si="5"/>
        <v>-52182.08</v>
      </c>
      <c r="N224" s="139" t="str">
        <f t="array" ref="N224">IF($P224&lt;&gt;"",IF(MAXIFS(Investment!$L:$L,Investment!$D:$D,LEFT($P224,40)&amp;"*"),MAXIFS(Investment!$L:$L,Investment!$D:$D,LEFT($P224,40)&amp;"*"),IFERROR(INDEX(Selection!$H:$H, MATCH($P224,Selection!$F:$F,0))/IF(OR(INDEX(Selection!$C:$C, MATCH($P224,Selection!$F:$F,0))="LN",INDEX(Selection!$C:$C, MATCH($P224,Selection!$F:$F,0))="US"),Investment!$K$7,1),"")),"")</f>
        <v/>
      </c>
      <c r="O224" s="144" t="str">
        <f>IF($P224&lt;&gt;"",IF(MAXIFS(Investment!$AG:$AG,Investment!$D:$D,LEFT($P224,40)&amp;"*"),MAXIFS(Investment!$AG:$AG,Investment!$D:$D,LEFT($P224,40)&amp;"*"),""),"")</f>
        <v/>
      </c>
      <c r="P224" s="328"/>
      <c r="Q224" s="150"/>
      <c r="R224" s="329"/>
    </row>
    <row r="225">
      <c r="A225" s="125">
        <v>43341.0</v>
      </c>
      <c r="B225" s="56" t="s">
        <v>217</v>
      </c>
      <c r="C225" s="56" t="s">
        <v>220</v>
      </c>
      <c r="D225" s="56" t="s">
        <v>222</v>
      </c>
      <c r="E225" s="56">
        <v>305.0</v>
      </c>
      <c r="F225" s="218">
        <v>7.26</v>
      </c>
      <c r="G225" s="132">
        <v>-2214.3</v>
      </c>
      <c r="H225" s="56" t="s">
        <v>1292</v>
      </c>
      <c r="I225" s="134">
        <f t="shared" ref="I225:J225" si="229">IFS(AND($B225&lt;&gt;"",$E225&lt;&gt;""),IF(INDEX(N:N,MATCH($C225,$P:$P,0),1)&lt;&gt;"",$E225*INDEX(N:N,MATCH($C225,$P:$P,0),1)+$G225,""),AND($B225&lt;&gt;"",$D225="COST"),$G225,TRUE,)</f>
        <v>-25.925</v>
      </c>
      <c r="J225" s="134">
        <f t="shared" si="229"/>
        <v>41.79217647</v>
      </c>
      <c r="K225" s="219" t="str">
        <f t="shared" si="3"/>
        <v>ETFS All Commodities</v>
      </c>
      <c r="L225" s="340">
        <f t="shared" si="4"/>
        <v>8177</v>
      </c>
      <c r="M225" s="340">
        <f t="shared" si="5"/>
        <v>-60085.79</v>
      </c>
      <c r="N225" s="139" t="str">
        <f t="array" ref="N225">IF($P225&lt;&gt;"",IF(MAXIFS(Investment!$L:$L,Investment!$D:$D,LEFT($P225,40)&amp;"*"),MAXIFS(Investment!$L:$L,Investment!$D:$D,LEFT($P225,40)&amp;"*"),IFERROR(INDEX(Selection!$H:$H, MATCH($P225,Selection!$F:$F,0))/IF(OR(INDEX(Selection!$C:$C, MATCH($P225,Selection!$F:$F,0))="LN",INDEX(Selection!$C:$C, MATCH($P225,Selection!$F:$F,0))="US"),Investment!$K$7,1),"")),"")</f>
        <v/>
      </c>
      <c r="O225" s="144" t="str">
        <f>IF($P225&lt;&gt;"",IF(MAXIFS(Investment!$AG:$AG,Investment!$D:$D,LEFT($P225,40)&amp;"*"),MAXIFS(Investment!$AG:$AG,Investment!$D:$D,LEFT($P225,40)&amp;"*"),""),"")</f>
        <v/>
      </c>
      <c r="P225" s="328"/>
      <c r="Q225" s="150"/>
      <c r="R225" s="329"/>
    </row>
    <row r="226">
      <c r="A226" s="125">
        <v>43341.0</v>
      </c>
      <c r="B226" s="56" t="s">
        <v>277</v>
      </c>
      <c r="C226" s="56" t="s">
        <v>278</v>
      </c>
      <c r="D226" s="56" t="s">
        <v>222</v>
      </c>
      <c r="E226" s="56">
        <v>8.0</v>
      </c>
      <c r="F226" s="218">
        <v>162.34</v>
      </c>
      <c r="G226" s="132">
        <v>-1298.72</v>
      </c>
      <c r="H226" s="56" t="s">
        <v>1293</v>
      </c>
      <c r="I226" s="134">
        <f t="shared" ref="I226:J226" si="230">IFS(AND($B226&lt;&gt;"",$E226&lt;&gt;""),IF(INDEX(N:N,MATCH($C226,$P:$P,0),1)&lt;&gt;"",$E226*INDEX(N:N,MATCH($C226,$P:$P,0),1)+$G226,""),AND($B226&lt;&gt;"",$D226="COST"),$G226,TRUE,)</f>
        <v>113.2</v>
      </c>
      <c r="J226" s="134">
        <f t="shared" si="230"/>
        <v>26.33694118</v>
      </c>
      <c r="K226" s="219" t="str">
        <f t="shared" si="3"/>
        <v>iShares USD Treasury Bond 7-10yr UCITS ETF</v>
      </c>
      <c r="L226" s="340">
        <f t="shared" si="4"/>
        <v>622</v>
      </c>
      <c r="M226" s="340">
        <f t="shared" si="5"/>
        <v>-96952.49</v>
      </c>
      <c r="N226" s="139" t="str">
        <f t="array" ref="N226">IF($P226&lt;&gt;"",IF(MAXIFS(Investment!$L:$L,Investment!$D:$D,LEFT($P226,40)&amp;"*"),MAXIFS(Investment!$L:$L,Investment!$D:$D,LEFT($P226,40)&amp;"*"),IFERROR(INDEX(Selection!$H:$H, MATCH($P226,Selection!$F:$F,0))/IF(OR(INDEX(Selection!$C:$C, MATCH($P226,Selection!$F:$F,0))="LN",INDEX(Selection!$C:$C, MATCH($P226,Selection!$F:$F,0))="US"),Investment!$K$7,1),"")),"")</f>
        <v/>
      </c>
      <c r="O226" s="144" t="str">
        <f>IF($P226&lt;&gt;"",IF(MAXIFS(Investment!$AG:$AG,Investment!$D:$D,LEFT($P226,40)&amp;"*"),MAXIFS(Investment!$AG:$AG,Investment!$D:$D,LEFT($P226,40)&amp;"*"),""),"")</f>
        <v/>
      </c>
      <c r="P226" s="328"/>
      <c r="Q226" s="150"/>
      <c r="R226" s="329"/>
    </row>
    <row r="227">
      <c r="A227" s="125">
        <v>43341.0</v>
      </c>
      <c r="B227" s="56" t="s">
        <v>243</v>
      </c>
      <c r="C227" s="56" t="s">
        <v>403</v>
      </c>
      <c r="D227" s="56" t="s">
        <v>263</v>
      </c>
      <c r="E227" s="56"/>
      <c r="F227" s="218"/>
      <c r="G227" s="132">
        <v>-2.39</v>
      </c>
      <c r="H227" s="56" t="s">
        <v>1294</v>
      </c>
      <c r="I227" s="134">
        <f t="shared" ref="I227:J227" si="231">IFS(AND($B227&lt;&gt;"",$E227&lt;&gt;""),IF(INDEX(N:N,MATCH($C227,$P:$P,0),1)&lt;&gt;"",$E227*INDEX(N:N,MATCH($C227,$P:$P,0),1)+$G227,""),AND($B227&lt;&gt;"",$D227="COST"),$G227,TRUE,)</f>
        <v>-2.39</v>
      </c>
      <c r="J227" s="134">
        <f t="shared" si="231"/>
        <v>-2.39</v>
      </c>
      <c r="K227" s="219" t="str">
        <f t="shared" si="3"/>
        <v>iShares USD Treasury Bond 20+yr UCITS ETF USD Dist</v>
      </c>
      <c r="L227" s="340">
        <f t="shared" si="4"/>
        <v>0</v>
      </c>
      <c r="M227" s="340">
        <f t="shared" si="5"/>
        <v>27424.23</v>
      </c>
      <c r="N227" s="139" t="str">
        <f t="array" ref="N227">IF($P227&lt;&gt;"",IF(MAXIFS(Investment!$L:$L,Investment!$D:$D,LEFT($P227,40)&amp;"*"),MAXIFS(Investment!$L:$L,Investment!$D:$D,LEFT($P227,40)&amp;"*"),IFERROR(INDEX(Selection!$H:$H, MATCH($P227,Selection!$F:$F,0))/IF(OR(INDEX(Selection!$C:$C, MATCH($P227,Selection!$F:$F,0))="LN",INDEX(Selection!$C:$C, MATCH($P227,Selection!$F:$F,0))="US"),Investment!$K$7,1),"")),"")</f>
        <v/>
      </c>
      <c r="O227" s="144" t="str">
        <f>IF($P227&lt;&gt;"",IF(MAXIFS(Investment!$AG:$AG,Investment!$D:$D,LEFT($P227,40)&amp;"*"),MAXIFS(Investment!$AG:$AG,Investment!$D:$D,LEFT($P227,40)&amp;"*"),""),"")</f>
        <v/>
      </c>
      <c r="P227" s="328"/>
      <c r="Q227" s="150"/>
      <c r="R227" s="329"/>
    </row>
    <row r="228">
      <c r="A228" s="125">
        <v>43341.0</v>
      </c>
      <c r="B228" s="56" t="s">
        <v>243</v>
      </c>
      <c r="C228" s="56" t="s">
        <v>403</v>
      </c>
      <c r="D228" s="56" t="s">
        <v>222</v>
      </c>
      <c r="E228" s="56">
        <v>500.0</v>
      </c>
      <c r="F228" s="218">
        <v>3.891</v>
      </c>
      <c r="G228" s="132">
        <v>-1945.61</v>
      </c>
      <c r="H228" s="56" t="s">
        <v>1295</v>
      </c>
      <c r="I228" s="134">
        <f t="shared" ref="I228:J228" si="232">IFS(AND($B228&lt;&gt;"",$E228&lt;&gt;""),IF(INDEX(N:N,MATCH($C228,$P:$P,0),1)&lt;&gt;"",$E228*INDEX(N:N,MATCH($C228,$P:$P,0),1)+$G228,""),AND($B228&lt;&gt;"",$D228="COST"),$G228,TRUE,)</f>
        <v>161.79</v>
      </c>
      <c r="J228" s="134">
        <f t="shared" si="232"/>
        <v>14.51509804</v>
      </c>
      <c r="K228" s="219" t="str">
        <f t="shared" si="3"/>
        <v>iShares USD Treasury Bond 20+yr UCITS ETF USD Dist</v>
      </c>
      <c r="L228" s="340">
        <f t="shared" si="4"/>
        <v>0</v>
      </c>
      <c r="M228" s="340">
        <f t="shared" si="5"/>
        <v>27424.23</v>
      </c>
      <c r="N228" s="139" t="str">
        <f t="array" ref="N228">IF($P228&lt;&gt;"",IF(MAXIFS(Investment!$L:$L,Investment!$D:$D,LEFT($P228,40)&amp;"*"),MAXIFS(Investment!$L:$L,Investment!$D:$D,LEFT($P228,40)&amp;"*"),IFERROR(INDEX(Selection!$H:$H, MATCH($P228,Selection!$F:$F,0))/IF(OR(INDEX(Selection!$C:$C, MATCH($P228,Selection!$F:$F,0))="LN",INDEX(Selection!$C:$C, MATCH($P228,Selection!$F:$F,0))="US"),Investment!$K$7,1),"")),"")</f>
        <v/>
      </c>
      <c r="O228" s="144" t="str">
        <f>IF($P228&lt;&gt;"",IF(MAXIFS(Investment!$AG:$AG,Investment!$D:$D,LEFT($P228,40)&amp;"*"),MAXIFS(Investment!$AG:$AG,Investment!$D:$D,LEFT($P228,40)&amp;"*"),""),"")</f>
        <v/>
      </c>
      <c r="P228" s="328"/>
      <c r="Q228" s="150"/>
      <c r="R228" s="329"/>
    </row>
    <row r="229">
      <c r="A229" s="125">
        <v>43341.0</v>
      </c>
      <c r="B229" s="56" t="s">
        <v>243</v>
      </c>
      <c r="C229" s="56" t="s">
        <v>403</v>
      </c>
      <c r="D229" s="56" t="s">
        <v>263</v>
      </c>
      <c r="E229" s="56"/>
      <c r="F229" s="218"/>
      <c r="G229" s="132">
        <v>-3.15</v>
      </c>
      <c r="H229" s="56" t="s">
        <v>1296</v>
      </c>
      <c r="I229" s="134">
        <f t="shared" ref="I229:J229" si="233">IFS(AND($B229&lt;&gt;"",$E229&lt;&gt;""),IF(INDEX(N:N,MATCH($C229,$P:$P,0),1)&lt;&gt;"",$E229*INDEX(N:N,MATCH($C229,$P:$P,0),1)+$G229,""),AND($B229&lt;&gt;"",$D229="COST"),$G229,TRUE,)</f>
        <v>-3.15</v>
      </c>
      <c r="J229" s="134">
        <f t="shared" si="233"/>
        <v>-3.15</v>
      </c>
      <c r="K229" s="219" t="str">
        <f t="shared" si="3"/>
        <v>iShares USD Treasury Bond 20+yr UCITS ETF USD Dist</v>
      </c>
      <c r="L229" s="340">
        <f t="shared" si="4"/>
        <v>0</v>
      </c>
      <c r="M229" s="340">
        <f t="shared" si="5"/>
        <v>27424.23</v>
      </c>
      <c r="N229" s="139" t="str">
        <f t="array" ref="N229">IF($P229&lt;&gt;"",IF(MAXIFS(Investment!$L:$L,Investment!$D:$D,LEFT($P229,40)&amp;"*"),MAXIFS(Investment!$L:$L,Investment!$D:$D,LEFT($P229,40)&amp;"*"),IFERROR(INDEX(Selection!$H:$H, MATCH($P229,Selection!$F:$F,0))/IF(OR(INDEX(Selection!$C:$C, MATCH($P229,Selection!$F:$F,0))="LN",INDEX(Selection!$C:$C, MATCH($P229,Selection!$F:$F,0))="US"),Investment!$K$7,1),"")),"")</f>
        <v/>
      </c>
      <c r="O229" s="144" t="str">
        <f>IF($P229&lt;&gt;"",IF(MAXIFS(Investment!$AG:$AG,Investment!$D:$D,LEFT($P229,40)&amp;"*"),MAXIFS(Investment!$AG:$AG,Investment!$D:$D,LEFT($P229,40)&amp;"*"),""),"")</f>
        <v/>
      </c>
      <c r="P229" s="328"/>
      <c r="Q229" s="150"/>
      <c r="R229" s="329"/>
    </row>
    <row r="230">
      <c r="A230" s="125">
        <v>43341.0</v>
      </c>
      <c r="B230" s="56" t="s">
        <v>243</v>
      </c>
      <c r="C230" s="56" t="s">
        <v>403</v>
      </c>
      <c r="D230" s="56" t="s">
        <v>222</v>
      </c>
      <c r="E230" s="51">
        <v>1478.0</v>
      </c>
      <c r="F230" s="218">
        <v>3.885</v>
      </c>
      <c r="G230" s="132">
        <v>-5742.57</v>
      </c>
      <c r="H230" s="56" t="s">
        <v>1297</v>
      </c>
      <c r="I230" s="134">
        <f t="shared" ref="I230:J230" si="234">IFS(AND($B230&lt;&gt;"",$E230&lt;&gt;""),IF(INDEX(N:N,MATCH($C230,$P:$P,0),1)&lt;&gt;"",$E230*INDEX(N:N,MATCH($C230,$P:$P,0),1)+$G230,""),AND($B230&lt;&gt;"",$D230="COST"),$G230,TRUE,)</f>
        <v>486.9044</v>
      </c>
      <c r="J230" s="134">
        <f t="shared" si="234"/>
        <v>51.5597898</v>
      </c>
      <c r="K230" s="219" t="str">
        <f t="shared" si="3"/>
        <v>iShares USD Treasury Bond 20+yr UCITS ETF USD Dist</v>
      </c>
      <c r="L230" s="340">
        <f t="shared" si="4"/>
        <v>0</v>
      </c>
      <c r="M230" s="340">
        <f t="shared" si="5"/>
        <v>27424.23</v>
      </c>
      <c r="N230" s="139" t="str">
        <f t="array" ref="N230">IF($P230&lt;&gt;"",IF(MAXIFS(Investment!$L:$L,Investment!$D:$D,LEFT($P230,40)&amp;"*"),MAXIFS(Investment!$L:$L,Investment!$D:$D,LEFT($P230,40)&amp;"*"),IFERROR(INDEX(Selection!$H:$H, MATCH($P230,Selection!$F:$F,0))/IF(OR(INDEX(Selection!$C:$C, MATCH($P230,Selection!$F:$F,0))="LN",INDEX(Selection!$C:$C, MATCH($P230,Selection!$F:$F,0))="US"),Investment!$K$7,1),"")),"")</f>
        <v/>
      </c>
      <c r="O230" s="144" t="str">
        <f>IF($P230&lt;&gt;"",IF(MAXIFS(Investment!$AG:$AG,Investment!$D:$D,LEFT($P230,40)&amp;"*"),MAXIFS(Investment!$AG:$AG,Investment!$D:$D,LEFT($P230,40)&amp;"*"),""),"")</f>
        <v/>
      </c>
      <c r="P230" s="328"/>
      <c r="Q230" s="150"/>
      <c r="R230" s="329"/>
    </row>
    <row r="231">
      <c r="A231" s="125">
        <v>43341.0</v>
      </c>
      <c r="B231" s="56" t="s">
        <v>277</v>
      </c>
      <c r="C231" s="56" t="s">
        <v>278</v>
      </c>
      <c r="D231" s="56" t="s">
        <v>222</v>
      </c>
      <c r="E231" s="56">
        <v>8.0</v>
      </c>
      <c r="F231" s="218">
        <v>162.14</v>
      </c>
      <c r="G231" s="132">
        <v>-1297.12</v>
      </c>
      <c r="H231" s="56" t="s">
        <v>1298</v>
      </c>
      <c r="I231" s="134">
        <f t="shared" ref="I231:J231" si="235">IFS(AND($B231&lt;&gt;"",$E231&lt;&gt;""),IF(INDEX(N:N,MATCH($C231,$P:$P,0),1)&lt;&gt;"",$E231*INDEX(N:N,MATCH($C231,$P:$P,0),1)+$G231,""),AND($B231&lt;&gt;"",$D231="COST"),$G231,TRUE,)</f>
        <v>114.8</v>
      </c>
      <c r="J231" s="134">
        <f t="shared" si="235"/>
        <v>27.93694118</v>
      </c>
      <c r="K231" s="219" t="str">
        <f t="shared" si="3"/>
        <v>iShares USD Treasury Bond 7-10yr UCITS ETF</v>
      </c>
      <c r="L231" s="340">
        <f t="shared" si="4"/>
        <v>622</v>
      </c>
      <c r="M231" s="340">
        <f t="shared" si="5"/>
        <v>-96952.49</v>
      </c>
      <c r="N231" s="139" t="str">
        <f t="array" ref="N231">IF($P231&lt;&gt;"",IF(MAXIFS(Investment!$L:$L,Investment!$D:$D,LEFT($P231,40)&amp;"*"),MAXIFS(Investment!$L:$L,Investment!$D:$D,LEFT($P231,40)&amp;"*"),IFERROR(INDEX(Selection!$H:$H, MATCH($P231,Selection!$F:$F,0))/IF(OR(INDEX(Selection!$C:$C, MATCH($P231,Selection!$F:$F,0))="LN",INDEX(Selection!$C:$C, MATCH($P231,Selection!$F:$F,0))="US"),Investment!$K$7,1),"")),"")</f>
        <v/>
      </c>
      <c r="O231" s="144" t="str">
        <f>IF($P231&lt;&gt;"",IF(MAXIFS(Investment!$AG:$AG,Investment!$D:$D,LEFT($P231,40)&amp;"*"),MAXIFS(Investment!$AG:$AG,Investment!$D:$D,LEFT($P231,40)&amp;"*"),""),"")</f>
        <v/>
      </c>
      <c r="P231" s="328"/>
      <c r="Q231" s="150"/>
      <c r="R231" s="329"/>
    </row>
    <row r="232">
      <c r="A232" s="125">
        <v>43340.0</v>
      </c>
      <c r="B232" s="56" t="s">
        <v>243</v>
      </c>
      <c r="C232" s="56" t="s">
        <v>403</v>
      </c>
      <c r="D232" s="56" t="s">
        <v>263</v>
      </c>
      <c r="E232" s="56"/>
      <c r="F232" s="218"/>
      <c r="G232" s="132">
        <v>-2.9</v>
      </c>
      <c r="H232" s="56" t="s">
        <v>1299</v>
      </c>
      <c r="I232" s="134">
        <f t="shared" ref="I232:J232" si="236">IFS(AND($B232&lt;&gt;"",$E232&lt;&gt;""),IF(INDEX(N:N,MATCH($C232,$P:$P,0),1)&lt;&gt;"",$E232*INDEX(N:N,MATCH($C232,$P:$P,0),1)+$G232,""),AND($B232&lt;&gt;"",$D232="COST"),$G232,TRUE,)</f>
        <v>-2.9</v>
      </c>
      <c r="J232" s="134">
        <f t="shared" si="236"/>
        <v>-2.9</v>
      </c>
      <c r="K232" s="219" t="str">
        <f t="shared" si="3"/>
        <v>iShares USD Treasury Bond 20+yr UCITS ETF USD Dist</v>
      </c>
      <c r="L232" s="340">
        <f t="shared" si="4"/>
        <v>0</v>
      </c>
      <c r="M232" s="340">
        <f t="shared" si="5"/>
        <v>27424.23</v>
      </c>
      <c r="N232" s="139" t="str">
        <f t="array" ref="N232">IF($P232&lt;&gt;"",IF(MAXIFS(Investment!$L:$L,Investment!$D:$D,LEFT($P232,40)&amp;"*"),MAXIFS(Investment!$L:$L,Investment!$D:$D,LEFT($P232,40)&amp;"*"),IFERROR(INDEX(Selection!$H:$H, MATCH($P232,Selection!$F:$F,0))/IF(OR(INDEX(Selection!$C:$C, MATCH($P232,Selection!$F:$F,0))="LN",INDEX(Selection!$C:$C, MATCH($P232,Selection!$F:$F,0))="US"),Investment!$K$7,1),"")),"")</f>
        <v/>
      </c>
      <c r="O232" s="144" t="str">
        <f>IF($P232&lt;&gt;"",IF(MAXIFS(Investment!$AG:$AG,Investment!$D:$D,LEFT($P232,40)&amp;"*"),MAXIFS(Investment!$AG:$AG,Investment!$D:$D,LEFT($P232,40)&amp;"*"),""),"")</f>
        <v/>
      </c>
      <c r="P232" s="328"/>
      <c r="Q232" s="150"/>
      <c r="R232" s="329"/>
    </row>
    <row r="233">
      <c r="A233" s="125">
        <v>43340.0</v>
      </c>
      <c r="B233" s="56" t="s">
        <v>243</v>
      </c>
      <c r="C233" s="56" t="s">
        <v>403</v>
      </c>
      <c r="D233" s="56" t="s">
        <v>222</v>
      </c>
      <c r="E233" s="51">
        <v>1154.0</v>
      </c>
      <c r="F233" s="218">
        <v>3.9</v>
      </c>
      <c r="G233" s="132">
        <v>-4500.42</v>
      </c>
      <c r="H233" s="56" t="s">
        <v>1300</v>
      </c>
      <c r="I233" s="134">
        <f t="shared" ref="I233:J233" si="237">IFS(AND($B233&lt;&gt;"",$E233&lt;&gt;""),IF(INDEX(N:N,MATCH($C233,$P:$P,0),1)&lt;&gt;"",$E233*INDEX(N:N,MATCH($C233,$P:$P,0),1)+$G233,""),AND($B233&lt;&gt;"",$D233="COST"),$G233,TRUE,)</f>
        <v>363.4592</v>
      </c>
      <c r="J233" s="134">
        <f t="shared" si="237"/>
        <v>23.54872627</v>
      </c>
      <c r="K233" s="219" t="str">
        <f t="shared" si="3"/>
        <v>iShares USD Treasury Bond 20+yr UCITS ETF USD Dist</v>
      </c>
      <c r="L233" s="340">
        <f t="shared" si="4"/>
        <v>0</v>
      </c>
      <c r="M233" s="340">
        <f t="shared" si="5"/>
        <v>27424.23</v>
      </c>
      <c r="N233" s="139" t="str">
        <f t="array" ref="N233">IF($P233&lt;&gt;"",IF(MAXIFS(Investment!$L:$L,Investment!$D:$D,LEFT($P233,40)&amp;"*"),MAXIFS(Investment!$L:$L,Investment!$D:$D,LEFT($P233,40)&amp;"*"),IFERROR(INDEX(Selection!$H:$H, MATCH($P233,Selection!$F:$F,0))/IF(OR(INDEX(Selection!$C:$C, MATCH($P233,Selection!$F:$F,0))="LN",INDEX(Selection!$C:$C, MATCH($P233,Selection!$F:$F,0))="US"),Investment!$K$7,1),"")),"")</f>
        <v/>
      </c>
      <c r="O233" s="144" t="str">
        <f>IF($P233&lt;&gt;"",IF(MAXIFS(Investment!$AG:$AG,Investment!$D:$D,LEFT($P233,40)&amp;"*"),MAXIFS(Investment!$AG:$AG,Investment!$D:$D,LEFT($P233,40)&amp;"*"),""),"")</f>
        <v/>
      </c>
      <c r="P233" s="328"/>
      <c r="Q233" s="150"/>
      <c r="R233" s="329"/>
    </row>
    <row r="234">
      <c r="A234" s="125">
        <v>43339.0</v>
      </c>
      <c r="B234" s="56" t="s">
        <v>307</v>
      </c>
      <c r="C234" s="56" t="s">
        <v>308</v>
      </c>
      <c r="D234" s="56" t="s">
        <v>222</v>
      </c>
      <c r="E234" s="56">
        <v>84.0</v>
      </c>
      <c r="F234" s="218">
        <v>47.252</v>
      </c>
      <c r="G234" s="132">
        <v>-3969.17</v>
      </c>
      <c r="H234" s="56" t="s">
        <v>1301</v>
      </c>
      <c r="I234" s="134">
        <f t="shared" ref="I234:J234" si="238">IFS(AND($B234&lt;&gt;"",$E234&lt;&gt;""),IF(INDEX(N:N,MATCH($C234,$P:$P,0),1)&lt;&gt;"",$E234*INDEX(N:N,MATCH($C234,$P:$P,0),1)+$G234,""),AND($B234&lt;&gt;"",$D234="COST"),$G234,TRUE,)</f>
        <v>65.35</v>
      </c>
      <c r="J234" s="134">
        <f t="shared" si="238"/>
        <v>-111.3029882</v>
      </c>
      <c r="K234" s="219" t="str">
        <f t="shared" si="3"/>
        <v>Vanguard S&amp;P 500 UCITS ETF</v>
      </c>
      <c r="L234" s="340">
        <f t="shared" si="4"/>
        <v>4429</v>
      </c>
      <c r="M234" s="340">
        <f t="shared" si="5"/>
        <v>-189831.65</v>
      </c>
      <c r="N234" s="139" t="str">
        <f t="array" ref="N234">IF($P234&lt;&gt;"",IF(MAXIFS(Investment!$L:$L,Investment!$D:$D,LEFT($P234,40)&amp;"*"),MAXIFS(Investment!$L:$L,Investment!$D:$D,LEFT($P234,40)&amp;"*"),IFERROR(INDEX(Selection!$H:$H, MATCH($P234,Selection!$F:$F,0))/IF(OR(INDEX(Selection!$C:$C, MATCH($P234,Selection!$F:$F,0))="LN",INDEX(Selection!$C:$C, MATCH($P234,Selection!$F:$F,0))="US"),Investment!$K$7,1),"")),"")</f>
        <v/>
      </c>
      <c r="O234" s="144" t="str">
        <f>IF($P234&lt;&gt;"",IF(MAXIFS(Investment!$AG:$AG,Investment!$D:$D,LEFT($P234,40)&amp;"*"),MAXIFS(Investment!$AG:$AG,Investment!$D:$D,LEFT($P234,40)&amp;"*"),""),"")</f>
        <v/>
      </c>
      <c r="P234" s="328"/>
      <c r="Q234" s="150"/>
      <c r="R234" s="329"/>
    </row>
    <row r="235">
      <c r="A235" s="125">
        <v>43339.0</v>
      </c>
      <c r="B235" s="56" t="s">
        <v>217</v>
      </c>
      <c r="C235" s="56" t="s">
        <v>220</v>
      </c>
      <c r="D235" s="56" t="s">
        <v>222</v>
      </c>
      <c r="E235" s="56">
        <v>443.0</v>
      </c>
      <c r="F235" s="218">
        <v>7.358</v>
      </c>
      <c r="G235" s="132">
        <v>-3259.59</v>
      </c>
      <c r="H235" s="56" t="s">
        <v>1302</v>
      </c>
      <c r="I235" s="134">
        <f t="shared" ref="I235:J235" si="239">IFS(AND($B235&lt;&gt;"",$E235&lt;&gt;""),IF(INDEX(N:N,MATCH($C235,$P:$P,0),1)&lt;&gt;"",$E235*INDEX(N:N,MATCH($C235,$P:$P,0),1)+$G235,""),AND($B235&lt;&gt;"",$D235="COST"),$G235,TRUE,)</f>
        <v>-81.065</v>
      </c>
      <c r="J235" s="134">
        <f t="shared" si="239"/>
        <v>17.29142353</v>
      </c>
      <c r="K235" s="219" t="str">
        <f t="shared" si="3"/>
        <v>ETFS All Commodities</v>
      </c>
      <c r="L235" s="340">
        <f t="shared" si="4"/>
        <v>8177</v>
      </c>
      <c r="M235" s="340">
        <f t="shared" si="5"/>
        <v>-60085.79</v>
      </c>
      <c r="N235" s="139" t="str">
        <f t="array" ref="N235">IF($P235&lt;&gt;"",IF(MAXIFS(Investment!$L:$L,Investment!$D:$D,LEFT($P235,40)&amp;"*"),MAXIFS(Investment!$L:$L,Investment!$D:$D,LEFT($P235,40)&amp;"*"),IFERROR(INDEX(Selection!$H:$H, MATCH($P235,Selection!$F:$F,0))/IF(OR(INDEX(Selection!$C:$C, MATCH($P235,Selection!$F:$F,0))="LN",INDEX(Selection!$C:$C, MATCH($P235,Selection!$F:$F,0))="US"),Investment!$K$7,1),"")),"")</f>
        <v/>
      </c>
      <c r="O235" s="144" t="str">
        <f>IF($P235&lt;&gt;"",IF(MAXIFS(Investment!$AG:$AG,Investment!$D:$D,LEFT($P235,40)&amp;"*"),MAXIFS(Investment!$AG:$AG,Investment!$D:$D,LEFT($P235,40)&amp;"*"),""),"")</f>
        <v/>
      </c>
      <c r="P235" s="328"/>
      <c r="Q235" s="150"/>
      <c r="R235" s="329"/>
    </row>
    <row r="236">
      <c r="A236" s="125">
        <v>43339.0</v>
      </c>
      <c r="B236" s="56" t="s">
        <v>277</v>
      </c>
      <c r="C236" s="56" t="s">
        <v>278</v>
      </c>
      <c r="D236" s="56" t="s">
        <v>222</v>
      </c>
      <c r="E236" s="56">
        <v>19.0</v>
      </c>
      <c r="F236" s="218">
        <v>163.99</v>
      </c>
      <c r="G236" s="132">
        <v>-3115.81</v>
      </c>
      <c r="H236" s="56" t="s">
        <v>1303</v>
      </c>
      <c r="I236" s="134">
        <f t="shared" ref="I236:J236" si="240">IFS(AND($B236&lt;&gt;"",$E236&lt;&gt;""),IF(INDEX(N:N,MATCH($C236,$P:$P,0),1)&lt;&gt;"",$E236*INDEX(N:N,MATCH($C236,$P:$P,0),1)+$G236,""),AND($B236&lt;&gt;"",$D236="COST"),$G236,TRUE,)</f>
        <v>237.5</v>
      </c>
      <c r="J236" s="134">
        <f t="shared" si="240"/>
        <v>31.20023529</v>
      </c>
      <c r="K236" s="219" t="str">
        <f t="shared" si="3"/>
        <v>iShares USD Treasury Bond 7-10yr UCITS ETF</v>
      </c>
      <c r="L236" s="340">
        <f t="shared" si="4"/>
        <v>622</v>
      </c>
      <c r="M236" s="340">
        <f t="shared" si="5"/>
        <v>-96952.49</v>
      </c>
      <c r="N236" s="139" t="str">
        <f t="array" ref="N236">IF($P236&lt;&gt;"",IF(MAXIFS(Investment!$L:$L,Investment!$D:$D,LEFT($P236,40)&amp;"*"),MAXIFS(Investment!$L:$L,Investment!$D:$D,LEFT($P236,40)&amp;"*"),IFERROR(INDEX(Selection!$H:$H, MATCH($P236,Selection!$F:$F,0))/IF(OR(INDEX(Selection!$C:$C, MATCH($P236,Selection!$F:$F,0))="LN",INDEX(Selection!$C:$C, MATCH($P236,Selection!$F:$F,0))="US"),Investment!$K$7,1),"")),"")</f>
        <v/>
      </c>
      <c r="O236" s="144" t="str">
        <f>IF($P236&lt;&gt;"",IF(MAXIFS(Investment!$AG:$AG,Investment!$D:$D,LEFT($P236,40)&amp;"*"),MAXIFS(Investment!$AG:$AG,Investment!$D:$D,LEFT($P236,40)&amp;"*"),""),"")</f>
        <v/>
      </c>
      <c r="P236" s="328"/>
      <c r="Q236" s="150"/>
      <c r="R236" s="329"/>
    </row>
    <row r="237">
      <c r="A237" s="125">
        <v>43339.0</v>
      </c>
      <c r="B237" s="56" t="s">
        <v>361</v>
      </c>
      <c r="C237" s="56" t="s">
        <v>830</v>
      </c>
      <c r="D237" s="56" t="s">
        <v>222</v>
      </c>
      <c r="E237" s="56">
        <v>31.0</v>
      </c>
      <c r="F237" s="218">
        <v>99.36</v>
      </c>
      <c r="G237" s="132">
        <v>-3080.16</v>
      </c>
      <c r="H237" s="56" t="s">
        <v>1304</v>
      </c>
      <c r="I237" s="134">
        <f t="shared" ref="I237:J237" si="241">IFS(AND($B237&lt;&gt;"",$E237&lt;&gt;""),IF(INDEX(N:N,MATCH($C237,$P:$P,0),1)&lt;&gt;"",$E237*INDEX(N:N,MATCH($C237,$P:$P,0),1)+$G237,""),AND($B237&lt;&gt;"",$D237="COST"),$G237,TRUE,)</f>
        <v>340.07</v>
      </c>
      <c r="J237" s="134">
        <f t="shared" si="241"/>
        <v>169.3548235</v>
      </c>
      <c r="K237" s="219" t="str">
        <f t="shared" si="3"/>
        <v>ETFS Physical Gold</v>
      </c>
      <c r="L237" s="340">
        <f t="shared" si="4"/>
        <v>506</v>
      </c>
      <c r="M237" s="340">
        <f t="shared" si="5"/>
        <v>-52182.08</v>
      </c>
      <c r="N237" s="139" t="str">
        <f t="array" ref="N237">IF($P237&lt;&gt;"",IF(MAXIFS(Investment!$L:$L,Investment!$D:$D,LEFT($P237,40)&amp;"*"),MAXIFS(Investment!$L:$L,Investment!$D:$D,LEFT($P237,40)&amp;"*"),IFERROR(INDEX(Selection!$H:$H, MATCH($P237,Selection!$F:$F,0))/IF(OR(INDEX(Selection!$C:$C, MATCH($P237,Selection!$F:$F,0))="LN",INDEX(Selection!$C:$C, MATCH($P237,Selection!$F:$F,0))="US"),Investment!$K$7,1),"")),"")</f>
        <v/>
      </c>
      <c r="O237" s="144" t="str">
        <f>IF($P237&lt;&gt;"",IF(MAXIFS(Investment!$AG:$AG,Investment!$D:$D,LEFT($P237,40)&amp;"*"),MAXIFS(Investment!$AG:$AG,Investment!$D:$D,LEFT($P237,40)&amp;"*"),""),"")</f>
        <v/>
      </c>
      <c r="P237" s="328"/>
      <c r="Q237" s="150"/>
      <c r="R237" s="329"/>
    </row>
    <row r="238">
      <c r="A238" s="125">
        <v>43318.0</v>
      </c>
      <c r="B238" s="56"/>
      <c r="C238" s="56"/>
      <c r="D238" s="56" t="s">
        <v>263</v>
      </c>
      <c r="F238" s="218"/>
      <c r="G238" s="132">
        <v>-467.55</v>
      </c>
      <c r="H238" s="56" t="s">
        <v>1305</v>
      </c>
      <c r="I238" s="134" t="str">
        <f t="shared" ref="I238:J238" si="242">IFS(AND($B238&lt;&gt;"",$E238&lt;&gt;""),IF(INDEX(N:N,MATCH($C238,$P:$P,0),1)&lt;&gt;"",$E238*INDEX(N:N,MATCH($C238,$P:$P,0),1)+$G238,""),AND($B238&lt;&gt;"",$D238="COST"),$G238,TRUE,)</f>
        <v/>
      </c>
      <c r="J238" s="134" t="str">
        <f t="shared" si="242"/>
        <v/>
      </c>
      <c r="K238" s="219" t="str">
        <f t="shared" si="3"/>
        <v/>
      </c>
      <c r="L238" s="340" t="str">
        <f t="shared" si="4"/>
        <v/>
      </c>
      <c r="M238" s="340" t="str">
        <f t="shared" si="5"/>
        <v/>
      </c>
      <c r="N238" s="139" t="str">
        <f t="array" ref="N238">IF($P238&lt;&gt;"",IF(MAXIFS(Investment!$L:$L,Investment!$D:$D,LEFT($P238,40)&amp;"*"),MAXIFS(Investment!$L:$L,Investment!$D:$D,LEFT($P238,40)&amp;"*"),IFERROR(INDEX(Selection!$H:$H, MATCH($P238,Selection!$F:$F,0))/IF(OR(INDEX(Selection!$C:$C, MATCH($P238,Selection!$F:$F,0))="LN",INDEX(Selection!$C:$C, MATCH($P238,Selection!$F:$F,0))="US"),Investment!$K$7,1),"")),"")</f>
        <v/>
      </c>
      <c r="O238" s="144" t="str">
        <f>IF($P238&lt;&gt;"",IF(MAXIFS(Investment!$AG:$AG,Investment!$D:$D,LEFT($P238,40)&amp;"*"),MAXIFS(Investment!$AG:$AG,Investment!$D:$D,LEFT($P238,40)&amp;"*"),""),"")</f>
        <v/>
      </c>
      <c r="P238" s="328"/>
      <c r="Q238" s="150"/>
      <c r="R238" s="329"/>
    </row>
    <row r="239">
      <c r="A239" s="125">
        <v>43312.0</v>
      </c>
      <c r="B239" s="56" t="s">
        <v>243</v>
      </c>
      <c r="C239" s="56" t="s">
        <v>403</v>
      </c>
      <c r="D239" s="56" t="s">
        <v>263</v>
      </c>
      <c r="F239" s="218"/>
      <c r="G239" s="132">
        <v>-5.12</v>
      </c>
      <c r="H239" s="56" t="s">
        <v>1306</v>
      </c>
      <c r="I239" s="134">
        <f t="shared" ref="I239:J239" si="243">IFS(AND($B239&lt;&gt;"",$E239&lt;&gt;""),IF(INDEX(N:N,MATCH($C239,$P:$P,0),1)&lt;&gt;"",$E239*INDEX(N:N,MATCH($C239,$P:$P,0),1)+$G239,""),AND($B239&lt;&gt;"",$D239="COST"),$G239,TRUE,)</f>
        <v>-5.12</v>
      </c>
      <c r="J239" s="134">
        <f t="shared" si="243"/>
        <v>-5.12</v>
      </c>
      <c r="K239" s="219" t="str">
        <f t="shared" si="3"/>
        <v>iShares USD Treasury Bond 20+yr UCITS ETF USD Dist</v>
      </c>
      <c r="L239" s="340">
        <f t="shared" si="4"/>
        <v>0</v>
      </c>
      <c r="M239" s="340">
        <f t="shared" si="5"/>
        <v>27424.23</v>
      </c>
      <c r="N239" s="139" t="str">
        <f t="array" ref="N239">IF($P239&lt;&gt;"",IF(MAXIFS(Investment!$L:$L,Investment!$D:$D,LEFT($P239,40)&amp;"*"),MAXIFS(Investment!$L:$L,Investment!$D:$D,LEFT($P239,40)&amp;"*"),IFERROR(INDEX(Selection!$H:$H, MATCH($P239,Selection!$F:$F,0))/IF(OR(INDEX(Selection!$C:$C, MATCH($P239,Selection!$F:$F,0))="LN",INDEX(Selection!$C:$C, MATCH($P239,Selection!$F:$F,0))="US"),Investment!$K$7,1),"")),"")</f>
        <v/>
      </c>
      <c r="O239" s="144" t="str">
        <f>IF($P239&lt;&gt;"",IF(MAXIFS(Investment!$AG:$AG,Investment!$D:$D,LEFT($P239,40)&amp;"*"),MAXIFS(Investment!$AG:$AG,Investment!$D:$D,LEFT($P239,40)&amp;"*"),""),"")</f>
        <v/>
      </c>
      <c r="P239" s="328"/>
      <c r="Q239" s="150"/>
      <c r="R239" s="329"/>
    </row>
    <row r="240">
      <c r="A240" s="125">
        <v>43312.0</v>
      </c>
      <c r="B240" s="56" t="s">
        <v>243</v>
      </c>
      <c r="C240" s="56" t="s">
        <v>403</v>
      </c>
      <c r="D240" s="56" t="s">
        <v>222</v>
      </c>
      <c r="E240" s="51">
        <v>4074.0</v>
      </c>
      <c r="F240" s="218">
        <v>3.83</v>
      </c>
      <c r="G240" s="132">
        <v>-15601.5</v>
      </c>
      <c r="H240" s="56" t="s">
        <v>1307</v>
      </c>
      <c r="I240" s="134">
        <f t="shared" ref="I240:J240" si="244">IFS(AND($B240&lt;&gt;"",$E240&lt;&gt;""),IF(INDEX(N:N,MATCH($C240,$P:$P,0),1)&lt;&gt;"",$E240*INDEX(N:N,MATCH($C240,$P:$P,0),1)+$G240,""),AND($B240&lt;&gt;"",$D240="COST"),$G240,TRUE,)</f>
        <v>1569.5952</v>
      </c>
      <c r="J240" s="134">
        <f t="shared" si="244"/>
        <v>369.5992988</v>
      </c>
      <c r="K240" s="219" t="str">
        <f t="shared" si="3"/>
        <v>iShares USD Treasury Bond 20+yr UCITS ETF USD Dist</v>
      </c>
      <c r="L240" s="340">
        <f t="shared" si="4"/>
        <v>0</v>
      </c>
      <c r="M240" s="340">
        <f t="shared" si="5"/>
        <v>27424.23</v>
      </c>
      <c r="N240" s="139" t="str">
        <f t="array" ref="N240">IF($P240&lt;&gt;"",IF(MAXIFS(Investment!$L:$L,Investment!$D:$D,LEFT($P240,40)&amp;"*"),MAXIFS(Investment!$L:$L,Investment!$D:$D,LEFT($P240,40)&amp;"*"),IFERROR(INDEX(Selection!$H:$H, MATCH($P240,Selection!$F:$F,0))/IF(OR(INDEX(Selection!$C:$C, MATCH($P240,Selection!$F:$F,0))="LN",INDEX(Selection!$C:$C, MATCH($P240,Selection!$F:$F,0))="US"),Investment!$K$7,1),"")),"")</f>
        <v/>
      </c>
      <c r="O240" s="144" t="str">
        <f>IF($P240&lt;&gt;"",IF(MAXIFS(Investment!$AG:$AG,Investment!$D:$D,LEFT($P240,40)&amp;"*"),MAXIFS(Investment!$AG:$AG,Investment!$D:$D,LEFT($P240,40)&amp;"*"),""),"")</f>
        <v/>
      </c>
      <c r="P240" s="328"/>
      <c r="Q240" s="150"/>
      <c r="R240" s="329"/>
    </row>
    <row r="241">
      <c r="A241" s="125">
        <v>43312.0</v>
      </c>
      <c r="B241" s="56" t="s">
        <v>307</v>
      </c>
      <c r="C241" s="56" t="s">
        <v>308</v>
      </c>
      <c r="D241" s="56" t="s">
        <v>222</v>
      </c>
      <c r="E241" s="56">
        <v>226.0</v>
      </c>
      <c r="F241" s="218">
        <v>45.477</v>
      </c>
      <c r="G241" s="132">
        <v>-10277.8</v>
      </c>
      <c r="H241" s="56" t="s">
        <v>1308</v>
      </c>
      <c r="I241" s="134">
        <f t="shared" ref="I241:J241" si="245">IFS(AND($B241&lt;&gt;"",$E241&lt;&gt;""),IF(INDEX(N:N,MATCH($C241,$P:$P,0),1)&lt;&gt;"",$E241*INDEX(N:N,MATCH($C241,$P:$P,0),1)+$G241,""),AND($B241&lt;&gt;"",$D241="COST"),$G241,TRUE,)</f>
        <v>576.98</v>
      </c>
      <c r="J241" s="134">
        <f t="shared" si="245"/>
        <v>101.6993412</v>
      </c>
      <c r="K241" s="219" t="str">
        <f t="shared" si="3"/>
        <v>Vanguard S&amp;P 500 UCITS ETF</v>
      </c>
      <c r="L241" s="340">
        <f t="shared" si="4"/>
        <v>4429</v>
      </c>
      <c r="M241" s="340">
        <f t="shared" si="5"/>
        <v>-189831.65</v>
      </c>
      <c r="N241" s="139" t="str">
        <f t="array" ref="N241">IF($P241&lt;&gt;"",IF(MAXIFS(Investment!$L:$L,Investment!$D:$D,LEFT($P241,40)&amp;"*"),MAXIFS(Investment!$L:$L,Investment!$D:$D,LEFT($P241,40)&amp;"*"),IFERROR(INDEX(Selection!$H:$H, MATCH($P241,Selection!$F:$F,0))/IF(OR(INDEX(Selection!$C:$C, MATCH($P241,Selection!$F:$F,0))="LN",INDEX(Selection!$C:$C, MATCH($P241,Selection!$F:$F,0))="US"),Investment!$K$7,1),"")),"")</f>
        <v/>
      </c>
      <c r="O241" s="144" t="str">
        <f>IF($P241&lt;&gt;"",IF(MAXIFS(Investment!$AG:$AG,Investment!$D:$D,LEFT($P241,40)&amp;"*"),MAXIFS(Investment!$AG:$AG,Investment!$D:$D,LEFT($P241,40)&amp;"*"),""),"")</f>
        <v/>
      </c>
      <c r="P241" s="328"/>
      <c r="Q241" s="150"/>
      <c r="R241" s="329"/>
    </row>
    <row r="242">
      <c r="A242" s="125">
        <v>43312.0</v>
      </c>
      <c r="B242" s="56" t="s">
        <v>217</v>
      </c>
      <c r="C242" s="56" t="s">
        <v>220</v>
      </c>
      <c r="D242" s="56" t="s">
        <v>222</v>
      </c>
      <c r="E242" s="56">
        <v>203.0</v>
      </c>
      <c r="F242" s="218">
        <v>7.404</v>
      </c>
      <c r="G242" s="132">
        <v>-1503.01</v>
      </c>
      <c r="H242" s="56" t="s">
        <v>1309</v>
      </c>
      <c r="I242" s="134">
        <f t="shared" ref="I242:J242" si="246">IFS(AND($B242&lt;&gt;"",$E242&lt;&gt;""),IF(INDEX(N:N,MATCH($C242,$P:$P,0),1)&lt;&gt;"",$E242*INDEX(N:N,MATCH($C242,$P:$P,0),1)+$G242,""),AND($B242&lt;&gt;"",$D242="COST"),$G242,TRUE,)</f>
        <v>-46.485</v>
      </c>
      <c r="J242" s="134">
        <f t="shared" si="246"/>
        <v>-1.414223529</v>
      </c>
      <c r="K242" s="219" t="str">
        <f t="shared" si="3"/>
        <v>ETFS All Commodities</v>
      </c>
      <c r="L242" s="340">
        <f t="shared" si="4"/>
        <v>8177</v>
      </c>
      <c r="M242" s="340">
        <f t="shared" si="5"/>
        <v>-60085.79</v>
      </c>
      <c r="N242" s="139" t="str">
        <f t="array" ref="N242">IF($P242&lt;&gt;"",IF(MAXIFS(Investment!$L:$L,Investment!$D:$D,LEFT($P242,40)&amp;"*"),MAXIFS(Investment!$L:$L,Investment!$D:$D,LEFT($P242,40)&amp;"*"),IFERROR(INDEX(Selection!$H:$H, MATCH($P242,Selection!$F:$F,0))/IF(OR(INDEX(Selection!$C:$C, MATCH($P242,Selection!$F:$F,0))="LN",INDEX(Selection!$C:$C, MATCH($P242,Selection!$F:$F,0))="US"),Investment!$K$7,1),"")),"")</f>
        <v/>
      </c>
      <c r="O242" s="144" t="str">
        <f>IF($P242&lt;&gt;"",IF(MAXIFS(Investment!$AG:$AG,Investment!$D:$D,LEFT($P242,40)&amp;"*"),MAXIFS(Investment!$AG:$AG,Investment!$D:$D,LEFT($P242,40)&amp;"*"),""),"")</f>
        <v/>
      </c>
      <c r="P242" s="328"/>
      <c r="Q242" s="150"/>
      <c r="R242" s="329"/>
    </row>
    <row r="243">
      <c r="A243" s="125">
        <v>43312.0</v>
      </c>
      <c r="B243" s="56" t="s">
        <v>277</v>
      </c>
      <c r="C243" s="56" t="s">
        <v>278</v>
      </c>
      <c r="D243" s="56" t="s">
        <v>222</v>
      </c>
      <c r="E243" s="56">
        <v>36.0</v>
      </c>
      <c r="F243" s="218">
        <v>160.27</v>
      </c>
      <c r="G243" s="132">
        <v>-5769.72</v>
      </c>
      <c r="H243" s="56" t="s">
        <v>1310</v>
      </c>
      <c r="I243" s="134">
        <f t="shared" ref="I243:J243" si="247">IFS(AND($B243&lt;&gt;"",$E243&lt;&gt;""),IF(INDEX(N:N,MATCH($C243,$P:$P,0),1)&lt;&gt;"",$E243*INDEX(N:N,MATCH($C243,$P:$P,0),1)+$G243,""),AND($B243&lt;&gt;"",$D243="COST"),$G243,TRUE,)</f>
        <v>583.92</v>
      </c>
      <c r="J243" s="134">
        <f t="shared" si="247"/>
        <v>193.0362353</v>
      </c>
      <c r="K243" s="219" t="str">
        <f t="shared" si="3"/>
        <v>iShares USD Treasury Bond 7-10yr UCITS ETF</v>
      </c>
      <c r="L243" s="340">
        <f t="shared" si="4"/>
        <v>622</v>
      </c>
      <c r="M243" s="340">
        <f t="shared" si="5"/>
        <v>-96952.49</v>
      </c>
      <c r="N243" s="139" t="str">
        <f t="array" ref="N243">IF($P243&lt;&gt;"",IF(MAXIFS(Investment!$L:$L,Investment!$D:$D,LEFT($P243,40)&amp;"*"),MAXIFS(Investment!$L:$L,Investment!$D:$D,LEFT($P243,40)&amp;"*"),IFERROR(INDEX(Selection!$H:$H, MATCH($P243,Selection!$F:$F,0))/IF(OR(INDEX(Selection!$C:$C, MATCH($P243,Selection!$F:$F,0))="LN",INDEX(Selection!$C:$C, MATCH($P243,Selection!$F:$F,0))="US"),Investment!$K$7,1),"")),"")</f>
        <v/>
      </c>
      <c r="O243" s="144" t="str">
        <f>IF($P243&lt;&gt;"",IF(MAXIFS(Investment!$AG:$AG,Investment!$D:$D,LEFT($P243,40)&amp;"*"),MAXIFS(Investment!$AG:$AG,Investment!$D:$D,LEFT($P243,40)&amp;"*"),""),"")</f>
        <v/>
      </c>
      <c r="P243" s="328"/>
      <c r="Q243" s="150"/>
      <c r="R243" s="329"/>
    </row>
    <row r="244">
      <c r="A244" s="125">
        <v>43312.0</v>
      </c>
      <c r="B244" s="56" t="s">
        <v>361</v>
      </c>
      <c r="C244" s="56" t="s">
        <v>830</v>
      </c>
      <c r="D244" s="56" t="s">
        <v>222</v>
      </c>
      <c r="E244" s="56">
        <v>29.0</v>
      </c>
      <c r="F244" s="218">
        <v>99.77</v>
      </c>
      <c r="G244" s="132">
        <v>-2893.33</v>
      </c>
      <c r="H244" s="56" t="s">
        <v>1311</v>
      </c>
      <c r="I244" s="134">
        <f t="shared" ref="I244:J244" si="248">IFS(AND($B244&lt;&gt;"",$E244&lt;&gt;""),IF(INDEX(N:N,MATCH($C244,$P:$P,0),1)&lt;&gt;"",$E244*INDEX(N:N,MATCH($C244,$P:$P,0),1)+$G244,""),AND($B244&lt;&gt;"",$D244="COST"),$G244,TRUE,)</f>
        <v>306.24</v>
      </c>
      <c r="J244" s="134">
        <f t="shared" si="248"/>
        <v>146.5387059</v>
      </c>
      <c r="K244" s="219" t="str">
        <f t="shared" si="3"/>
        <v>ETFS Physical Gold</v>
      </c>
      <c r="L244" s="340">
        <f t="shared" si="4"/>
        <v>506</v>
      </c>
      <c r="M244" s="340">
        <f t="shared" si="5"/>
        <v>-52182.08</v>
      </c>
      <c r="N244" s="139" t="str">
        <f t="array" ref="N244">IF($P244&lt;&gt;"",IF(MAXIFS(Investment!$L:$L,Investment!$D:$D,LEFT($P244,40)&amp;"*"),MAXIFS(Investment!$L:$L,Investment!$D:$D,LEFT($P244,40)&amp;"*"),IFERROR(INDEX(Selection!$H:$H, MATCH($P244,Selection!$F:$F,0))/IF(OR(INDEX(Selection!$C:$C, MATCH($P244,Selection!$F:$F,0))="LN",INDEX(Selection!$C:$C, MATCH($P244,Selection!$F:$F,0))="US"),Investment!$K$7,1),"")),"")</f>
        <v/>
      </c>
      <c r="O244" s="144" t="str">
        <f>IF($P244&lt;&gt;"",IF(MAXIFS(Investment!$AG:$AG,Investment!$D:$D,LEFT($P244,40)&amp;"*"),MAXIFS(Investment!$AG:$AG,Investment!$D:$D,LEFT($P244,40)&amp;"*"),""),"")</f>
        <v/>
      </c>
      <c r="P244" s="328"/>
      <c r="Q244" s="150"/>
      <c r="R244" s="329"/>
    </row>
    <row r="245">
      <c r="A245" s="125">
        <v>43304.0</v>
      </c>
      <c r="B245" s="56" t="s">
        <v>243</v>
      </c>
      <c r="C245" s="56" t="s">
        <v>403</v>
      </c>
      <c r="D245" s="56" t="s">
        <v>263</v>
      </c>
      <c r="E245" s="51"/>
      <c r="F245" s="218"/>
      <c r="G245" s="132">
        <v>-25.99</v>
      </c>
      <c r="H245" s="56" t="s">
        <v>1312</v>
      </c>
      <c r="I245" s="134">
        <f t="shared" ref="I245:J245" si="249">IFS(AND($B245&lt;&gt;"",$E245&lt;&gt;""),IF(INDEX(N:N,MATCH($C245,$P:$P,0),1)&lt;&gt;"",$E245*INDEX(N:N,MATCH($C245,$P:$P,0),1)+$G245,""),AND($B245&lt;&gt;"",$D245="COST"),$G245,TRUE,)</f>
        <v>-25.99</v>
      </c>
      <c r="J245" s="134">
        <f t="shared" si="249"/>
        <v>-25.99</v>
      </c>
      <c r="K245" s="219" t="str">
        <f t="shared" si="3"/>
        <v>iShares USD Treasury Bond 20+yr UCITS ETF USD Dist</v>
      </c>
      <c r="L245" s="340">
        <f t="shared" si="4"/>
        <v>0</v>
      </c>
      <c r="M245" s="340">
        <f t="shared" si="5"/>
        <v>27424.23</v>
      </c>
      <c r="N245" s="139" t="str">
        <f t="array" ref="N245">IF($P245&lt;&gt;"",IF(MAXIFS(Investment!$L:$L,Investment!$D:$D,LEFT($P245,40)&amp;"*"),MAXIFS(Investment!$L:$L,Investment!$D:$D,LEFT($P245,40)&amp;"*"),IFERROR(INDEX(Selection!$H:$H, MATCH($P245,Selection!$F:$F,0))/IF(OR(INDEX(Selection!$C:$C, MATCH($P245,Selection!$F:$F,0))="LN",INDEX(Selection!$C:$C, MATCH($P245,Selection!$F:$F,0))="US"),Investment!$K$7,1),"")),"")</f>
        <v/>
      </c>
      <c r="O245" s="144" t="str">
        <f>IF($P245&lt;&gt;"",IF(MAXIFS(Investment!$AG:$AG,Investment!$D:$D,LEFT($P245,40)&amp;"*"),MAXIFS(Investment!$AG:$AG,Investment!$D:$D,LEFT($P245,40)&amp;"*"),""),"")</f>
        <v/>
      </c>
      <c r="P245" s="328"/>
      <c r="Q245" s="150"/>
      <c r="R245" s="329"/>
    </row>
    <row r="246">
      <c r="A246" s="125">
        <v>43304.0</v>
      </c>
      <c r="B246" s="56" t="s">
        <v>243</v>
      </c>
      <c r="C246" s="56" t="s">
        <v>403</v>
      </c>
      <c r="D246" s="56" t="s">
        <v>222</v>
      </c>
      <c r="E246" s="51">
        <v>31102.0</v>
      </c>
      <c r="F246" s="218">
        <v>3.857</v>
      </c>
      <c r="G246" s="132">
        <v>-119971.61</v>
      </c>
      <c r="H246" s="56" t="s">
        <v>1313</v>
      </c>
      <c r="I246" s="134">
        <f t="shared" ref="I246:J246" si="250">IFS(AND($B246&lt;&gt;"",$E246&lt;&gt;""),IF(INDEX(N:N,MATCH($C246,$P:$P,0),1)&lt;&gt;"",$E246*INDEX(N:N,MATCH($C246,$P:$P,0),1)+$G246,""),AND($B246&lt;&gt;"",$D246="COST"),$G246,TRUE,)</f>
        <v>11117.0996</v>
      </c>
      <c r="J246" s="134">
        <f t="shared" si="250"/>
        <v>1956.011598</v>
      </c>
      <c r="K246" s="219" t="str">
        <f t="shared" si="3"/>
        <v>iShares USD Treasury Bond 20+yr UCITS ETF USD Dist</v>
      </c>
      <c r="L246" s="150">
        <f t="shared" si="4"/>
        <v>0</v>
      </c>
      <c r="M246" s="150">
        <f t="shared" si="5"/>
        <v>27424.23</v>
      </c>
      <c r="N246" s="139" t="str">
        <f t="array" ref="N246">IF($P246&lt;&gt;"",IF(MAXIFS(Investment!$L:$L,Investment!$D:$D,LEFT($P246,40)&amp;"*"),MAXIFS(Investment!$L:$L,Investment!$D:$D,LEFT($P246,40)&amp;"*"),IFERROR(INDEX(Selection!$H:$H, MATCH($P246,Selection!$F:$F,0))/IF(OR(INDEX(Selection!$C:$C, MATCH($P246,Selection!$F:$F,0))="LN",INDEX(Selection!$C:$C, MATCH($P246,Selection!$F:$F,0))="US"),Investment!$K$7,1),"")),"")</f>
        <v/>
      </c>
      <c r="O246" s="144" t="str">
        <f>IF($P246&lt;&gt;"",IF(MAXIFS(Investment!$AG:$AG,Investment!$D:$D,LEFT($P246,40)&amp;"*"),MAXIFS(Investment!$AG:$AG,Investment!$D:$D,LEFT($P246,40)&amp;"*"),""),"")</f>
        <v/>
      </c>
      <c r="P246" s="328"/>
      <c r="Q246" s="150"/>
      <c r="R246" s="329"/>
    </row>
    <row r="247">
      <c r="A247" s="125">
        <v>43304.0</v>
      </c>
      <c r="B247" s="56" t="s">
        <v>307</v>
      </c>
      <c r="C247" s="56" t="s">
        <v>308</v>
      </c>
      <c r="D247" s="56" t="s">
        <v>222</v>
      </c>
      <c r="E247" s="51">
        <v>1926.0</v>
      </c>
      <c r="F247" s="218">
        <v>45.323</v>
      </c>
      <c r="G247" s="132">
        <v>-87292.1</v>
      </c>
      <c r="H247" s="56" t="s">
        <v>1314</v>
      </c>
      <c r="I247" s="134">
        <f t="shared" ref="I247:J247" si="251">IFS(AND($B247&lt;&gt;"",$E247&lt;&gt;""),IF(INDEX(N:N,MATCH($C247,$P:$P,0),1)&lt;&gt;"",$E247*INDEX(N:N,MATCH($C247,$P:$P,0),1)+$G247,""),AND($B247&lt;&gt;"",$D247="COST"),$G247,TRUE,)</f>
        <v>5213.68</v>
      </c>
      <c r="J247" s="134">
        <f t="shared" si="251"/>
        <v>1163.279341</v>
      </c>
      <c r="K247" s="219" t="str">
        <f t="shared" si="3"/>
        <v>Vanguard S&amp;P 500 UCITS ETF</v>
      </c>
      <c r="L247" s="150">
        <f t="shared" si="4"/>
        <v>4429</v>
      </c>
      <c r="M247" s="150">
        <f t="shared" si="5"/>
        <v>-189831.65</v>
      </c>
      <c r="N247" s="139" t="str">
        <f t="array" ref="N247">IF($P247&lt;&gt;"",IF(MAXIFS(Investment!$L:$L,Investment!$D:$D,LEFT($P247,40)&amp;"*"),MAXIFS(Investment!$L:$L,Investment!$D:$D,LEFT($P247,40)&amp;"*"),IFERROR(INDEX(Selection!$H:$H, MATCH($P247,Selection!$F:$F,0))/IF(OR(INDEX(Selection!$C:$C, MATCH($P247,Selection!$F:$F,0))="LN",INDEX(Selection!$C:$C, MATCH($P247,Selection!$F:$F,0))="US"),Investment!$K$7,1),"")),"")</f>
        <v/>
      </c>
      <c r="O247" s="144" t="str">
        <f>IF($P247&lt;&gt;"",IF(MAXIFS(Investment!$AG:$AG,Investment!$D:$D,LEFT($P247,40)&amp;"*"),MAXIFS(Investment!$AG:$AG,Investment!$D:$D,LEFT($P247,40)&amp;"*"),""),"")</f>
        <v/>
      </c>
      <c r="P247" s="328"/>
      <c r="Q247" s="150"/>
      <c r="R247" s="329"/>
    </row>
    <row r="248">
      <c r="A248" s="125">
        <v>43304.0</v>
      </c>
      <c r="B248" s="56" t="s">
        <v>277</v>
      </c>
      <c r="C248" s="56" t="s">
        <v>278</v>
      </c>
      <c r="D248" s="56" t="s">
        <v>222</v>
      </c>
      <c r="E248" s="51">
        <v>273.0</v>
      </c>
      <c r="F248" s="218">
        <v>160.85</v>
      </c>
      <c r="G248" s="132">
        <v>-43912.05</v>
      </c>
      <c r="H248" s="56" t="s">
        <v>1315</v>
      </c>
      <c r="I248" s="134">
        <f t="shared" ref="I248:J248" si="252">IFS(AND($B248&lt;&gt;"",$E248&lt;&gt;""),IF(INDEX(N:N,MATCH($C248,$P:$P,0),1)&lt;&gt;"",$E248*INDEX(N:N,MATCH($C248,$P:$P,0),1)+$G248,""),AND($B248&lt;&gt;"",$D248="COST"),$G248,TRUE,)</f>
        <v>4269.72</v>
      </c>
      <c r="J248" s="134">
        <f t="shared" si="252"/>
        <v>1305.518118</v>
      </c>
      <c r="K248" s="219" t="str">
        <f t="shared" si="3"/>
        <v>iShares USD Treasury Bond 7-10yr UCITS ETF</v>
      </c>
      <c r="L248" s="150">
        <f t="shared" si="4"/>
        <v>622</v>
      </c>
      <c r="M248" s="150">
        <f t="shared" si="5"/>
        <v>-96952.49</v>
      </c>
      <c r="N248" s="139" t="str">
        <f t="array" ref="N248">IF($P248&lt;&gt;"",IF(MAXIFS(Investment!$L:$L,Investment!$D:$D,LEFT($P248,40)&amp;"*"),MAXIFS(Investment!$L:$L,Investment!$D:$D,LEFT($P248,40)&amp;"*"),IFERROR(INDEX(Selection!$H:$H, MATCH($P248,Selection!$F:$F,0))/IF(OR(INDEX(Selection!$C:$C, MATCH($P248,Selection!$F:$F,0))="LN",INDEX(Selection!$C:$C, MATCH($P248,Selection!$F:$F,0))="US"),Investment!$K$7,1),"")),"")</f>
        <v/>
      </c>
      <c r="O248" s="144" t="str">
        <f>IF($P248&lt;&gt;"",IF(MAXIFS(Investment!$AG:$AG,Investment!$D:$D,LEFT($P248,40)&amp;"*"),MAXIFS(Investment!$AG:$AG,Investment!$D:$D,LEFT($P248,40)&amp;"*"),""),"")</f>
        <v/>
      </c>
      <c r="P248" s="328"/>
      <c r="Q248" s="150"/>
      <c r="R248" s="329"/>
    </row>
    <row r="249">
      <c r="A249" s="125">
        <v>43297.0</v>
      </c>
      <c r="B249" s="56" t="s">
        <v>217</v>
      </c>
      <c r="C249" s="56" t="s">
        <v>220</v>
      </c>
      <c r="D249" s="56" t="s">
        <v>222</v>
      </c>
      <c r="E249" s="51">
        <v>3336.0</v>
      </c>
      <c r="F249" s="218">
        <v>7.303</v>
      </c>
      <c r="G249" s="132">
        <v>-24362.81</v>
      </c>
      <c r="H249" s="56" t="s">
        <v>1316</v>
      </c>
      <c r="I249" s="134">
        <f t="shared" ref="I249:J249" si="253">IFS(AND($B249&lt;&gt;"",$E249&lt;&gt;""),IF(INDEX(N:N,MATCH($C249,$P:$P,0),1)&lt;&gt;"",$E249*INDEX(N:N,MATCH($C249,$P:$P,0),1)+$G249,""),AND($B249&lt;&gt;"",$D249="COST"),$G249,TRUE,)</f>
        <v>-427.01</v>
      </c>
      <c r="J249" s="134">
        <f t="shared" si="253"/>
        <v>313.6604941</v>
      </c>
      <c r="K249" s="219" t="str">
        <f t="shared" si="3"/>
        <v>ETFS All Commodities</v>
      </c>
      <c r="L249" s="150">
        <f t="shared" si="4"/>
        <v>8177</v>
      </c>
      <c r="M249" s="150">
        <f t="shared" si="5"/>
        <v>-60085.79</v>
      </c>
      <c r="N249" s="139" t="str">
        <f t="array" ref="N249">IF($P249&lt;&gt;"",IF(MAXIFS(Investment!$L:$L,Investment!$D:$D,LEFT($P249,40)&amp;"*"),MAXIFS(Investment!$L:$L,Investment!$D:$D,LEFT($P249,40)&amp;"*"),IFERROR(INDEX(Selection!$H:$H, MATCH($P249,Selection!$F:$F,0))/IF(OR(INDEX(Selection!$C:$C, MATCH($P249,Selection!$F:$F,0))="LN",INDEX(Selection!$C:$C, MATCH($P249,Selection!$F:$F,0))="US"),Investment!$K$7,1),"")),"")</f>
        <v/>
      </c>
      <c r="O249" s="144" t="str">
        <f>IF($P249&lt;&gt;"",IF(MAXIFS(Investment!$AG:$AG,Investment!$D:$D,LEFT($P249,40)&amp;"*"),MAXIFS(Investment!$AG:$AG,Investment!$D:$D,LEFT($P249,40)&amp;"*"),""),"")</f>
        <v/>
      </c>
      <c r="P249" s="328"/>
      <c r="Q249" s="150"/>
      <c r="R249" s="329"/>
    </row>
    <row r="250">
      <c r="A250" s="125">
        <v>43297.0</v>
      </c>
      <c r="B250" s="56" t="s">
        <v>361</v>
      </c>
      <c r="C250" s="56" t="s">
        <v>830</v>
      </c>
      <c r="D250" s="56" t="s">
        <v>222</v>
      </c>
      <c r="E250" s="56">
        <v>235.0</v>
      </c>
      <c r="F250" s="218">
        <v>101.75</v>
      </c>
      <c r="G250" s="132">
        <v>-23911.25</v>
      </c>
      <c r="H250" s="56" t="s">
        <v>1317</v>
      </c>
      <c r="I250" s="134">
        <f t="shared" ref="I250:J250" si="254">IFS(AND($B250&lt;&gt;"",$E250&lt;&gt;""),IF(INDEX(N:N,MATCH($C250,$P:$P,0),1)&lt;&gt;"",$E250*INDEX(N:N,MATCH($C250,$P:$P,0),1)+$G250,""),AND($B250&lt;&gt;"",$D250="COST"),$G250,TRUE,)</f>
        <v>2016.3</v>
      </c>
      <c r="J250" s="134">
        <f t="shared" si="254"/>
        <v>722.1688235</v>
      </c>
      <c r="K250" s="219" t="str">
        <f t="shared" si="3"/>
        <v>ETFS Physical Gold</v>
      </c>
      <c r="L250" s="150">
        <f t="shared" si="4"/>
        <v>506</v>
      </c>
      <c r="M250" s="150">
        <f t="shared" si="5"/>
        <v>-52182.08</v>
      </c>
      <c r="N250" s="139" t="str">
        <f t="array" ref="N250">IF($P250&lt;&gt;"",IF(MAXIFS(Investment!$L:$L,Investment!$D:$D,LEFT($P250,40)&amp;"*"),MAXIFS(Investment!$L:$L,Investment!$D:$D,LEFT($P250,40)&amp;"*"),IFERROR(INDEX(Selection!$H:$H, MATCH($P250,Selection!$F:$F,0))/IF(OR(INDEX(Selection!$C:$C, MATCH($P250,Selection!$F:$F,0))="LN",INDEX(Selection!$C:$C, MATCH($P250,Selection!$F:$F,0))="US"),Investment!$K$7,1),"")),"")</f>
        <v/>
      </c>
      <c r="O250" s="144" t="str">
        <f>IF($P250&lt;&gt;"",IF(MAXIFS(Investment!$AG:$AG,Investment!$D:$D,LEFT($P250,40)&amp;"*"),MAXIFS(Investment!$AG:$AG,Investment!$D:$D,LEFT($P250,40)&amp;"*"),""),"")</f>
        <v/>
      </c>
      <c r="P250" s="328"/>
      <c r="Q250" s="150"/>
      <c r="R250" s="329"/>
    </row>
    <row r="251">
      <c r="A251" s="125">
        <v>43291.0</v>
      </c>
      <c r="B251" s="56"/>
      <c r="C251" s="56"/>
      <c r="D251" s="56" t="s">
        <v>268</v>
      </c>
      <c r="F251" s="218"/>
      <c r="G251" s="132">
        <v>108000.0</v>
      </c>
      <c r="H251" s="56" t="s">
        <v>1318</v>
      </c>
      <c r="I251" s="134" t="str">
        <f t="shared" ref="I251:J251" si="255">IFS(AND($B251&lt;&gt;"",$E251&lt;&gt;""),IF(INDEX(N:N,MATCH($C251,$P:$P,0),1)&lt;&gt;"",$E251*INDEX(N:N,MATCH($C251,$P:$P,0),1)+$G251,""),AND($B251&lt;&gt;"",$D251="COST"),$G251,TRUE,)</f>
        <v/>
      </c>
      <c r="J251" s="134" t="str">
        <f t="shared" si="255"/>
        <v/>
      </c>
      <c r="K251" s="219" t="str">
        <f t="shared" si="3"/>
        <v/>
      </c>
      <c r="L251" s="150" t="str">
        <f t="shared" si="4"/>
        <v/>
      </c>
      <c r="M251" s="150" t="str">
        <f t="shared" si="5"/>
        <v/>
      </c>
      <c r="N251" s="139" t="str">
        <f t="array" ref="N251">IF($P251&lt;&gt;"",IF(MAXIFS(Investment!$L:$L,Investment!$D:$D,LEFT($P251,40)&amp;"*"),MAXIFS(Investment!$L:$L,Investment!$D:$D,LEFT($P251,40)&amp;"*"),IFERROR(INDEX(Selection!$H:$H, MATCH($P251,Selection!$F:$F,0))/IF(OR(INDEX(Selection!$C:$C, MATCH($P251,Selection!$F:$F,0))="LN",INDEX(Selection!$C:$C, MATCH($P251,Selection!$F:$F,0))="US"),Investment!$K$7,1),"")),"")</f>
        <v/>
      </c>
      <c r="O251" s="144" t="str">
        <f>IF($P251&lt;&gt;"",IF(MAXIFS(Investment!$AG:$AG,Investment!$D:$D,LEFT($P251,40)&amp;"*"),MAXIFS(Investment!$AG:$AG,Investment!$D:$D,LEFT($P251,40)&amp;"*"),""),"")</f>
        <v/>
      </c>
      <c r="P251" s="328"/>
      <c r="Q251" s="150"/>
      <c r="R251" s="329"/>
    </row>
    <row r="252">
      <c r="A252" s="125">
        <v>43287.0</v>
      </c>
      <c r="B252" s="56" t="s">
        <v>307</v>
      </c>
      <c r="C252" s="56" t="s">
        <v>308</v>
      </c>
      <c r="D252" s="56" t="s">
        <v>390</v>
      </c>
      <c r="F252" s="218"/>
      <c r="G252" s="132">
        <v>-72.97</v>
      </c>
      <c r="H252" s="342" t="s">
        <v>1319</v>
      </c>
      <c r="I252" s="134" t="str">
        <f t="shared" ref="I252:J252" si="256">IFS(AND($B252&lt;&gt;"",$E252&lt;&gt;""),IF(INDEX(N:N,MATCH($C252,$P:$P,0),1)&lt;&gt;"",$E252*INDEX(N:N,MATCH($C252,$P:$P,0),1)+$G252,""),AND($B252&lt;&gt;"",$D252="COST"),$G252,TRUE,)</f>
        <v/>
      </c>
      <c r="J252" s="134" t="str">
        <f t="shared" si="256"/>
        <v/>
      </c>
      <c r="K252" s="219" t="str">
        <f t="shared" si="3"/>
        <v>Vanguard S&amp;P 500 UCITS ETF</v>
      </c>
      <c r="L252" s="150">
        <f t="shared" si="4"/>
        <v>4429</v>
      </c>
      <c r="M252" s="150">
        <f t="shared" si="5"/>
        <v>-189831.65</v>
      </c>
      <c r="N252" s="139" t="str">
        <f t="array" ref="N252">IF($P252&lt;&gt;"",IF(MAXIFS(Investment!$L:$L,Investment!$D:$D,LEFT($P252,40)&amp;"*"),MAXIFS(Investment!$L:$L,Investment!$D:$D,LEFT($P252,40)&amp;"*"),IFERROR(INDEX(Selection!$H:$H, MATCH($P252,Selection!$F:$F,0))/IF(OR(INDEX(Selection!$C:$C, MATCH($P252,Selection!$F:$F,0))="LN",INDEX(Selection!$C:$C, MATCH($P252,Selection!$F:$F,0))="US"),Investment!$K$7,1),"")),"")</f>
        <v/>
      </c>
      <c r="O252" s="144" t="str">
        <f>IF($P252&lt;&gt;"",IF(MAXIFS(Investment!$AG:$AG,Investment!$D:$D,LEFT($P252,40)&amp;"*"),MAXIFS(Investment!$AG:$AG,Investment!$D:$D,LEFT($P252,40)&amp;"*"),""),"")</f>
        <v/>
      </c>
      <c r="P252" s="328"/>
      <c r="Q252" s="150"/>
      <c r="R252" s="329"/>
    </row>
    <row r="253">
      <c r="A253" s="125">
        <v>43286.0</v>
      </c>
      <c r="B253" s="56"/>
      <c r="C253" s="56"/>
      <c r="D253" s="56" t="s">
        <v>263</v>
      </c>
      <c r="F253" s="218"/>
      <c r="G253" s="132">
        <v>-276.19</v>
      </c>
      <c r="H253" s="342" t="s">
        <v>1320</v>
      </c>
      <c r="I253" s="134" t="str">
        <f t="shared" ref="I253:J253" si="257">IFS(AND($B253&lt;&gt;"",$E253&lt;&gt;""),IF(INDEX(N:N,MATCH($C253,$P:$P,0),1)&lt;&gt;"",$E253*INDEX(N:N,MATCH($C253,$P:$P,0),1)+$G253,""),AND($B253&lt;&gt;"",$D253="COST"),$G253,TRUE,)</f>
        <v/>
      </c>
      <c r="J253" s="134" t="str">
        <f t="shared" si="257"/>
        <v/>
      </c>
      <c r="K253" s="219" t="str">
        <f t="shared" si="3"/>
        <v/>
      </c>
      <c r="L253" s="150" t="str">
        <f t="shared" si="4"/>
        <v/>
      </c>
      <c r="M253" s="150" t="str">
        <f t="shared" si="5"/>
        <v/>
      </c>
      <c r="N253" s="139" t="str">
        <f t="array" ref="N253">IF($P253&lt;&gt;"",IF(MAXIFS(Investment!$L:$L,Investment!$D:$D,LEFT($P253,40)&amp;"*"),MAXIFS(Investment!$L:$L,Investment!$D:$D,LEFT($P253,40)&amp;"*"),IFERROR(INDEX(Selection!$H:$H, MATCH($P253,Selection!$F:$F,0))/IF(OR(INDEX(Selection!$C:$C, MATCH($P253,Selection!$F:$F,0))="LN",INDEX(Selection!$C:$C, MATCH($P253,Selection!$F:$F,0))="US"),Investment!$K$7,1),"")),"")</f>
        <v/>
      </c>
      <c r="O253" s="144" t="str">
        <f>IF($P253&lt;&gt;"",IF(MAXIFS(Investment!$AG:$AG,Investment!$D:$D,LEFT($P253,40)&amp;"*"),MAXIFS(Investment!$AG:$AG,Investment!$D:$D,LEFT($P253,40)&amp;"*"),""),"")</f>
        <v/>
      </c>
      <c r="P253" s="328"/>
      <c r="Q253" s="150"/>
      <c r="R253" s="329"/>
    </row>
    <row r="254">
      <c r="A254" s="125">
        <v>43286.0</v>
      </c>
      <c r="B254" s="56" t="s">
        <v>307</v>
      </c>
      <c r="C254" s="56" t="s">
        <v>308</v>
      </c>
      <c r="D254" s="56" t="s">
        <v>390</v>
      </c>
      <c r="F254" s="218"/>
      <c r="G254" s="132">
        <v>501.26</v>
      </c>
      <c r="H254" s="342" t="s">
        <v>1321</v>
      </c>
      <c r="I254" s="134" t="str">
        <f t="shared" ref="I254:J254" si="258">IFS(AND($B254&lt;&gt;"",$E254&lt;&gt;""),IF(INDEX(N:N,MATCH($C254,$P:$P,0),1)&lt;&gt;"",$E254*INDEX(N:N,MATCH($C254,$P:$P,0),1)+$G254,""),AND($B254&lt;&gt;"",$D254="COST"),$G254,TRUE,)</f>
        <v/>
      </c>
      <c r="J254" s="134" t="str">
        <f t="shared" si="258"/>
        <v/>
      </c>
      <c r="K254" s="219" t="str">
        <f t="shared" si="3"/>
        <v>Vanguard S&amp;P 500 UCITS ETF</v>
      </c>
      <c r="L254" s="150">
        <f t="shared" si="4"/>
        <v>4429</v>
      </c>
      <c r="M254" s="150">
        <f t="shared" si="5"/>
        <v>-189831.65</v>
      </c>
      <c r="N254" s="139" t="str">
        <f t="array" ref="N254">IF($P254&lt;&gt;"",IF(MAXIFS(Investment!$L:$L,Investment!$D:$D,LEFT($P254,40)&amp;"*"),MAXIFS(Investment!$L:$L,Investment!$D:$D,LEFT($P254,40)&amp;"*"),IFERROR(INDEX(Selection!$H:$H, MATCH($P254,Selection!$F:$F,0))/IF(OR(INDEX(Selection!$C:$C, MATCH($P254,Selection!$F:$F,0))="LN",INDEX(Selection!$C:$C, MATCH($P254,Selection!$F:$F,0))="US"),Investment!$K$7,1),"")),"")</f>
        <v/>
      </c>
      <c r="O254" s="144" t="str">
        <f>IF($P254&lt;&gt;"",IF(MAXIFS(Investment!$AG:$AG,Investment!$D:$D,LEFT($P254,40)&amp;"*"),MAXIFS(Investment!$AG:$AG,Investment!$D:$D,LEFT($P254,40)&amp;"*"),""),"")</f>
        <v/>
      </c>
      <c r="P254" s="328"/>
      <c r="Q254" s="150"/>
      <c r="R254" s="329"/>
    </row>
    <row r="255">
      <c r="A255" s="125">
        <v>43281.0</v>
      </c>
      <c r="B255" s="56" t="s">
        <v>243</v>
      </c>
      <c r="C255" s="56" t="s">
        <v>403</v>
      </c>
      <c r="D255" s="56" t="s">
        <v>390</v>
      </c>
      <c r="F255" s="218"/>
      <c r="G255" s="132">
        <v>-0.04</v>
      </c>
      <c r="H255" s="342" t="s">
        <v>1322</v>
      </c>
      <c r="I255" s="134" t="str">
        <f t="shared" ref="I255:J255" si="259">IFS(AND($B255&lt;&gt;"",$E255&lt;&gt;""),IF(INDEX(N:N,MATCH($C255,$P:$P,0),1)&lt;&gt;"",$E255*INDEX(N:N,MATCH($C255,$P:$P,0),1)+$G255,""),AND($B255&lt;&gt;"",$D255="COST"),$G255,TRUE,)</f>
        <v/>
      </c>
      <c r="J255" s="134" t="str">
        <f t="shared" si="259"/>
        <v/>
      </c>
      <c r="K255" s="219" t="str">
        <f t="shared" si="3"/>
        <v>iShares USD Treasury Bond 20+yr UCITS ETF USD Dist</v>
      </c>
      <c r="L255" s="150">
        <f t="shared" si="4"/>
        <v>0</v>
      </c>
      <c r="M255" s="150">
        <f t="shared" si="5"/>
        <v>27424.23</v>
      </c>
      <c r="N255" s="139" t="str">
        <f t="array" ref="N255">IF($P255&lt;&gt;"",IF(MAXIFS(Investment!$L:$L,Investment!$D:$D,LEFT($P255,40)&amp;"*"),MAXIFS(Investment!$L:$L,Investment!$D:$D,LEFT($P255,40)&amp;"*"),IFERROR(INDEX(Selection!$H:$H, MATCH($P255,Selection!$F:$F,0))/IF(OR(INDEX(Selection!$C:$C, MATCH($P255,Selection!$F:$F,0))="LN",INDEX(Selection!$C:$C, MATCH($P255,Selection!$F:$F,0))="US"),Investment!$K$7,1),"")),"")</f>
        <v/>
      </c>
      <c r="O255" s="144" t="str">
        <f>IF($P255&lt;&gt;"",IF(MAXIFS(Investment!$AG:$AG,Investment!$D:$D,LEFT($P255,40)&amp;"*"),MAXIFS(Investment!$AG:$AG,Investment!$D:$D,LEFT($P255,40)&amp;"*"),""),"")</f>
        <v/>
      </c>
      <c r="P255" s="328"/>
      <c r="Q255" s="150"/>
      <c r="R255" s="329"/>
    </row>
    <row r="256">
      <c r="A256" s="125">
        <v>43280.0</v>
      </c>
      <c r="B256" s="56" t="s">
        <v>243</v>
      </c>
      <c r="C256" s="56" t="s">
        <v>403</v>
      </c>
      <c r="D256" s="56" t="s">
        <v>390</v>
      </c>
      <c r="F256" s="218"/>
      <c r="G256" s="132">
        <v>-329.67</v>
      </c>
      <c r="H256" s="342" t="s">
        <v>1323</v>
      </c>
      <c r="I256" s="134" t="str">
        <f t="shared" ref="I256:J256" si="260">IFS(AND($B256&lt;&gt;"",$E256&lt;&gt;""),IF(INDEX(N:N,MATCH($C256,$P:$P,0),1)&lt;&gt;"",$E256*INDEX(N:N,MATCH($C256,$P:$P,0),1)+$G256,""),AND($B256&lt;&gt;"",$D256="COST"),$G256,TRUE,)</f>
        <v/>
      </c>
      <c r="J256" s="134" t="str">
        <f t="shared" si="260"/>
        <v/>
      </c>
      <c r="K256" s="219" t="str">
        <f t="shared" si="3"/>
        <v>iShares USD Treasury Bond 20+yr UCITS ETF USD Dist</v>
      </c>
      <c r="L256" s="150">
        <f t="shared" si="4"/>
        <v>0</v>
      </c>
      <c r="M256" s="150">
        <f t="shared" si="5"/>
        <v>27424.23</v>
      </c>
      <c r="N256" s="139" t="str">
        <f t="array" ref="N256">IF($P256&lt;&gt;"",IF(MAXIFS(Investment!$L:$L,Investment!$D:$D,LEFT($P256,40)&amp;"*"),MAXIFS(Investment!$L:$L,Investment!$D:$D,LEFT($P256,40)&amp;"*"),IFERROR(INDEX(Selection!$H:$H, MATCH($P256,Selection!$F:$F,0))/IF(OR(INDEX(Selection!$C:$C, MATCH($P256,Selection!$F:$F,0))="LN",INDEX(Selection!$C:$C, MATCH($P256,Selection!$F:$F,0))="US"),Investment!$K$7,1),"")),"")</f>
        <v/>
      </c>
      <c r="O256" s="144" t="str">
        <f>IF($P256&lt;&gt;"",IF(MAXIFS(Investment!$AG:$AG,Investment!$D:$D,LEFT($P256,40)&amp;"*"),MAXIFS(Investment!$AG:$AG,Investment!$D:$D,LEFT($P256,40)&amp;"*"),""),"")</f>
        <v/>
      </c>
      <c r="P256" s="328"/>
      <c r="Q256" s="150"/>
      <c r="R256" s="329"/>
    </row>
    <row r="257">
      <c r="A257" s="125">
        <v>43279.0</v>
      </c>
      <c r="B257" s="56" t="s">
        <v>243</v>
      </c>
      <c r="C257" s="56" t="s">
        <v>403</v>
      </c>
      <c r="D257" s="56" t="s">
        <v>390</v>
      </c>
      <c r="F257" s="218"/>
      <c r="G257" s="132">
        <v>2415.73</v>
      </c>
      <c r="H257" s="342" t="s">
        <v>1324</v>
      </c>
      <c r="I257" s="134" t="str">
        <f t="shared" ref="I257:J257" si="261">IFS(AND($B257&lt;&gt;"",$E257&lt;&gt;""),IF(INDEX(N:N,MATCH($C257,$P:$P,0),1)&lt;&gt;"",$E257*INDEX(N:N,MATCH($C257,$P:$P,0),1)+$G257,""),AND($B257&lt;&gt;"",$D257="COST"),$G257,TRUE,)</f>
        <v/>
      </c>
      <c r="J257" s="134" t="str">
        <f t="shared" si="261"/>
        <v/>
      </c>
      <c r="K257" s="219" t="str">
        <f t="shared" si="3"/>
        <v>iShares USD Treasury Bond 20+yr UCITS ETF USD Dist</v>
      </c>
      <c r="L257" s="150">
        <f t="shared" si="4"/>
        <v>0</v>
      </c>
      <c r="M257" s="150">
        <f t="shared" si="5"/>
        <v>27424.23</v>
      </c>
      <c r="N257" s="139" t="str">
        <f t="array" ref="N257">IF($P257&lt;&gt;"",IF(MAXIFS(Investment!$L:$L,Investment!$D:$D,LEFT($P257,40)&amp;"*"),MAXIFS(Investment!$L:$L,Investment!$D:$D,LEFT($P257,40)&amp;"*"),IFERROR(INDEX(Selection!$H:$H, MATCH($P257,Selection!$F:$F,0))/IF(OR(INDEX(Selection!$C:$C, MATCH($P257,Selection!$F:$F,0))="LN",INDEX(Selection!$C:$C, MATCH($P257,Selection!$F:$F,0))="US"),Investment!$K$7,1),"")),"")</f>
        <v/>
      </c>
      <c r="O257" s="144" t="str">
        <f>IF($P257&lt;&gt;"",IF(MAXIFS(Investment!$AG:$AG,Investment!$D:$D,LEFT($P257,40)&amp;"*"),MAXIFS(Investment!$AG:$AG,Investment!$D:$D,LEFT($P257,40)&amp;"*"),""),"")</f>
        <v/>
      </c>
      <c r="P257" s="328"/>
      <c r="Q257" s="150"/>
      <c r="R257" s="329"/>
    </row>
    <row r="258">
      <c r="A258" s="125">
        <v>43259.0</v>
      </c>
      <c r="B258" s="56" t="s">
        <v>217</v>
      </c>
      <c r="C258" s="343" t="s">
        <v>220</v>
      </c>
      <c r="D258" s="56" t="s">
        <v>222</v>
      </c>
      <c r="E258" s="56">
        <v>897.0</v>
      </c>
      <c r="F258" s="218">
        <v>7.768</v>
      </c>
      <c r="G258" s="132">
        <v>-6967.9</v>
      </c>
      <c r="H258" s="56" t="s">
        <v>1325</v>
      </c>
      <c r="I258" s="134">
        <f t="shared" ref="I258:J258" si="262">IFS(AND($B258&lt;&gt;"",$E258&lt;&gt;""),IF(INDEX(N:N,MATCH($C258,$P:$P,0),1)&lt;&gt;"",$E258*INDEX(N:N,MATCH($C258,$P:$P,0),1)+$G258,""),AND($B258&lt;&gt;"",$D258="COST"),$G258,TRUE,)</f>
        <v>-531.925</v>
      </c>
      <c r="J258" s="134">
        <f t="shared" si="262"/>
        <v>-332.7698941</v>
      </c>
      <c r="K258" s="219" t="str">
        <f t="shared" si="3"/>
        <v>ETFS All Commodities</v>
      </c>
      <c r="L258" s="150">
        <f t="shared" si="4"/>
        <v>8177</v>
      </c>
      <c r="M258" s="150">
        <f t="shared" si="5"/>
        <v>-60085.79</v>
      </c>
      <c r="N258" s="139" t="str">
        <f t="array" ref="N258">IF($P258&lt;&gt;"",IF(MAXIFS(Investment!$L:$L,Investment!$D:$D,LEFT($P258,40)&amp;"*"),MAXIFS(Investment!$L:$L,Investment!$D:$D,LEFT($P258,40)&amp;"*"),IFERROR(INDEX(Selection!$H:$H, MATCH($P258,Selection!$F:$F,0))/IF(OR(INDEX(Selection!$C:$C, MATCH($P258,Selection!$F:$F,0))="LN",INDEX(Selection!$C:$C, MATCH($P258,Selection!$F:$F,0))="US"),Investment!$K$7,1),"")),"")</f>
        <v/>
      </c>
      <c r="O258" s="144" t="str">
        <f>IF($P258&lt;&gt;"",IF(MAXIFS(Investment!$AG:$AG,Investment!$D:$D,LEFT($P258,40)&amp;"*"),MAXIFS(Investment!$AG:$AG,Investment!$D:$D,LEFT($P258,40)&amp;"*"),""),"")</f>
        <v/>
      </c>
      <c r="P258" s="328"/>
      <c r="Q258" s="150"/>
      <c r="R258" s="329"/>
    </row>
    <row r="259">
      <c r="A259" s="125">
        <v>43259.0</v>
      </c>
      <c r="B259" s="56" t="s">
        <v>361</v>
      </c>
      <c r="C259" s="343" t="s">
        <v>830</v>
      </c>
      <c r="D259" s="56" t="s">
        <v>222</v>
      </c>
      <c r="E259" s="56">
        <v>68.0</v>
      </c>
      <c r="F259" s="218">
        <v>105.33</v>
      </c>
      <c r="G259" s="132">
        <v>-7162.44</v>
      </c>
      <c r="H259" s="56" t="s">
        <v>1326</v>
      </c>
      <c r="I259" s="134">
        <f t="shared" ref="I259:J259" si="263">IFS(AND($B259&lt;&gt;"",$E259&lt;&gt;""),IF(INDEX(N:N,MATCH($C259,$P:$P,0),1)&lt;&gt;"",$E259*INDEX(N:N,MATCH($C259,$P:$P,0),1)+$G259,""),AND($B259&lt;&gt;"",$D259="COST"),$G259,TRUE,)</f>
        <v>340</v>
      </c>
      <c r="J259" s="134">
        <f t="shared" si="263"/>
        <v>-34.472</v>
      </c>
      <c r="K259" s="219" t="str">
        <f t="shared" si="3"/>
        <v>ETFS Physical Gold</v>
      </c>
      <c r="L259" s="150">
        <f t="shared" si="4"/>
        <v>506</v>
      </c>
      <c r="M259" s="150">
        <f t="shared" si="5"/>
        <v>-52182.08</v>
      </c>
      <c r="N259" s="139" t="str">
        <f t="array" ref="N259">IF($P259&lt;&gt;"",IF(MAXIFS(Investment!$L:$L,Investment!$D:$D,LEFT($P259,40)&amp;"*"),MAXIFS(Investment!$L:$L,Investment!$D:$D,LEFT($P259,40)&amp;"*"),IFERROR(INDEX(Selection!$H:$H, MATCH($P259,Selection!$F:$F,0))/IF(OR(INDEX(Selection!$C:$C, MATCH($P259,Selection!$F:$F,0))="LN",INDEX(Selection!$C:$C, MATCH($P259,Selection!$F:$F,0))="US"),Investment!$K$7,1),"")),"")</f>
        <v/>
      </c>
      <c r="O259" s="144" t="str">
        <f>IF($P259&lt;&gt;"",IF(MAXIFS(Investment!$AG:$AG,Investment!$D:$D,LEFT($P259,40)&amp;"*"),MAXIFS(Investment!$AG:$AG,Investment!$D:$D,LEFT($P259,40)&amp;"*"),""),"")</f>
        <v/>
      </c>
      <c r="P259" s="328"/>
      <c r="Q259" s="150"/>
      <c r="R259" s="329"/>
    </row>
    <row r="260">
      <c r="A260" s="125">
        <v>43259.0</v>
      </c>
      <c r="B260" s="56" t="s">
        <v>307</v>
      </c>
      <c r="C260" s="343" t="s">
        <v>308</v>
      </c>
      <c r="D260" s="56" t="s">
        <v>222</v>
      </c>
      <c r="E260" s="56">
        <v>630.0</v>
      </c>
      <c r="F260" s="218">
        <v>44.718</v>
      </c>
      <c r="G260" s="132">
        <v>-28172.34</v>
      </c>
      <c r="H260" s="56" t="s">
        <v>1327</v>
      </c>
      <c r="I260" s="134">
        <f t="shared" ref="I260:J260" si="264">IFS(AND($B260&lt;&gt;"",$E260&lt;&gt;""),IF(INDEX(N:N,MATCH($C260,$P:$P,0),1)&lt;&gt;"",$E260*INDEX(N:N,MATCH($C260,$P:$P,0),1)+$G260,""),AND($B260&lt;&gt;"",$D260="COST"),$G260,TRUE,)</f>
        <v>2086.56</v>
      </c>
      <c r="J260" s="134">
        <f t="shared" si="264"/>
        <v>761.6625882</v>
      </c>
      <c r="K260" s="219" t="str">
        <f t="shared" si="3"/>
        <v>Vanguard S&amp;P 500 UCITS ETF</v>
      </c>
      <c r="L260" s="150">
        <f t="shared" si="4"/>
        <v>4429</v>
      </c>
      <c r="M260" s="150">
        <f t="shared" si="5"/>
        <v>-189831.65</v>
      </c>
      <c r="N260" s="139" t="str">
        <f t="array" ref="N260">IF($P260&lt;&gt;"",IF(MAXIFS(Investment!$L:$L,Investment!$D:$D,LEFT($P260,40)&amp;"*"),MAXIFS(Investment!$L:$L,Investment!$D:$D,LEFT($P260,40)&amp;"*"),IFERROR(INDEX(Selection!$H:$H, MATCH($P260,Selection!$F:$F,0))/IF(OR(INDEX(Selection!$C:$C, MATCH($P260,Selection!$F:$F,0))="LN",INDEX(Selection!$C:$C, MATCH($P260,Selection!$F:$F,0))="US"),Investment!$K$7,1),"")),"")</f>
        <v/>
      </c>
      <c r="O260" s="144" t="str">
        <f>IF($P260&lt;&gt;"",IF(MAXIFS(Investment!$AG:$AG,Investment!$D:$D,LEFT($P260,40)&amp;"*"),MAXIFS(Investment!$AG:$AG,Investment!$D:$D,LEFT($P260,40)&amp;"*"),""),"")</f>
        <v/>
      </c>
      <c r="P260" s="328"/>
      <c r="Q260" s="150"/>
      <c r="R260" s="329"/>
    </row>
    <row r="261">
      <c r="A261" s="125">
        <v>43259.0</v>
      </c>
      <c r="B261" s="56" t="s">
        <v>243</v>
      </c>
      <c r="C261" s="56" t="s">
        <v>403</v>
      </c>
      <c r="D261" s="56" t="s">
        <v>263</v>
      </c>
      <c r="E261" s="56"/>
      <c r="F261" s="218"/>
      <c r="G261" s="132">
        <v>-10.09</v>
      </c>
      <c r="H261" s="56" t="s">
        <v>1328</v>
      </c>
      <c r="I261" s="134">
        <f t="shared" ref="I261:J261" si="265">IFS(AND($B261&lt;&gt;"",$E261&lt;&gt;""),IF(INDEX(N:N,MATCH($C261,$P:$P,0),1)&lt;&gt;"",$E261*INDEX(N:N,MATCH($C261,$P:$P,0),1)+$G261,""),AND($B261&lt;&gt;"",$D261="COST"),$G261,TRUE,)</f>
        <v>-10.09</v>
      </c>
      <c r="J261" s="134">
        <f t="shared" si="265"/>
        <v>-10.09</v>
      </c>
      <c r="K261" s="219" t="str">
        <f t="shared" si="3"/>
        <v>iShares USD Treasury Bond 20+yr UCITS ETF USD Dist</v>
      </c>
      <c r="L261" s="150">
        <f t="shared" si="4"/>
        <v>0</v>
      </c>
      <c r="M261" s="150">
        <f t="shared" si="5"/>
        <v>27424.23</v>
      </c>
      <c r="N261" s="139" t="str">
        <f t="array" ref="N261">IF($P261&lt;&gt;"",IF(MAXIFS(Investment!$L:$L,Investment!$D:$D,LEFT($P261,40)&amp;"*"),MAXIFS(Investment!$L:$L,Investment!$D:$D,LEFT($P261,40)&amp;"*"),IFERROR(INDEX(Selection!$H:$H, MATCH($P261,Selection!$F:$F,0))/IF(OR(INDEX(Selection!$C:$C, MATCH($P261,Selection!$F:$F,0))="LN",INDEX(Selection!$C:$C, MATCH($P261,Selection!$F:$F,0))="US"),Investment!$K$7,1),"")),"")</f>
        <v/>
      </c>
      <c r="O261" s="144" t="str">
        <f>IF($P261&lt;&gt;"",IF(MAXIFS(Investment!$AG:$AG,Investment!$D:$D,LEFT($P261,40)&amp;"*"),MAXIFS(Investment!$AG:$AG,Investment!$D:$D,LEFT($P261,40)&amp;"*"),""),"")</f>
        <v/>
      </c>
      <c r="P261" s="328"/>
      <c r="Q261" s="150"/>
      <c r="R261" s="329"/>
    </row>
    <row r="262">
      <c r="A262" s="125">
        <v>43259.0</v>
      </c>
      <c r="B262" s="56" t="s">
        <v>243</v>
      </c>
      <c r="C262" s="56" t="s">
        <v>403</v>
      </c>
      <c r="D262" s="56" t="s">
        <v>222</v>
      </c>
      <c r="E262" s="51">
        <v>10452.0</v>
      </c>
      <c r="F262" s="218">
        <v>3.869</v>
      </c>
      <c r="G262" s="132">
        <v>-40435.8</v>
      </c>
      <c r="H262" s="56" t="s">
        <v>1329</v>
      </c>
      <c r="I262" s="134">
        <f t="shared" ref="I262:J262" si="266">IFS(AND($B262&lt;&gt;"",$E262&lt;&gt;""),IF(INDEX(N:N,MATCH($C262,$P:$P,0),1)&lt;&gt;"",$E262*INDEX(N:N,MATCH($C262,$P:$P,0),1)+$G262,""),AND($B262&lt;&gt;"",$D262="COST"),$G262,TRUE,)</f>
        <v>3617.2896</v>
      </c>
      <c r="J262" s="134">
        <f t="shared" si="266"/>
        <v>538.6550494</v>
      </c>
      <c r="K262" s="219" t="str">
        <f t="shared" si="3"/>
        <v>iShares USD Treasury Bond 20+yr UCITS ETF USD Dist</v>
      </c>
      <c r="L262" s="150">
        <f t="shared" si="4"/>
        <v>0</v>
      </c>
      <c r="M262" s="150">
        <f t="shared" si="5"/>
        <v>27424.23</v>
      </c>
      <c r="N262" s="139" t="str">
        <f t="array" ref="N262">IF($P262&lt;&gt;"",IF(MAXIFS(Investment!$L:$L,Investment!$D:$D,LEFT($P262,40)&amp;"*"),MAXIFS(Investment!$L:$L,Investment!$D:$D,LEFT($P262,40)&amp;"*"),IFERROR(INDEX(Selection!$H:$H, MATCH($P262,Selection!$F:$F,0))/IF(OR(INDEX(Selection!$C:$C, MATCH($P262,Selection!$F:$F,0))="LN",INDEX(Selection!$C:$C, MATCH($P262,Selection!$F:$F,0))="US"),Investment!$K$7,1),"")),"")</f>
        <v/>
      </c>
      <c r="O262" s="144" t="str">
        <f>IF($P262&lt;&gt;"",IF(MAXIFS(Investment!$AG:$AG,Investment!$D:$D,LEFT($P262,40)&amp;"*"),MAXIFS(Investment!$AG:$AG,Investment!$D:$D,LEFT($P262,40)&amp;"*"),""),"")</f>
        <v/>
      </c>
      <c r="P262" s="328"/>
      <c r="Q262" s="150"/>
      <c r="R262" s="329"/>
    </row>
    <row r="263">
      <c r="A263" s="125">
        <v>43259.0</v>
      </c>
      <c r="B263" s="56" t="s">
        <v>277</v>
      </c>
      <c r="C263" s="56" t="s">
        <v>278</v>
      </c>
      <c r="D263" s="56" t="s">
        <v>222</v>
      </c>
      <c r="E263" s="56">
        <v>93.0</v>
      </c>
      <c r="F263" s="218">
        <v>159.71</v>
      </c>
      <c r="G263" s="132">
        <v>-14853.03</v>
      </c>
      <c r="H263" s="56" t="s">
        <v>1330</v>
      </c>
      <c r="I263" s="134">
        <f t="shared" ref="I263:J263" si="267">IFS(AND($B263&lt;&gt;"",$E263&lt;&gt;""),IF(INDEX(N:N,MATCH($C263,$P:$P,0),1)&lt;&gt;"",$E263*INDEX(N:N,MATCH($C263,$P:$P,0),1)+$G263,""),AND($B263&lt;&gt;"",$D263="COST"),$G263,TRUE,)</f>
        <v>1560.54</v>
      </c>
      <c r="J263" s="134">
        <f t="shared" si="267"/>
        <v>550.7569412</v>
      </c>
      <c r="K263" s="219" t="str">
        <f t="shared" si="3"/>
        <v>iShares USD Treasury Bond 7-10yr UCITS ETF</v>
      </c>
      <c r="L263" s="150">
        <f t="shared" si="4"/>
        <v>622</v>
      </c>
      <c r="M263" s="150">
        <f t="shared" si="5"/>
        <v>-96952.49</v>
      </c>
      <c r="N263" s="139" t="str">
        <f t="array" ref="N263">IF($P263&lt;&gt;"",IF(MAXIFS(Investment!$L:$L,Investment!$D:$D,LEFT($P263,40)&amp;"*"),MAXIFS(Investment!$L:$L,Investment!$D:$D,LEFT($P263,40)&amp;"*"),IFERROR(INDEX(Selection!$H:$H, MATCH($P263,Selection!$F:$F,0))/IF(OR(INDEX(Selection!$C:$C, MATCH($P263,Selection!$F:$F,0))="LN",INDEX(Selection!$C:$C, MATCH($P263,Selection!$F:$F,0))="US"),Investment!$K$7,1),"")),"")</f>
        <v/>
      </c>
      <c r="O263" s="144" t="str">
        <f>IF($P263&lt;&gt;"",IF(MAXIFS(Investment!$AG:$AG,Investment!$D:$D,LEFT($P263,40)&amp;"*"),MAXIFS(Investment!$AG:$AG,Investment!$D:$D,LEFT($P263,40)&amp;"*"),""),"")</f>
        <v/>
      </c>
      <c r="P263" s="328"/>
      <c r="Q263" s="150"/>
      <c r="R263" s="329"/>
    </row>
    <row r="264">
      <c r="A264" s="125">
        <v>43258.0</v>
      </c>
      <c r="B264" s="56"/>
      <c r="C264" s="343"/>
      <c r="D264" s="56" t="s">
        <v>268</v>
      </c>
      <c r="E264" s="56"/>
      <c r="F264" s="218"/>
      <c r="G264" s="132">
        <v>25000.0</v>
      </c>
      <c r="H264" s="56" t="s">
        <v>1331</v>
      </c>
      <c r="I264" s="134" t="str">
        <f t="shared" ref="I264:J264" si="268">IFS(AND($B264&lt;&gt;"",$E264&lt;&gt;""),IF(INDEX(N:N,MATCH($C264,$P:$P,0),1)&lt;&gt;"",$E264*INDEX(N:N,MATCH($C264,$P:$P,0),1)+$G264,""),AND($B264&lt;&gt;"",$D264="COST"),$G264,TRUE,)</f>
        <v/>
      </c>
      <c r="J264" s="134" t="str">
        <f t="shared" si="268"/>
        <v/>
      </c>
      <c r="K264" s="219" t="str">
        <f t="shared" si="3"/>
        <v/>
      </c>
      <c r="L264" s="150" t="str">
        <f t="shared" si="4"/>
        <v/>
      </c>
      <c r="M264" s="150" t="str">
        <f t="shared" si="5"/>
        <v/>
      </c>
      <c r="N264" s="139" t="str">
        <f t="array" ref="N264">IF($P264&lt;&gt;"",IF(MAXIFS(Investment!$L:$L,Investment!$D:$D,LEFT($P264,40)&amp;"*"),MAXIFS(Investment!$L:$L,Investment!$D:$D,LEFT($P264,40)&amp;"*"),IFERROR(INDEX(Selection!$H:$H, MATCH($P264,Selection!$F:$F,0))/IF(OR(INDEX(Selection!$C:$C, MATCH($P264,Selection!$F:$F,0))="LN",INDEX(Selection!$C:$C, MATCH($P264,Selection!$F:$F,0))="US"),Investment!$K$7,1),"")),"")</f>
        <v/>
      </c>
      <c r="O264" s="144" t="str">
        <f>IF($P264&lt;&gt;"",IF(MAXIFS(Investment!$AG:$AG,Investment!$D:$D,LEFT($P264,40)&amp;"*"),MAXIFS(Investment!$AG:$AG,Investment!$D:$D,LEFT($P264,40)&amp;"*"),""),"")</f>
        <v/>
      </c>
      <c r="P264" s="328"/>
      <c r="Q264" s="150"/>
      <c r="R264" s="329"/>
    </row>
    <row r="265">
      <c r="A265" s="125">
        <v>43257.0</v>
      </c>
      <c r="B265" s="56"/>
      <c r="C265" s="343"/>
      <c r="D265" s="56" t="s">
        <v>263</v>
      </c>
      <c r="E265" s="56"/>
      <c r="F265" s="218"/>
      <c r="G265" s="132">
        <v>-2.5</v>
      </c>
      <c r="H265" s="56" t="s">
        <v>301</v>
      </c>
      <c r="I265" s="134" t="str">
        <f t="shared" ref="I265:J265" si="269">IFS(AND($B265&lt;&gt;"",$E265&lt;&gt;""),IF(INDEX(N:N,MATCH($C265,$P:$P,0),1)&lt;&gt;"",$E265*INDEX(N:N,MATCH($C265,$P:$P,0),1)+$G265,""),AND($B265&lt;&gt;"",$D265="COST"),$G265,TRUE,)</f>
        <v/>
      </c>
      <c r="J265" s="134" t="str">
        <f t="shared" si="269"/>
        <v/>
      </c>
      <c r="K265" s="219" t="str">
        <f t="shared" si="3"/>
        <v/>
      </c>
      <c r="L265" s="150" t="str">
        <f t="shared" si="4"/>
        <v/>
      </c>
      <c r="M265" s="150" t="str">
        <f t="shared" si="5"/>
        <v/>
      </c>
      <c r="N265" s="139" t="str">
        <f t="array" ref="N265">IF($P265&lt;&gt;"",IF(MAXIFS(Investment!$L:$L,Investment!$D:$D,LEFT($P265,40)&amp;"*"),MAXIFS(Investment!$L:$L,Investment!$D:$D,LEFT($P265,40)&amp;"*"),IFERROR(INDEX(Selection!$H:$H, MATCH($P265,Selection!$F:$F,0))/IF(OR(INDEX(Selection!$C:$C, MATCH($P265,Selection!$F:$F,0))="LN",INDEX(Selection!$C:$C, MATCH($P265,Selection!$F:$F,0))="US"),Investment!$K$7,1),"")),"")</f>
        <v/>
      </c>
      <c r="O265" s="144" t="str">
        <f>IF($P265&lt;&gt;"",IF(MAXIFS(Investment!$AG:$AG,Investment!$D:$D,LEFT($P265,40)&amp;"*"),MAXIFS(Investment!$AG:$AG,Investment!$D:$D,LEFT($P265,40)&amp;"*"),""),"")</f>
        <v/>
      </c>
      <c r="P265" s="328"/>
      <c r="Q265" s="150"/>
      <c r="R265" s="329"/>
    </row>
    <row r="266">
      <c r="A266" s="125">
        <v>43256.0</v>
      </c>
      <c r="B266" s="56"/>
      <c r="C266" s="343"/>
      <c r="D266" s="56" t="s">
        <v>263</v>
      </c>
      <c r="E266" s="56"/>
      <c r="F266" s="218"/>
      <c r="G266" s="132">
        <v>-161.46</v>
      </c>
      <c r="H266" s="56" t="s">
        <v>1332</v>
      </c>
      <c r="I266" s="134" t="str">
        <f t="shared" ref="I266:J266" si="270">IFS(AND($B266&lt;&gt;"",$E266&lt;&gt;""),IF(INDEX(N:N,MATCH($C266,$P:$P,0),1)&lt;&gt;"",$E266*INDEX(N:N,MATCH($C266,$P:$P,0),1)+$G266,""),AND($B266&lt;&gt;"",$D266="COST"),$G266,TRUE,)</f>
        <v/>
      </c>
      <c r="J266" s="134" t="str">
        <f t="shared" si="270"/>
        <v/>
      </c>
      <c r="K266" s="219" t="str">
        <f t="shared" si="3"/>
        <v/>
      </c>
      <c r="L266" s="150" t="str">
        <f t="shared" si="4"/>
        <v/>
      </c>
      <c r="M266" s="150" t="str">
        <f t="shared" si="5"/>
        <v/>
      </c>
      <c r="N266" s="139" t="str">
        <f t="array" ref="N266">IF($P266&lt;&gt;"",IF(MAXIFS(Investment!$L:$L,Investment!$D:$D,LEFT($P266,40)&amp;"*"),MAXIFS(Investment!$L:$L,Investment!$D:$D,LEFT($P266,40)&amp;"*"),IFERROR(INDEX(Selection!$H:$H, MATCH($P266,Selection!$F:$F,0))/IF(OR(INDEX(Selection!$C:$C, MATCH($P266,Selection!$F:$F,0))="LN",INDEX(Selection!$C:$C, MATCH($P266,Selection!$F:$F,0))="US"),Investment!$K$7,1),"")),"")</f>
        <v/>
      </c>
      <c r="O266" s="144" t="str">
        <f>IF($P266&lt;&gt;"",IF(MAXIFS(Investment!$AG:$AG,Investment!$D:$D,LEFT($P266,40)&amp;"*"),MAXIFS(Investment!$AG:$AG,Investment!$D:$D,LEFT($P266,40)&amp;"*"),""),"")</f>
        <v/>
      </c>
      <c r="P266" s="328"/>
      <c r="Q266" s="150"/>
      <c r="R266" s="329"/>
    </row>
    <row r="267">
      <c r="A267" s="125">
        <v>43256.0</v>
      </c>
      <c r="B267" s="56" t="s">
        <v>217</v>
      </c>
      <c r="C267" s="343" t="s">
        <v>220</v>
      </c>
      <c r="D267" s="56" t="s">
        <v>222</v>
      </c>
      <c r="E267" s="56">
        <v>163.0</v>
      </c>
      <c r="F267" s="218">
        <v>7.8</v>
      </c>
      <c r="G267" s="132">
        <v>-1271.4</v>
      </c>
      <c r="H267" s="56" t="s">
        <v>1333</v>
      </c>
      <c r="I267" s="134">
        <f t="shared" ref="I267:J267" si="271">IFS(AND($B267&lt;&gt;"",$E267&lt;&gt;""),IF(INDEX(N:N,MATCH($C267,$P:$P,0),1)&lt;&gt;"",$E267*INDEX(N:N,MATCH($C267,$P:$P,0),1)+$G267,""),AND($B267&lt;&gt;"",$D267="COST"),$G267,TRUE,)</f>
        <v>-101.875</v>
      </c>
      <c r="J267" s="134">
        <f t="shared" si="271"/>
        <v>-65.68516471</v>
      </c>
      <c r="K267" s="219" t="str">
        <f t="shared" si="3"/>
        <v>ETFS All Commodities</v>
      </c>
      <c r="L267" s="150">
        <f t="shared" si="4"/>
        <v>8177</v>
      </c>
      <c r="M267" s="150">
        <f t="shared" si="5"/>
        <v>-60085.79</v>
      </c>
      <c r="N267" s="139" t="str">
        <f t="array" ref="N267">IF($P267&lt;&gt;"",IF(MAXIFS(Investment!$L:$L,Investment!$D:$D,LEFT($P267,40)&amp;"*"),MAXIFS(Investment!$L:$L,Investment!$D:$D,LEFT($P267,40)&amp;"*"),IFERROR(INDEX(Selection!$H:$H, MATCH($P267,Selection!$F:$F,0))/IF(OR(INDEX(Selection!$C:$C, MATCH($P267,Selection!$F:$F,0))="LN",INDEX(Selection!$C:$C, MATCH($P267,Selection!$F:$F,0))="US"),Investment!$K$7,1),"")),"")</f>
        <v/>
      </c>
      <c r="O267" s="144" t="str">
        <f>IF($P267&lt;&gt;"",IF(MAXIFS(Investment!$AG:$AG,Investment!$D:$D,LEFT($P267,40)&amp;"*"),MAXIFS(Investment!$AG:$AG,Investment!$D:$D,LEFT($P267,40)&amp;"*"),""),"")</f>
        <v/>
      </c>
      <c r="P267" s="328"/>
      <c r="Q267" s="150"/>
      <c r="R267" s="329"/>
    </row>
    <row r="268">
      <c r="A268" s="125">
        <v>43255.0</v>
      </c>
      <c r="B268" s="56" t="s">
        <v>243</v>
      </c>
      <c r="C268" s="56" t="s">
        <v>403</v>
      </c>
      <c r="D268" s="56" t="s">
        <v>263</v>
      </c>
      <c r="F268" s="218"/>
      <c r="G268" s="132">
        <v>-3.82</v>
      </c>
      <c r="H268" s="56" t="s">
        <v>1334</v>
      </c>
      <c r="I268" s="134">
        <f t="shared" ref="I268:J268" si="272">IFS(AND($B268&lt;&gt;"",$E268&lt;&gt;""),IF(INDEX(N:N,MATCH($C268,$P:$P,0),1)&lt;&gt;"",$E268*INDEX(N:N,MATCH($C268,$P:$P,0),1)+$G268,""),AND($B268&lt;&gt;"",$D268="COST"),$G268,TRUE,)</f>
        <v>-3.82</v>
      </c>
      <c r="J268" s="134">
        <f t="shared" si="272"/>
        <v>-3.82</v>
      </c>
      <c r="K268" s="219" t="str">
        <f t="shared" si="3"/>
        <v>iShares USD Treasury Bond 20+yr UCITS ETF USD Dist</v>
      </c>
      <c r="L268" s="150">
        <f t="shared" si="4"/>
        <v>0</v>
      </c>
      <c r="M268" s="150">
        <f t="shared" si="5"/>
        <v>27424.23</v>
      </c>
      <c r="N268" s="139" t="str">
        <f t="array" ref="N268">IF($P268&lt;&gt;"",IF(MAXIFS(Investment!$L:$L,Investment!$D:$D,LEFT($P268,40)&amp;"*"),MAXIFS(Investment!$L:$L,Investment!$D:$D,LEFT($P268,40)&amp;"*"),IFERROR(INDEX(Selection!$H:$H, MATCH($P268,Selection!$F:$F,0))/IF(OR(INDEX(Selection!$C:$C, MATCH($P268,Selection!$F:$F,0))="LN",INDEX(Selection!$C:$C, MATCH($P268,Selection!$F:$F,0))="US"),Investment!$K$7,1),"")),"")</f>
        <v/>
      </c>
      <c r="O268" s="144" t="str">
        <f>IF($P268&lt;&gt;"",IF(MAXIFS(Investment!$AG:$AG,Investment!$D:$D,LEFT($P268,40)&amp;"*"),MAXIFS(Investment!$AG:$AG,Investment!$D:$D,LEFT($P268,40)&amp;"*"),""),"")</f>
        <v/>
      </c>
      <c r="P268" s="328"/>
      <c r="Q268" s="150"/>
      <c r="R268" s="329"/>
    </row>
    <row r="269">
      <c r="A269" s="125">
        <v>43255.0</v>
      </c>
      <c r="B269" s="56" t="s">
        <v>243</v>
      </c>
      <c r="C269" s="56" t="s">
        <v>403</v>
      </c>
      <c r="D269" s="56" t="s">
        <v>222</v>
      </c>
      <c r="E269" s="51">
        <v>2338.0</v>
      </c>
      <c r="F269" s="218">
        <v>3.882</v>
      </c>
      <c r="G269" s="132">
        <v>-9076.29</v>
      </c>
      <c r="H269" s="56" t="s">
        <v>1335</v>
      </c>
      <c r="I269" s="134">
        <f t="shared" ref="I269:J269" si="273">IFS(AND($B269&lt;&gt;"",$E269&lt;&gt;""),IF(INDEX(N:N,MATCH($C269,$P:$P,0),1)&lt;&gt;"",$E269*INDEX(N:N,MATCH($C269,$P:$P,0),1)+$G269,""),AND($B269&lt;&gt;"",$D269="COST"),$G269,TRUE,)</f>
        <v>777.9124</v>
      </c>
      <c r="J269" s="134">
        <f t="shared" si="273"/>
        <v>89.25495843</v>
      </c>
      <c r="K269" s="219" t="str">
        <f t="shared" si="3"/>
        <v>iShares USD Treasury Bond 20+yr UCITS ETF USD Dist</v>
      </c>
      <c r="L269" s="150">
        <f t="shared" si="4"/>
        <v>0</v>
      </c>
      <c r="M269" s="150">
        <f t="shared" si="5"/>
        <v>27424.23</v>
      </c>
      <c r="N269" s="139" t="str">
        <f t="array" ref="N269">IF($P269&lt;&gt;"",IF(MAXIFS(Investment!$L:$L,Investment!$D:$D,LEFT($P269,40)&amp;"*"),MAXIFS(Investment!$L:$L,Investment!$D:$D,LEFT($P269,40)&amp;"*"),IFERROR(INDEX(Selection!$H:$H, MATCH($P269,Selection!$F:$F,0))/IF(OR(INDEX(Selection!$C:$C, MATCH($P269,Selection!$F:$F,0))="LN",INDEX(Selection!$C:$C, MATCH($P269,Selection!$F:$F,0))="US"),Investment!$K$7,1),"")),"")</f>
        <v/>
      </c>
      <c r="O269" s="144" t="str">
        <f>IF($P269&lt;&gt;"",IF(MAXIFS(Investment!$AG:$AG,Investment!$D:$D,LEFT($P269,40)&amp;"*"),MAXIFS(Investment!$AG:$AG,Investment!$D:$D,LEFT($P269,40)&amp;"*"),""),"")</f>
        <v/>
      </c>
      <c r="P269" s="328"/>
      <c r="Q269" s="150"/>
      <c r="R269" s="329"/>
    </row>
    <row r="270">
      <c r="A270" s="125">
        <v>43255.0</v>
      </c>
      <c r="B270" s="56" t="s">
        <v>217</v>
      </c>
      <c r="C270" s="343" t="s">
        <v>220</v>
      </c>
      <c r="D270" s="56" t="s">
        <v>222</v>
      </c>
      <c r="E270" s="56">
        <v>479.0</v>
      </c>
      <c r="F270" s="218">
        <v>7.801</v>
      </c>
      <c r="G270" s="132">
        <v>-3736.68</v>
      </c>
      <c r="H270" s="56" t="s">
        <v>1336</v>
      </c>
      <c r="I270" s="134">
        <f t="shared" ref="I270:J270" si="274">IFS(AND($B270&lt;&gt;"",$E270&lt;&gt;""),IF(INDEX(N:N,MATCH($C270,$P:$P,0),1)&lt;&gt;"",$E270*INDEX(N:N,MATCH($C270,$P:$P,0),1)+$G270,""),AND($B270&lt;&gt;"",$D270="COST"),$G270,TRUE,)</f>
        <v>-299.855</v>
      </c>
      <c r="J270" s="134">
        <f t="shared" si="274"/>
        <v>-193.5057294</v>
      </c>
      <c r="K270" s="219" t="str">
        <f t="shared" si="3"/>
        <v>ETFS All Commodities</v>
      </c>
      <c r="L270" s="150">
        <f t="shared" si="4"/>
        <v>8177</v>
      </c>
      <c r="M270" s="150">
        <f t="shared" si="5"/>
        <v>-60085.79</v>
      </c>
      <c r="N270" s="139" t="str">
        <f t="array" ref="N270">IF($P270&lt;&gt;"",IF(MAXIFS(Investment!$L:$L,Investment!$D:$D,LEFT($P270,40)&amp;"*"),MAXIFS(Investment!$L:$L,Investment!$D:$D,LEFT($P270,40)&amp;"*"),IFERROR(INDEX(Selection!$H:$H, MATCH($P270,Selection!$F:$F,0))/IF(OR(INDEX(Selection!$C:$C, MATCH($P270,Selection!$F:$F,0))="LN",INDEX(Selection!$C:$C, MATCH($P270,Selection!$F:$F,0))="US"),Investment!$K$7,1),"")),"")</f>
        <v/>
      </c>
      <c r="O270" s="144" t="str">
        <f>IF($P270&lt;&gt;"",IF(MAXIFS(Investment!$AG:$AG,Investment!$D:$D,LEFT($P270,40)&amp;"*"),MAXIFS(Investment!$AG:$AG,Investment!$D:$D,LEFT($P270,40)&amp;"*"),""),"")</f>
        <v/>
      </c>
      <c r="P270" s="328"/>
      <c r="Q270" s="150"/>
      <c r="R270" s="329"/>
    </row>
    <row r="271">
      <c r="A271" s="125">
        <v>43255.0</v>
      </c>
      <c r="B271" s="56" t="s">
        <v>277</v>
      </c>
      <c r="C271" s="56" t="s">
        <v>278</v>
      </c>
      <c r="D271" s="56" t="s">
        <v>222</v>
      </c>
      <c r="E271" s="56">
        <v>23.0</v>
      </c>
      <c r="F271" s="218">
        <v>159.87</v>
      </c>
      <c r="G271" s="132">
        <v>-3677.01</v>
      </c>
      <c r="H271" s="56" t="s">
        <v>1337</v>
      </c>
      <c r="I271" s="134">
        <f t="shared" ref="I271:J271" si="275">IFS(AND($B271&lt;&gt;"",$E271&lt;&gt;""),IF(INDEX(N:N,MATCH($C271,$P:$P,0),1)&lt;&gt;"",$E271*INDEX(N:N,MATCH($C271,$P:$P,0),1)+$G271,""),AND($B271&lt;&gt;"",$D271="COST"),$G271,TRUE,)</f>
        <v>382.26</v>
      </c>
      <c r="J271" s="134">
        <f t="shared" si="275"/>
        <v>132.5287059</v>
      </c>
      <c r="K271" s="219" t="str">
        <f t="shared" si="3"/>
        <v>iShares USD Treasury Bond 7-10yr UCITS ETF</v>
      </c>
      <c r="L271" s="150">
        <f t="shared" si="4"/>
        <v>622</v>
      </c>
      <c r="M271" s="150">
        <f t="shared" si="5"/>
        <v>-96952.49</v>
      </c>
      <c r="N271" s="139" t="str">
        <f t="array" ref="N271">IF($P271&lt;&gt;"",IF(MAXIFS(Investment!$L:$L,Investment!$D:$D,LEFT($P271,40)&amp;"*"),MAXIFS(Investment!$L:$L,Investment!$D:$D,LEFT($P271,40)&amp;"*"),IFERROR(INDEX(Selection!$H:$H, MATCH($P271,Selection!$F:$F,0))/IF(OR(INDEX(Selection!$C:$C, MATCH($P271,Selection!$F:$F,0))="LN",INDEX(Selection!$C:$C, MATCH($P271,Selection!$F:$F,0))="US"),Investment!$K$7,1),"")),"")</f>
        <v/>
      </c>
      <c r="O271" s="144" t="str">
        <f>IF($P271&lt;&gt;"",IF(MAXIFS(Investment!$AG:$AG,Investment!$D:$D,LEFT($P271,40)&amp;"*"),MAXIFS(Investment!$AG:$AG,Investment!$D:$D,LEFT($P271,40)&amp;"*"),""),"")</f>
        <v/>
      </c>
      <c r="P271" s="328"/>
      <c r="Q271" s="150"/>
      <c r="R271" s="329"/>
    </row>
    <row r="272">
      <c r="A272" s="125">
        <v>43255.0</v>
      </c>
      <c r="B272" s="56" t="s">
        <v>307</v>
      </c>
      <c r="C272" s="343" t="s">
        <v>308</v>
      </c>
      <c r="D272" s="56" t="s">
        <v>222</v>
      </c>
      <c r="E272" s="56">
        <v>93.0</v>
      </c>
      <c r="F272" s="218">
        <v>44.55</v>
      </c>
      <c r="G272" s="132">
        <v>-4143.15</v>
      </c>
      <c r="H272" s="56" t="s">
        <v>1338</v>
      </c>
      <c r="I272" s="134">
        <f t="shared" ref="I272:J272" si="276">IFS(AND($B272&lt;&gt;"",$E272&lt;&gt;""),IF(INDEX(N:N,MATCH($C272,$P:$P,0),1)&lt;&gt;"",$E272*INDEX(N:N,MATCH($C272,$P:$P,0),1)+$G272,""),AND($B272&lt;&gt;"",$D272="COST"),$G272,TRUE,)</f>
        <v>323.64</v>
      </c>
      <c r="J272" s="134">
        <f t="shared" si="276"/>
        <v>128.0599059</v>
      </c>
      <c r="K272" s="219" t="str">
        <f t="shared" si="3"/>
        <v>Vanguard S&amp;P 500 UCITS ETF</v>
      </c>
      <c r="L272" s="150">
        <f t="shared" si="4"/>
        <v>4429</v>
      </c>
      <c r="M272" s="150">
        <f t="shared" si="5"/>
        <v>-189831.65</v>
      </c>
      <c r="N272" s="139" t="str">
        <f t="array" ref="N272">IF($P272&lt;&gt;"",IF(MAXIFS(Investment!$L:$L,Investment!$D:$D,LEFT($P272,40)&amp;"*"),MAXIFS(Investment!$L:$L,Investment!$D:$D,LEFT($P272,40)&amp;"*"),IFERROR(INDEX(Selection!$H:$H, MATCH($P272,Selection!$F:$F,0))/IF(OR(INDEX(Selection!$C:$C, MATCH($P272,Selection!$F:$F,0))="LN",INDEX(Selection!$C:$C, MATCH($P272,Selection!$F:$F,0))="US"),Investment!$K$7,1),"")),"")</f>
        <v/>
      </c>
      <c r="O272" s="144" t="str">
        <f>IF($P272&lt;&gt;"",IF(MAXIFS(Investment!$AG:$AG,Investment!$D:$D,LEFT($P272,40)&amp;"*"),MAXIFS(Investment!$AG:$AG,Investment!$D:$D,LEFT($P272,40)&amp;"*"),""),"")</f>
        <v/>
      </c>
      <c r="P272" s="328"/>
      <c r="Q272" s="150"/>
      <c r="R272" s="329"/>
    </row>
    <row r="273">
      <c r="A273" s="125">
        <v>43255.0</v>
      </c>
      <c r="B273" s="56" t="s">
        <v>243</v>
      </c>
      <c r="C273" s="56" t="s">
        <v>403</v>
      </c>
      <c r="D273" s="56" t="s">
        <v>263</v>
      </c>
      <c r="F273" s="218"/>
      <c r="G273" s="132">
        <v>-2.96</v>
      </c>
      <c r="H273" s="56" t="s">
        <v>1339</v>
      </c>
      <c r="I273" s="134">
        <f t="shared" ref="I273:J273" si="277">IFS(AND($B273&lt;&gt;"",$E273&lt;&gt;""),IF(INDEX(N:N,MATCH($C273,$P:$P,0),1)&lt;&gt;"",$E273*INDEX(N:N,MATCH($C273,$P:$P,0),1)+$G273,""),AND($B273&lt;&gt;"",$D273="COST"),$G273,TRUE,)</f>
        <v>-2.96</v>
      </c>
      <c r="J273" s="134">
        <f t="shared" si="277"/>
        <v>-2.96</v>
      </c>
      <c r="K273" s="219" t="str">
        <f t="shared" si="3"/>
        <v>iShares USD Treasury Bond 20+yr UCITS ETF USD Dist</v>
      </c>
      <c r="L273" s="150">
        <f t="shared" si="4"/>
        <v>0</v>
      </c>
      <c r="M273" s="150">
        <f t="shared" si="5"/>
        <v>27424.23</v>
      </c>
      <c r="N273" s="139" t="str">
        <f t="array" ref="N273">IF($P273&lt;&gt;"",IF(MAXIFS(Investment!$L:$L,Investment!$D:$D,LEFT($P273,40)&amp;"*"),MAXIFS(Investment!$L:$L,Investment!$D:$D,LEFT($P273,40)&amp;"*"),IFERROR(INDEX(Selection!$H:$H, MATCH($P273,Selection!$F:$F,0))/IF(OR(INDEX(Selection!$C:$C, MATCH($P273,Selection!$F:$F,0))="LN",INDEX(Selection!$C:$C, MATCH($P273,Selection!$F:$F,0))="US"),Investment!$K$7,1),"")),"")</f>
        <v/>
      </c>
      <c r="O273" s="144" t="str">
        <f>IF($P273&lt;&gt;"",IF(MAXIFS(Investment!$AG:$AG,Investment!$D:$D,LEFT($P273,40)&amp;"*"),MAXIFS(Investment!$AG:$AG,Investment!$D:$D,LEFT($P273,40)&amp;"*"),""),"")</f>
        <v/>
      </c>
      <c r="P273" s="328"/>
      <c r="Q273" s="150"/>
      <c r="R273" s="329"/>
    </row>
    <row r="274">
      <c r="A274" s="125">
        <v>43255.0</v>
      </c>
      <c r="B274" s="56" t="s">
        <v>243</v>
      </c>
      <c r="C274" s="56" t="s">
        <v>403</v>
      </c>
      <c r="D274" s="56" t="s">
        <v>222</v>
      </c>
      <c r="E274" s="51">
        <v>1235.0</v>
      </c>
      <c r="F274" s="218">
        <v>3.881</v>
      </c>
      <c r="G274" s="132">
        <v>-4793.1</v>
      </c>
      <c r="H274" s="56" t="s">
        <v>1340</v>
      </c>
      <c r="I274" s="134">
        <f t="shared" ref="I274:J274" si="278">IFS(AND($B274&lt;&gt;"",$E274&lt;&gt;""),IF(INDEX(N:N,MATCH($C274,$P:$P,0),1)&lt;&gt;"",$E274*INDEX(N:N,MATCH($C274,$P:$P,0),1)+$G274,""),AND($B274&lt;&gt;"",$D274="COST"),$G274,TRUE,)</f>
        <v>412.178</v>
      </c>
      <c r="J274" s="134">
        <f t="shared" si="278"/>
        <v>48.40899216</v>
      </c>
      <c r="K274" s="219" t="str">
        <f t="shared" si="3"/>
        <v>iShares USD Treasury Bond 20+yr UCITS ETF USD Dist</v>
      </c>
      <c r="L274" s="150">
        <f t="shared" si="4"/>
        <v>0</v>
      </c>
      <c r="M274" s="150">
        <f t="shared" si="5"/>
        <v>27424.23</v>
      </c>
      <c r="N274" s="139" t="str">
        <f t="array" ref="N274">IF($P274&lt;&gt;"",IF(MAXIFS(Investment!$L:$L,Investment!$D:$D,LEFT($P274,40)&amp;"*"),MAXIFS(Investment!$L:$L,Investment!$D:$D,LEFT($P274,40)&amp;"*"),IFERROR(INDEX(Selection!$H:$H, MATCH($P274,Selection!$F:$F,0))/IF(OR(INDEX(Selection!$C:$C, MATCH($P274,Selection!$F:$F,0))="LN",INDEX(Selection!$C:$C, MATCH($P274,Selection!$F:$F,0))="US"),Investment!$K$7,1),"")),"")</f>
        <v/>
      </c>
      <c r="O274" s="144" t="str">
        <f>IF($P274&lt;&gt;"",IF(MAXIFS(Investment!$AG:$AG,Investment!$D:$D,LEFT($P274,40)&amp;"*"),MAXIFS(Investment!$AG:$AG,Investment!$D:$D,LEFT($P274,40)&amp;"*"),""),"")</f>
        <v/>
      </c>
      <c r="P274" s="328"/>
      <c r="Q274" s="150"/>
      <c r="R274" s="329"/>
    </row>
    <row r="275">
      <c r="A275" s="125">
        <v>43255.0</v>
      </c>
      <c r="B275" s="56" t="s">
        <v>307</v>
      </c>
      <c r="C275" s="343" t="s">
        <v>308</v>
      </c>
      <c r="D275" s="56" t="s">
        <v>222</v>
      </c>
      <c r="E275" s="56">
        <v>88.0</v>
      </c>
      <c r="F275" s="218">
        <v>44.539</v>
      </c>
      <c r="G275" s="132">
        <v>-3919.43</v>
      </c>
      <c r="H275" s="56" t="s">
        <v>1341</v>
      </c>
      <c r="I275" s="134">
        <f t="shared" ref="I275:J275" si="279">IFS(AND($B275&lt;&gt;"",$E275&lt;&gt;""),IF(INDEX(N:N,MATCH($C275,$P:$P,0),1)&lt;&gt;"",$E275*INDEX(N:N,MATCH($C275,$P:$P,0),1)+$G275,""),AND($B275&lt;&gt;"",$D275="COST"),$G275,TRUE,)</f>
        <v>307.21</v>
      </c>
      <c r="J275" s="134">
        <f t="shared" si="279"/>
        <v>122.1449647</v>
      </c>
      <c r="K275" s="219" t="str">
        <f t="shared" si="3"/>
        <v>Vanguard S&amp;P 500 UCITS ETF</v>
      </c>
      <c r="L275" s="150">
        <f t="shared" si="4"/>
        <v>4429</v>
      </c>
      <c r="M275" s="150">
        <f t="shared" si="5"/>
        <v>-189831.65</v>
      </c>
      <c r="N275" s="139" t="str">
        <f t="array" ref="N275">IF($P275&lt;&gt;"",IF(MAXIFS(Investment!$L:$L,Investment!$D:$D,LEFT($P275,40)&amp;"*"),MAXIFS(Investment!$L:$L,Investment!$D:$D,LEFT($P275,40)&amp;"*"),IFERROR(INDEX(Selection!$H:$H, MATCH($P275,Selection!$F:$F,0))/IF(OR(INDEX(Selection!$C:$C, MATCH($P275,Selection!$F:$F,0))="LN",INDEX(Selection!$C:$C, MATCH($P275,Selection!$F:$F,0))="US"),Investment!$K$7,1),"")),"")</f>
        <v/>
      </c>
      <c r="O275" s="144" t="str">
        <f>IF($P275&lt;&gt;"",IF(MAXIFS(Investment!$AG:$AG,Investment!$D:$D,LEFT($P275,40)&amp;"*"),MAXIFS(Investment!$AG:$AG,Investment!$D:$D,LEFT($P275,40)&amp;"*"),""),"")</f>
        <v/>
      </c>
      <c r="P275" s="328"/>
      <c r="Q275" s="150"/>
      <c r="R275" s="329"/>
    </row>
    <row r="276">
      <c r="A276" s="125">
        <v>43255.0</v>
      </c>
      <c r="B276" s="56" t="s">
        <v>277</v>
      </c>
      <c r="C276" s="56" t="s">
        <v>278</v>
      </c>
      <c r="D276" s="56" t="s">
        <v>222</v>
      </c>
      <c r="E276" s="56">
        <v>13.0</v>
      </c>
      <c r="F276" s="218">
        <v>159.82</v>
      </c>
      <c r="G276" s="132">
        <v>-2077.66</v>
      </c>
      <c r="H276" s="56" t="s">
        <v>1342</v>
      </c>
      <c r="I276" s="134">
        <f t="shared" ref="I276:J276" si="280">IFS(AND($B276&lt;&gt;"",$E276&lt;&gt;""),IF(INDEX(N:N,MATCH($C276,$P:$P,0),1)&lt;&gt;"",$E276*INDEX(N:N,MATCH($C276,$P:$P,0),1)+$G276,""),AND($B276&lt;&gt;"",$D276="COST"),$G276,TRUE,)</f>
        <v>216.71</v>
      </c>
      <c r="J276" s="134">
        <f t="shared" si="280"/>
        <v>75.55752941</v>
      </c>
      <c r="K276" s="219" t="str">
        <f t="shared" si="3"/>
        <v>iShares USD Treasury Bond 7-10yr UCITS ETF</v>
      </c>
      <c r="L276" s="150">
        <f t="shared" si="4"/>
        <v>622</v>
      </c>
      <c r="M276" s="150">
        <f t="shared" si="5"/>
        <v>-96952.49</v>
      </c>
      <c r="N276" s="139" t="str">
        <f t="array" ref="N276">IF($P276&lt;&gt;"",IF(MAXIFS(Investment!$L:$L,Investment!$D:$D,LEFT($P276,40)&amp;"*"),MAXIFS(Investment!$L:$L,Investment!$D:$D,LEFT($P276,40)&amp;"*"),IFERROR(INDEX(Selection!$H:$H, MATCH($P276,Selection!$F:$F,0))/IF(OR(INDEX(Selection!$C:$C, MATCH($P276,Selection!$F:$F,0))="LN",INDEX(Selection!$C:$C, MATCH($P276,Selection!$F:$F,0))="US"),Investment!$K$7,1),"")),"")</f>
        <v/>
      </c>
      <c r="O276" s="144" t="str">
        <f>IF($P276&lt;&gt;"",IF(MAXIFS(Investment!$AG:$AG,Investment!$D:$D,LEFT($P276,40)&amp;"*"),MAXIFS(Investment!$AG:$AG,Investment!$D:$D,LEFT($P276,40)&amp;"*"),""),"")</f>
        <v/>
      </c>
      <c r="P276" s="328"/>
      <c r="Q276" s="150"/>
      <c r="R276" s="329"/>
    </row>
    <row r="277">
      <c r="A277" s="125">
        <v>43255.0</v>
      </c>
      <c r="B277" s="56" t="s">
        <v>361</v>
      </c>
      <c r="C277" s="343" t="s">
        <v>830</v>
      </c>
      <c r="D277" s="56" t="s">
        <v>222</v>
      </c>
      <c r="E277" s="56">
        <v>11.0</v>
      </c>
      <c r="F277" s="218">
        <v>105.72</v>
      </c>
      <c r="G277" s="132">
        <v>-1162.92</v>
      </c>
      <c r="H277" s="56" t="s">
        <v>1343</v>
      </c>
      <c r="I277" s="134">
        <f t="shared" ref="I277:J277" si="281">IFS(AND($B277&lt;&gt;"",$E277&lt;&gt;""),IF(INDEX(N:N,MATCH($C277,$P:$P,0),1)&lt;&gt;"",$E277*INDEX(N:N,MATCH($C277,$P:$P,0),1)+$G277,""),AND($B277&lt;&gt;"",$D277="COST"),$G277,TRUE,)</f>
        <v>50.71</v>
      </c>
      <c r="J277" s="134">
        <f t="shared" si="281"/>
        <v>-9.866352941</v>
      </c>
      <c r="K277" s="219" t="str">
        <f t="shared" si="3"/>
        <v>ETFS Physical Gold</v>
      </c>
      <c r="L277" s="150">
        <f t="shared" si="4"/>
        <v>506</v>
      </c>
      <c r="M277" s="150">
        <f t="shared" si="5"/>
        <v>-52182.08</v>
      </c>
      <c r="N277" s="139" t="str">
        <f t="array" ref="N277">IF($P277&lt;&gt;"",IF(MAXIFS(Investment!$L:$L,Investment!$D:$D,LEFT($P277,40)&amp;"*"),MAXIFS(Investment!$L:$L,Investment!$D:$D,LEFT($P277,40)&amp;"*"),IFERROR(INDEX(Selection!$H:$H, MATCH($P277,Selection!$F:$F,0))/IF(OR(INDEX(Selection!$C:$C, MATCH($P277,Selection!$F:$F,0))="LN",INDEX(Selection!$C:$C, MATCH($P277,Selection!$F:$F,0))="US"),Investment!$K$7,1),"")),"")</f>
        <v/>
      </c>
      <c r="O277" s="144" t="str">
        <f>IF($P277&lt;&gt;"",IF(MAXIFS(Investment!$AG:$AG,Investment!$D:$D,LEFT($P277,40)&amp;"*"),MAXIFS(Investment!$AG:$AG,Investment!$D:$D,LEFT($P277,40)&amp;"*"),""),"")</f>
        <v/>
      </c>
      <c r="P277" s="328"/>
      <c r="Q277" s="150"/>
      <c r="R277" s="329"/>
    </row>
    <row r="278">
      <c r="A278" s="125">
        <v>43252.0</v>
      </c>
      <c r="B278" s="127" t="s">
        <v>277</v>
      </c>
      <c r="C278" s="56" t="s">
        <v>278</v>
      </c>
      <c r="D278" s="264" t="s">
        <v>390</v>
      </c>
      <c r="E278" s="264"/>
      <c r="F278" s="218"/>
      <c r="G278" s="132">
        <v>471.2</v>
      </c>
      <c r="H278" s="344" t="s">
        <v>1344</v>
      </c>
      <c r="I278" s="134" t="str">
        <f t="shared" ref="I278:J278" si="282">IFS(AND($B278&lt;&gt;"",$E278&lt;&gt;""),IF(INDEX(N:N,MATCH($C278,$P:$P,0),1)&lt;&gt;"",$E278*INDEX(N:N,MATCH($C278,$P:$P,0),1)+$G278,""),AND($B278&lt;&gt;"",$D278="COST"),$G278,TRUE,)</f>
        <v/>
      </c>
      <c r="J278" s="134" t="str">
        <f t="shared" si="282"/>
        <v/>
      </c>
      <c r="K278" s="219" t="str">
        <f t="shared" si="3"/>
        <v>iShares USD Treasury Bond 7-10yr UCITS ETF</v>
      </c>
      <c r="L278" s="150">
        <f t="shared" si="4"/>
        <v>622</v>
      </c>
      <c r="M278" s="150">
        <f t="shared" si="5"/>
        <v>-96952.49</v>
      </c>
      <c r="N278" s="139" t="str">
        <f t="array" ref="N278">IF($P278&lt;&gt;"",IF(MAXIFS(Investment!$L:$L,Investment!$D:$D,LEFT($P278,40)&amp;"*"),MAXIFS(Investment!$L:$L,Investment!$D:$D,LEFT($P278,40)&amp;"*"),IFERROR(INDEX(Selection!$H:$H, MATCH($P278,Selection!$F:$F,0))/IF(OR(INDEX(Selection!$C:$C, MATCH($P278,Selection!$F:$F,0))="LN",INDEX(Selection!$C:$C, MATCH($P278,Selection!$F:$F,0))="US"),Investment!$K$7,1),"")),"")</f>
        <v/>
      </c>
      <c r="O278" s="144" t="str">
        <f>IF($P278&lt;&gt;"",IF(MAXIFS(Investment!$AG:$AG,Investment!$D:$D,LEFT($P278,40)&amp;"*"),MAXIFS(Investment!$AG:$AG,Investment!$D:$D,LEFT($P278,40)&amp;"*"),""),"")</f>
        <v/>
      </c>
      <c r="P278" s="328"/>
      <c r="Q278" s="150"/>
      <c r="R278" s="329"/>
    </row>
    <row r="279">
      <c r="A279" s="125">
        <v>43252.0</v>
      </c>
      <c r="B279" s="127" t="s">
        <v>277</v>
      </c>
      <c r="C279" s="56" t="s">
        <v>278</v>
      </c>
      <c r="D279" s="264" t="s">
        <v>390</v>
      </c>
      <c r="E279" s="264"/>
      <c r="F279" s="218"/>
      <c r="G279" s="132">
        <v>-68.59</v>
      </c>
      <c r="H279" s="344" t="s">
        <v>1345</v>
      </c>
      <c r="I279" s="134" t="str">
        <f t="shared" ref="I279:J279" si="283">IFS(AND($B279&lt;&gt;"",$E279&lt;&gt;""),IF(INDEX(N:N,MATCH($C279,$P:$P,0),1)&lt;&gt;"",$E279*INDEX(N:N,MATCH($C279,$P:$P,0),1)+$G279,""),AND($B279&lt;&gt;"",$D279="COST"),$G279,TRUE,)</f>
        <v/>
      </c>
      <c r="J279" s="134" t="str">
        <f t="shared" si="283"/>
        <v/>
      </c>
      <c r="K279" s="219" t="str">
        <f t="shared" si="3"/>
        <v>iShares USD Treasury Bond 7-10yr UCITS ETF</v>
      </c>
      <c r="L279" s="150">
        <f t="shared" si="4"/>
        <v>622</v>
      </c>
      <c r="M279" s="150">
        <f t="shared" si="5"/>
        <v>-96952.49</v>
      </c>
      <c r="N279" s="139" t="str">
        <f t="array" ref="N279">IF($P279&lt;&gt;"",IF(MAXIFS(Investment!$L:$L,Investment!$D:$D,LEFT($P279,40)&amp;"*"),MAXIFS(Investment!$L:$L,Investment!$D:$D,LEFT($P279,40)&amp;"*"),IFERROR(INDEX(Selection!$H:$H, MATCH($P279,Selection!$F:$F,0))/IF(OR(INDEX(Selection!$C:$C, MATCH($P279,Selection!$F:$F,0))="LN",INDEX(Selection!$C:$C, MATCH($P279,Selection!$F:$F,0))="US"),Investment!$K$7,1),"")),"")</f>
        <v/>
      </c>
      <c r="O279" s="144" t="str">
        <f>IF($P279&lt;&gt;"",IF(MAXIFS(Investment!$AG:$AG,Investment!$D:$D,LEFT($P279,40)&amp;"*"),MAXIFS(Investment!$AG:$AG,Investment!$D:$D,LEFT($P279,40)&amp;"*"),""),"")</f>
        <v/>
      </c>
      <c r="P279" s="328"/>
      <c r="Q279" s="150"/>
      <c r="R279" s="329"/>
    </row>
    <row r="280">
      <c r="A280" s="125">
        <v>43226.0</v>
      </c>
      <c r="B280" s="127" t="s">
        <v>277</v>
      </c>
      <c r="C280" s="133" t="s">
        <v>860</v>
      </c>
      <c r="D280" s="264" t="s">
        <v>390</v>
      </c>
      <c r="E280" s="264"/>
      <c r="F280" s="218"/>
      <c r="G280" s="132">
        <v>-7.01</v>
      </c>
      <c r="H280" s="344" t="s">
        <v>1346</v>
      </c>
      <c r="I280" s="134" t="str">
        <f t="shared" ref="I280:J280" si="284">IFS(AND($B280&lt;&gt;"",$E280&lt;&gt;""),IF(INDEX(N:N,MATCH($C280,$P:$P,0),1)&lt;&gt;"",$E280*INDEX(N:N,MATCH($C280,$P:$P,0),1)+$G280,""),AND($B280&lt;&gt;"",$D280="COST"),$G280,TRUE,)</f>
        <v/>
      </c>
      <c r="J280" s="134" t="str">
        <f t="shared" si="284"/>
        <v/>
      </c>
      <c r="K280" s="219" t="str">
        <f t="shared" si="3"/>
        <v>Vanguard Intermediate-Term Treasury ETF</v>
      </c>
      <c r="L280" s="150">
        <f t="shared" si="4"/>
        <v>0</v>
      </c>
      <c r="M280" s="150">
        <f t="shared" si="5"/>
        <v>-1817.48</v>
      </c>
      <c r="N280" s="139" t="str">
        <f t="array" ref="N280">IF($P280&lt;&gt;"",IF(MAXIFS(Investment!$L:$L,Investment!$D:$D,LEFT($P280,40)&amp;"*"),MAXIFS(Investment!$L:$L,Investment!$D:$D,LEFT($P280,40)&amp;"*"),IFERROR(INDEX(Selection!$H:$H, MATCH($P280,Selection!$F:$F,0))/IF(OR(INDEX(Selection!$C:$C, MATCH($P280,Selection!$F:$F,0))="LN",INDEX(Selection!$C:$C, MATCH($P280,Selection!$F:$F,0))="US"),Investment!$K$7,1),"")),"")</f>
        <v/>
      </c>
      <c r="O280" s="144" t="str">
        <f>IF($P280&lt;&gt;"",IF(MAXIFS(Investment!$AG:$AG,Investment!$D:$D,LEFT($P280,40)&amp;"*"),MAXIFS(Investment!$AG:$AG,Investment!$D:$D,LEFT($P280,40)&amp;"*"),""),"")</f>
        <v/>
      </c>
      <c r="P280" s="328"/>
      <c r="Q280" s="150"/>
      <c r="R280" s="329"/>
    </row>
    <row r="281">
      <c r="A281" s="125">
        <v>43226.0</v>
      </c>
      <c r="B281" s="127" t="s">
        <v>277</v>
      </c>
      <c r="C281" s="133" t="s">
        <v>860</v>
      </c>
      <c r="D281" s="264" t="s">
        <v>390</v>
      </c>
      <c r="E281" s="264"/>
      <c r="F281" s="218"/>
      <c r="G281" s="132">
        <v>42.49</v>
      </c>
      <c r="H281" s="344" t="s">
        <v>1347</v>
      </c>
      <c r="I281" s="134" t="str">
        <f t="shared" ref="I281:J281" si="285">IFS(AND($B281&lt;&gt;"",$E281&lt;&gt;""),IF(INDEX(N:N,MATCH($C281,$P:$P,0),1)&lt;&gt;"",$E281*INDEX(N:N,MATCH($C281,$P:$P,0),1)+$G281,""),AND($B281&lt;&gt;"",$D281="COST"),$G281,TRUE,)</f>
        <v/>
      </c>
      <c r="J281" s="134" t="str">
        <f t="shared" si="285"/>
        <v/>
      </c>
      <c r="K281" s="219" t="str">
        <f t="shared" si="3"/>
        <v>Vanguard Intermediate-Term Treasury ETF</v>
      </c>
      <c r="L281" s="150">
        <f t="shared" si="4"/>
        <v>0</v>
      </c>
      <c r="M281" s="150">
        <f t="shared" si="5"/>
        <v>-1817.48</v>
      </c>
      <c r="N281" s="139" t="str">
        <f t="array" ref="N281">IF($P281&lt;&gt;"",IF(MAXIFS(Investment!$L:$L,Investment!$D:$D,LEFT($P281,40)&amp;"*"),MAXIFS(Investment!$L:$L,Investment!$D:$D,LEFT($P281,40)&amp;"*"),IFERROR(INDEX(Selection!$H:$H, MATCH($P281,Selection!$F:$F,0))/IF(OR(INDEX(Selection!$C:$C, MATCH($P281,Selection!$F:$F,0))="LN",INDEX(Selection!$C:$C, MATCH($P281,Selection!$F:$F,0))="US"),Investment!$K$7,1),"")),"")</f>
        <v/>
      </c>
      <c r="O281" s="144" t="str">
        <f>IF($P281&lt;&gt;"",IF(MAXIFS(Investment!$AG:$AG,Investment!$D:$D,LEFT($P281,40)&amp;"*"),MAXIFS(Investment!$AG:$AG,Investment!$D:$D,LEFT($P281,40)&amp;"*"),""),"")</f>
        <v/>
      </c>
      <c r="P281" s="135"/>
      <c r="Q281" s="150"/>
      <c r="R281" s="329"/>
    </row>
    <row r="282">
      <c r="A282" s="125">
        <v>43224.0</v>
      </c>
      <c r="B282" s="127" t="s">
        <v>243</v>
      </c>
      <c r="C282" s="56" t="s">
        <v>403</v>
      </c>
      <c r="D282" s="264" t="s">
        <v>263</v>
      </c>
      <c r="E282" s="264"/>
      <c r="F282" s="218"/>
      <c r="G282" s="132">
        <v>-5.42</v>
      </c>
      <c r="H282" s="344" t="s">
        <v>1348</v>
      </c>
      <c r="I282" s="134">
        <f t="shared" ref="I282:J282" si="286">IFS(AND($B282&lt;&gt;"",$E282&lt;&gt;""),IF(INDEX(N:N,MATCH($C282,$P:$P,0),1)&lt;&gt;"",$E282*INDEX(N:N,MATCH($C282,$P:$P,0),1)+$G282,""),AND($B282&lt;&gt;"",$D282="COST"),$G282,TRUE,)</f>
        <v>-5.42</v>
      </c>
      <c r="J282" s="134">
        <f t="shared" si="286"/>
        <v>-5.42</v>
      </c>
      <c r="K282" s="219" t="str">
        <f t="shared" si="3"/>
        <v>iShares USD Treasury Bond 20+yr UCITS ETF USD Dist</v>
      </c>
      <c r="L282" s="150">
        <f t="shared" si="4"/>
        <v>0</v>
      </c>
      <c r="M282" s="150">
        <f t="shared" si="5"/>
        <v>27424.23</v>
      </c>
      <c r="N282" s="139" t="str">
        <f t="array" ref="N282">IF($P282&lt;&gt;"",IF(MAXIFS(Investment!$L:$L,Investment!$D:$D,LEFT($P282,40)&amp;"*"),MAXIFS(Investment!$L:$L,Investment!$D:$D,LEFT($P282,40)&amp;"*"),IFERROR(INDEX(Selection!$H:$H, MATCH($P282,Selection!$F:$F,0))/IF(OR(INDEX(Selection!$C:$C, MATCH($P282,Selection!$F:$F,0))="LN",INDEX(Selection!$C:$C, MATCH($P282,Selection!$F:$F,0))="US"),Investment!$K$7,1),"")),"")</f>
        <v/>
      </c>
      <c r="O282" s="144" t="str">
        <f>IF($P282&lt;&gt;"",IF(MAXIFS(Investment!$AG:$AG,Investment!$D:$D,LEFT($P282,40)&amp;"*"),MAXIFS(Investment!$AG:$AG,Investment!$D:$D,LEFT($P282,40)&amp;"*"),""),"")</f>
        <v/>
      </c>
      <c r="P282" s="135"/>
      <c r="Q282" s="150"/>
      <c r="R282" s="329"/>
    </row>
    <row r="283">
      <c r="A283" s="125">
        <v>43224.0</v>
      </c>
      <c r="B283" s="127" t="s">
        <v>243</v>
      </c>
      <c r="C283" s="56" t="s">
        <v>403</v>
      </c>
      <c r="D283" s="264" t="s">
        <v>222</v>
      </c>
      <c r="E283" s="264">
        <v>4546.0</v>
      </c>
      <c r="F283" s="218">
        <v>3.767</v>
      </c>
      <c r="G283" s="132">
        <v>-17125.03</v>
      </c>
      <c r="H283" s="344" t="s">
        <v>1349</v>
      </c>
      <c r="I283" s="134">
        <f t="shared" ref="I283:J283" si="287">IFS(AND($B283&lt;&gt;"",$E283&lt;&gt;""),IF(INDEX(N:N,MATCH($C283,$P:$P,0),1)&lt;&gt;"",$E283*INDEX(N:N,MATCH($C283,$P:$P,0),1)+$G283,""),AND($B283&lt;&gt;"",$D283="COST"),$G283,TRUE,)</f>
        <v>2035.4508</v>
      </c>
      <c r="J283" s="134">
        <f t="shared" si="287"/>
        <v>696.4273914</v>
      </c>
      <c r="K283" s="219" t="str">
        <f t="shared" si="3"/>
        <v>iShares USD Treasury Bond 20+yr UCITS ETF USD Dist</v>
      </c>
      <c r="L283" s="150">
        <f t="shared" si="4"/>
        <v>0</v>
      </c>
      <c r="M283" s="150">
        <f t="shared" si="5"/>
        <v>27424.23</v>
      </c>
      <c r="N283" s="139" t="str">
        <f t="array" ref="N283">IF($P283&lt;&gt;"",IF(MAXIFS(Investment!$L:$L,Investment!$D:$D,LEFT($P283,40)&amp;"*"),MAXIFS(Investment!$L:$L,Investment!$D:$D,LEFT($P283,40)&amp;"*"),IFERROR(INDEX(Selection!$H:$H, MATCH($P283,Selection!$F:$F,0))/IF(OR(INDEX(Selection!$C:$C, MATCH($P283,Selection!$F:$F,0))="LN",INDEX(Selection!$C:$C, MATCH($P283,Selection!$F:$F,0))="US"),Investment!$K$7,1),"")),"")</f>
        <v/>
      </c>
      <c r="O283" s="144" t="str">
        <f>IF($P283&lt;&gt;"",IF(MAXIFS(Investment!$AG:$AG,Investment!$D:$D,LEFT($P283,40)&amp;"*"),MAXIFS(Investment!$AG:$AG,Investment!$D:$D,LEFT($P283,40)&amp;"*"),""),"")</f>
        <v/>
      </c>
      <c r="P283" s="135"/>
      <c r="Q283" s="150"/>
      <c r="R283" s="329"/>
    </row>
    <row r="284">
      <c r="A284" s="125">
        <v>43224.0</v>
      </c>
      <c r="B284" s="127" t="s">
        <v>277</v>
      </c>
      <c r="C284" s="56" t="s">
        <v>278</v>
      </c>
      <c r="D284" s="264" t="s">
        <v>222</v>
      </c>
      <c r="E284" s="264">
        <v>19.0</v>
      </c>
      <c r="F284" s="218">
        <v>158.01</v>
      </c>
      <c r="G284" s="132">
        <v>-3002.19</v>
      </c>
      <c r="H284" s="344" t="s">
        <v>1350</v>
      </c>
      <c r="I284" s="134">
        <f t="shared" ref="I284:J284" si="288">IFS(AND($B284&lt;&gt;"",$E284&lt;&gt;""),IF(INDEX(N:N,MATCH($C284,$P:$P,0),1)&lt;&gt;"",$E284*INDEX(N:N,MATCH($C284,$P:$P,0),1)+$G284,""),AND($B284&lt;&gt;"",$D284="COST"),$G284,TRUE,)</f>
        <v>351.12</v>
      </c>
      <c r="J284" s="134">
        <f t="shared" si="288"/>
        <v>144.8202353</v>
      </c>
      <c r="K284" s="219" t="str">
        <f t="shared" si="3"/>
        <v>iShares USD Treasury Bond 7-10yr UCITS ETF</v>
      </c>
      <c r="L284" s="150">
        <f t="shared" si="4"/>
        <v>622</v>
      </c>
      <c r="M284" s="150">
        <f t="shared" si="5"/>
        <v>-96952.49</v>
      </c>
      <c r="N284" s="139" t="str">
        <f t="array" ref="N284">IF($P284&lt;&gt;"",IF(MAXIFS(Investment!$L:$L,Investment!$D:$D,LEFT($P284,40)&amp;"*"),MAXIFS(Investment!$L:$L,Investment!$D:$D,LEFT($P284,40)&amp;"*"),IFERROR(INDEX(Selection!$H:$H, MATCH($P284,Selection!$F:$F,0))/IF(OR(INDEX(Selection!$C:$C, MATCH($P284,Selection!$F:$F,0))="LN",INDEX(Selection!$C:$C, MATCH($P284,Selection!$F:$F,0))="US"),Investment!$K$7,1),"")),"")</f>
        <v/>
      </c>
      <c r="O284" s="144" t="str">
        <f>IF($P284&lt;&gt;"",IF(MAXIFS(Investment!$AG:$AG,Investment!$D:$D,LEFT($P284,40)&amp;"*"),MAXIFS(Investment!$AG:$AG,Investment!$D:$D,LEFT($P284,40)&amp;"*"),""),"")</f>
        <v/>
      </c>
      <c r="P284" s="135"/>
      <c r="Q284" s="150"/>
      <c r="R284" s="329"/>
    </row>
    <row r="285">
      <c r="A285" s="125">
        <v>43224.0</v>
      </c>
      <c r="B285" s="127"/>
      <c r="C285" s="133"/>
      <c r="D285" s="264" t="s">
        <v>263</v>
      </c>
      <c r="E285" s="264"/>
      <c r="F285" s="218"/>
      <c r="G285" s="132">
        <v>-140.97</v>
      </c>
      <c r="H285" s="344" t="s">
        <v>1351</v>
      </c>
      <c r="I285" s="134" t="str">
        <f t="shared" ref="I285:J285" si="289">IFS(AND($B285&lt;&gt;"",$E285&lt;&gt;""),IF(INDEX(N:N,MATCH($C285,$P:$P,0),1)&lt;&gt;"",$E285*INDEX(N:N,MATCH($C285,$P:$P,0),1)+$G285,""),AND($B285&lt;&gt;"",$D285="COST"),$G285,TRUE,)</f>
        <v/>
      </c>
      <c r="J285" s="134" t="str">
        <f t="shared" si="289"/>
        <v/>
      </c>
      <c r="K285" s="219" t="str">
        <f t="shared" si="3"/>
        <v/>
      </c>
      <c r="L285" s="150" t="str">
        <f t="shared" si="4"/>
        <v/>
      </c>
      <c r="M285" s="150" t="str">
        <f t="shared" si="5"/>
        <v/>
      </c>
      <c r="N285" s="139" t="str">
        <f t="array" ref="N285">IF($P285&lt;&gt;"",IF(MAXIFS(Investment!$L:$L,Investment!$D:$D,LEFT($P285,40)&amp;"*"),MAXIFS(Investment!$L:$L,Investment!$D:$D,LEFT($P285,40)&amp;"*"),IFERROR(INDEX(Selection!$H:$H, MATCH($P285,Selection!$F:$F,0))/IF(OR(INDEX(Selection!$C:$C, MATCH($P285,Selection!$F:$F,0))="LN",INDEX(Selection!$C:$C, MATCH($P285,Selection!$F:$F,0))="US"),Investment!$K$7,1),"")),"")</f>
        <v/>
      </c>
      <c r="O285" s="144" t="str">
        <f>IF($P285&lt;&gt;"",IF(MAXIFS(Investment!$AG:$AG,Investment!$D:$D,LEFT($P285,40)&amp;"*"),MAXIFS(Investment!$AG:$AG,Investment!$D:$D,LEFT($P285,40)&amp;"*"),""),"")</f>
        <v/>
      </c>
      <c r="P285" s="135"/>
      <c r="Q285" s="150"/>
      <c r="R285" s="329"/>
    </row>
    <row r="286">
      <c r="A286" s="125">
        <v>43224.0</v>
      </c>
      <c r="B286" s="127" t="s">
        <v>243</v>
      </c>
      <c r="C286" s="133" t="s">
        <v>588</v>
      </c>
      <c r="D286" s="264" t="s">
        <v>245</v>
      </c>
      <c r="E286" s="264">
        <v>-707.0</v>
      </c>
      <c r="F286" s="218">
        <v>93.145</v>
      </c>
      <c r="G286" s="132">
        <v>65853.53</v>
      </c>
      <c r="H286" s="344" t="s">
        <v>1352</v>
      </c>
      <c r="I286" s="134">
        <f t="shared" ref="I286:J286" si="290">IFS(AND($B286&lt;&gt;"",$E286&lt;&gt;""),IF(INDEX(N:N,MATCH($C286,$P:$P,0),1)&lt;&gt;"",$E286*INDEX(N:N,MATCH($C286,$P:$P,0),1)+$G286,""),AND($B286&lt;&gt;"",$D286="COST"),$G286,TRUE,)</f>
        <v>-8942.740915</v>
      </c>
      <c r="J286" s="134" t="str">
        <f t="shared" si="290"/>
        <v/>
      </c>
      <c r="K286" s="219" t="str">
        <f t="shared" si="3"/>
        <v>Vanguard Extended Duration Treasury ETF</v>
      </c>
      <c r="L286" s="150">
        <f t="shared" si="4"/>
        <v>0</v>
      </c>
      <c r="M286" s="150">
        <f t="shared" si="5"/>
        <v>-4941.36</v>
      </c>
      <c r="N286" s="139" t="str">
        <f t="array" ref="N286">IF($P286&lt;&gt;"",IF(MAXIFS(Investment!$L:$L,Investment!$D:$D,LEFT($P286,40)&amp;"*"),MAXIFS(Investment!$L:$L,Investment!$D:$D,LEFT($P286,40)&amp;"*"),IFERROR(INDEX(Selection!$H:$H, MATCH($P286,Selection!$F:$F,0))/IF(OR(INDEX(Selection!$C:$C, MATCH($P286,Selection!$F:$F,0))="LN",INDEX(Selection!$C:$C, MATCH($P286,Selection!$F:$F,0))="US"),Investment!$K$7,1),"")),"")</f>
        <v/>
      </c>
      <c r="O286" s="144" t="str">
        <f>IF($P286&lt;&gt;"",IF(MAXIFS(Investment!$AG:$AG,Investment!$D:$D,LEFT($P286,40)&amp;"*"),MAXIFS(Investment!$AG:$AG,Investment!$D:$D,LEFT($P286,40)&amp;"*"),""),"")</f>
        <v/>
      </c>
      <c r="P286" s="135"/>
      <c r="Q286" s="150"/>
      <c r="R286" s="329"/>
    </row>
    <row r="287">
      <c r="A287" s="125">
        <v>43224.0</v>
      </c>
      <c r="B287" s="127" t="s">
        <v>243</v>
      </c>
      <c r="C287" s="56" t="s">
        <v>403</v>
      </c>
      <c r="D287" s="264" t="s">
        <v>263</v>
      </c>
      <c r="E287" s="264"/>
      <c r="F287" s="218"/>
      <c r="G287" s="132">
        <v>-17.04</v>
      </c>
      <c r="H287" s="344" t="s">
        <v>1353</v>
      </c>
      <c r="I287" s="134">
        <f t="shared" ref="I287:J287" si="291">IFS(AND($B287&lt;&gt;"",$E287&lt;&gt;""),IF(INDEX(N:N,MATCH($C287,$P:$P,0),1)&lt;&gt;"",$E287*INDEX(N:N,MATCH($C287,$P:$P,0),1)+$G287,""),AND($B287&lt;&gt;"",$D287="COST"),$G287,TRUE,)</f>
        <v>-17.04</v>
      </c>
      <c r="J287" s="134">
        <f t="shared" si="291"/>
        <v>-17.04</v>
      </c>
      <c r="K287" s="219" t="str">
        <f t="shared" si="3"/>
        <v>iShares USD Treasury Bond 20+yr UCITS ETF USD Dist</v>
      </c>
      <c r="L287" s="150">
        <f t="shared" si="4"/>
        <v>0</v>
      </c>
      <c r="M287" s="150">
        <f t="shared" si="5"/>
        <v>27424.23</v>
      </c>
      <c r="N287" s="139" t="str">
        <f t="array" ref="N287">IF($P287&lt;&gt;"",IF(MAXIFS(Investment!$L:$L,Investment!$D:$D,LEFT($P287,40)&amp;"*"),MAXIFS(Investment!$L:$L,Investment!$D:$D,LEFT($P287,40)&amp;"*"),IFERROR(INDEX(Selection!$H:$H, MATCH($P287,Selection!$F:$F,0))/IF(OR(INDEX(Selection!$C:$C, MATCH($P287,Selection!$F:$F,0))="LN",INDEX(Selection!$C:$C, MATCH($P287,Selection!$F:$F,0))="US"),Investment!$K$7,1),"")),"")</f>
        <v/>
      </c>
      <c r="O287" s="144" t="str">
        <f>IF($P287&lt;&gt;"",IF(MAXIFS(Investment!$AG:$AG,Investment!$D:$D,LEFT($P287,40)&amp;"*"),MAXIFS(Investment!$AG:$AG,Investment!$D:$D,LEFT($P287,40)&amp;"*"),""),"")</f>
        <v/>
      </c>
      <c r="P287" s="135"/>
      <c r="Q287" s="150"/>
      <c r="R287" s="329"/>
    </row>
    <row r="288">
      <c r="A288" s="125">
        <v>43224.0</v>
      </c>
      <c r="B288" s="127" t="s">
        <v>243</v>
      </c>
      <c r="C288" s="56" t="s">
        <v>403</v>
      </c>
      <c r="D288" s="264" t="s">
        <v>222</v>
      </c>
      <c r="E288" s="264">
        <v>20019.0</v>
      </c>
      <c r="F288" s="218">
        <v>3.758</v>
      </c>
      <c r="G288" s="132">
        <v>-75232.62</v>
      </c>
      <c r="H288" s="344" t="s">
        <v>1354</v>
      </c>
      <c r="I288" s="134">
        <f t="shared" ref="I288:J288" si="292">IFS(AND($B288&lt;&gt;"",$E288&lt;&gt;""),IF(INDEX(N:N,MATCH($C288,$P:$P,0),1)&lt;&gt;"",$E288*INDEX(N:N,MATCH($C288,$P:$P,0),1)+$G288,""),AND($B288&lt;&gt;"",$D288="COST"),$G288,TRUE,)</f>
        <v>9143.4612</v>
      </c>
      <c r="J288" s="134">
        <f t="shared" si="292"/>
        <v>3246.868675</v>
      </c>
      <c r="K288" s="219" t="str">
        <f t="shared" si="3"/>
        <v>iShares USD Treasury Bond 20+yr UCITS ETF USD Dist</v>
      </c>
      <c r="L288" s="150">
        <f t="shared" si="4"/>
        <v>0</v>
      </c>
      <c r="M288" s="150">
        <f t="shared" si="5"/>
        <v>27424.23</v>
      </c>
      <c r="N288" s="139" t="str">
        <f t="array" ref="N288">IF($P288&lt;&gt;"",IF(MAXIFS(Investment!$L:$L,Investment!$D:$D,LEFT($P288,40)&amp;"*"),MAXIFS(Investment!$L:$L,Investment!$D:$D,LEFT($P288,40)&amp;"*"),IFERROR(INDEX(Selection!$H:$H, MATCH($P288,Selection!$F:$F,0))/IF(OR(INDEX(Selection!$C:$C, MATCH($P288,Selection!$F:$F,0))="LN",INDEX(Selection!$C:$C, MATCH($P288,Selection!$F:$F,0))="US"),Investment!$K$7,1),"")),"")</f>
        <v/>
      </c>
      <c r="O288" s="144" t="str">
        <f>IF($P288&lt;&gt;"",IF(MAXIFS(Investment!$AG:$AG,Investment!$D:$D,LEFT($P288,40)&amp;"*"),MAXIFS(Investment!$AG:$AG,Investment!$D:$D,LEFT($P288,40)&amp;"*"),""),"")</f>
        <v/>
      </c>
      <c r="P288" s="135"/>
      <c r="Q288" s="150"/>
      <c r="R288" s="329"/>
    </row>
    <row r="289">
      <c r="A289" s="125">
        <v>43224.0</v>
      </c>
      <c r="B289" s="127" t="s">
        <v>307</v>
      </c>
      <c r="C289" s="133" t="s">
        <v>308</v>
      </c>
      <c r="D289" s="264" t="s">
        <v>222</v>
      </c>
      <c r="E289" s="264">
        <v>85.0</v>
      </c>
      <c r="F289" s="218">
        <v>42.11</v>
      </c>
      <c r="G289" s="132">
        <v>-3579.35</v>
      </c>
      <c r="H289" s="344" t="s">
        <v>1355</v>
      </c>
      <c r="I289" s="134">
        <f t="shared" ref="I289:J289" si="293">IFS(AND($B289&lt;&gt;"",$E289&lt;&gt;""),IF(INDEX(N:N,MATCH($C289,$P:$P,0),1)&lt;&gt;"",$E289*INDEX(N:N,MATCH($C289,$P:$P,0),1)+$G289,""),AND($B289&lt;&gt;"",$D289="COST"),$G289,TRUE,)</f>
        <v>503.2</v>
      </c>
      <c r="J289" s="134">
        <f t="shared" si="293"/>
        <v>324.444</v>
      </c>
      <c r="K289" s="219" t="str">
        <f t="shared" si="3"/>
        <v>Vanguard S&amp;P 500 UCITS ETF</v>
      </c>
      <c r="L289" s="150">
        <f t="shared" si="4"/>
        <v>4429</v>
      </c>
      <c r="M289" s="150">
        <f t="shared" si="5"/>
        <v>-189831.65</v>
      </c>
      <c r="N289" s="139" t="str">
        <f t="array" ref="N289">IF($P289&lt;&gt;"",IF(MAXIFS(Investment!$L:$L,Investment!$D:$D,LEFT($P289,40)&amp;"*"),MAXIFS(Investment!$L:$L,Investment!$D:$D,LEFT($P289,40)&amp;"*"),IFERROR(INDEX(Selection!$H:$H, MATCH($P289,Selection!$F:$F,0))/IF(OR(INDEX(Selection!$C:$C, MATCH($P289,Selection!$F:$F,0))="LN",INDEX(Selection!$C:$C, MATCH($P289,Selection!$F:$F,0))="US"),Investment!$K$7,1),"")),"")</f>
        <v/>
      </c>
      <c r="O289" s="144" t="str">
        <f>IF($P289&lt;&gt;"",IF(MAXIFS(Investment!$AG:$AG,Investment!$D:$D,LEFT($P289,40)&amp;"*"),MAXIFS(Investment!$AG:$AG,Investment!$D:$D,LEFT($P289,40)&amp;"*"),""),"")</f>
        <v/>
      </c>
      <c r="P289" s="135"/>
      <c r="Q289" s="150"/>
      <c r="R289" s="329"/>
    </row>
    <row r="290">
      <c r="A290" s="125">
        <v>43224.0</v>
      </c>
      <c r="B290" s="127" t="s">
        <v>277</v>
      </c>
      <c r="C290" s="56" t="s">
        <v>278</v>
      </c>
      <c r="D290" s="264" t="s">
        <v>222</v>
      </c>
      <c r="E290" s="264">
        <v>16.0</v>
      </c>
      <c r="F290" s="218">
        <v>158.17</v>
      </c>
      <c r="G290" s="132">
        <v>-2530.72</v>
      </c>
      <c r="H290" s="344" t="s">
        <v>1356</v>
      </c>
      <c r="I290" s="134">
        <f t="shared" ref="I290:J290" si="294">IFS(AND($B290&lt;&gt;"",$E290&lt;&gt;""),IF(INDEX(N:N,MATCH($C290,$P:$P,0),1)&lt;&gt;"",$E290*INDEX(N:N,MATCH($C290,$P:$P,0),1)+$G290,""),AND($B290&lt;&gt;"",$D290="COST"),$G290,TRUE,)</f>
        <v>293.12</v>
      </c>
      <c r="J290" s="134">
        <f t="shared" si="294"/>
        <v>119.3938824</v>
      </c>
      <c r="K290" s="219" t="str">
        <f t="shared" si="3"/>
        <v>iShares USD Treasury Bond 7-10yr UCITS ETF</v>
      </c>
      <c r="L290" s="150">
        <f t="shared" si="4"/>
        <v>622</v>
      </c>
      <c r="M290" s="150">
        <f t="shared" si="5"/>
        <v>-96952.49</v>
      </c>
      <c r="N290" s="139" t="str">
        <f t="array" ref="N290">IF($P290&lt;&gt;"",IF(MAXIFS(Investment!$L:$L,Investment!$D:$D,LEFT($P290,40)&amp;"*"),MAXIFS(Investment!$L:$L,Investment!$D:$D,LEFT($P290,40)&amp;"*"),IFERROR(INDEX(Selection!$H:$H, MATCH($P290,Selection!$F:$F,0))/IF(OR(INDEX(Selection!$C:$C, MATCH($P290,Selection!$F:$F,0))="LN",INDEX(Selection!$C:$C, MATCH($P290,Selection!$F:$F,0))="US"),Investment!$K$7,1),"")),"")</f>
        <v/>
      </c>
      <c r="O290" s="144" t="str">
        <f>IF($P290&lt;&gt;"",IF(MAXIFS(Investment!$AG:$AG,Investment!$D:$D,LEFT($P290,40)&amp;"*"),MAXIFS(Investment!$AG:$AG,Investment!$D:$D,LEFT($P290,40)&amp;"*"),""),"")</f>
        <v/>
      </c>
      <c r="P290" s="135"/>
      <c r="Q290" s="150"/>
      <c r="R290" s="329"/>
    </row>
    <row r="291">
      <c r="A291" s="125">
        <v>43224.0</v>
      </c>
      <c r="B291" s="127" t="s">
        <v>361</v>
      </c>
      <c r="C291" s="133" t="s">
        <v>830</v>
      </c>
      <c r="D291" s="264" t="s">
        <v>222</v>
      </c>
      <c r="E291" s="264">
        <v>39.0</v>
      </c>
      <c r="F291" s="218">
        <v>105.24</v>
      </c>
      <c r="G291" s="132">
        <v>-4104.36</v>
      </c>
      <c r="H291" s="344" t="s">
        <v>1357</v>
      </c>
      <c r="I291" s="134">
        <f t="shared" ref="I291:J291" si="295">IFS(AND($B291&lt;&gt;"",$E291&lt;&gt;""),IF(INDEX(N:N,MATCH($C291,$P:$P,0),1)&lt;&gt;"",$E291*INDEX(N:N,MATCH($C291,$P:$P,0),1)+$G291,""),AND($B291&lt;&gt;"",$D291="COST"),$G291,TRUE,)</f>
        <v>198.51</v>
      </c>
      <c r="J291" s="134">
        <f t="shared" si="295"/>
        <v>-16.26070588</v>
      </c>
      <c r="K291" s="219" t="str">
        <f t="shared" si="3"/>
        <v>ETFS Physical Gold</v>
      </c>
      <c r="L291" s="150">
        <f t="shared" si="4"/>
        <v>506</v>
      </c>
      <c r="M291" s="150">
        <f t="shared" si="5"/>
        <v>-52182.08</v>
      </c>
      <c r="N291" s="139" t="str">
        <f t="array" ref="N291">IF($P291&lt;&gt;"",IF(MAXIFS(Investment!$L:$L,Investment!$D:$D,LEFT($P291,40)&amp;"*"),MAXIFS(Investment!$L:$L,Investment!$D:$D,LEFT($P291,40)&amp;"*"),IFERROR(INDEX(Selection!$H:$H, MATCH($P291,Selection!$F:$F,0))/IF(OR(INDEX(Selection!$C:$C, MATCH($P291,Selection!$F:$F,0))="LN",INDEX(Selection!$C:$C, MATCH($P291,Selection!$F:$F,0))="US"),Investment!$K$7,1),"")),"")</f>
        <v/>
      </c>
      <c r="O291" s="144" t="str">
        <f>IF($P291&lt;&gt;"",IF(MAXIFS(Investment!$AG:$AG,Investment!$D:$D,LEFT($P291,40)&amp;"*"),MAXIFS(Investment!$AG:$AG,Investment!$D:$D,LEFT($P291,40)&amp;"*"),""),"")</f>
        <v/>
      </c>
      <c r="P291" s="135"/>
      <c r="Q291" s="150"/>
      <c r="R291" s="329"/>
    </row>
    <row r="292">
      <c r="A292" s="125">
        <v>43223.0</v>
      </c>
      <c r="B292" s="127" t="s">
        <v>361</v>
      </c>
      <c r="C292" s="133" t="s">
        <v>989</v>
      </c>
      <c r="D292" s="264" t="s">
        <v>245</v>
      </c>
      <c r="E292" s="264">
        <v>-1319.0</v>
      </c>
      <c r="F292" s="218">
        <v>10.527</v>
      </c>
      <c r="G292" s="132">
        <v>13885.34</v>
      </c>
      <c r="H292" s="344" t="s">
        <v>1358</v>
      </c>
      <c r="I292" s="134">
        <f t="shared" ref="I292:J292" si="296">IFS(AND($B292&lt;&gt;"",$E292&lt;&gt;""),IF(INDEX(N:N,MATCH($C292,$P:$P,0),1)&lt;&gt;"",$E292*INDEX(N:N,MATCH($C292,$P:$P,0),1)+$G292,""),AND($B292&lt;&gt;"",$D292="COST"),$G292,TRUE,)</f>
        <v>-718.0419865</v>
      </c>
      <c r="J292" s="134" t="str">
        <f t="shared" si="296"/>
        <v/>
      </c>
      <c r="K292" s="219" t="str">
        <f t="shared" si="3"/>
        <v>iShares Gold Trust</v>
      </c>
      <c r="L292" s="150">
        <f t="shared" si="4"/>
        <v>0</v>
      </c>
      <c r="M292" s="150">
        <f t="shared" si="5"/>
        <v>140.23</v>
      </c>
      <c r="N292" s="139" t="str">
        <f t="array" ref="N292">IF($P292&lt;&gt;"",IF(MAXIFS(Investment!$L:$L,Investment!$D:$D,LEFT($P292,40)&amp;"*"),MAXIFS(Investment!$L:$L,Investment!$D:$D,LEFT($P292,40)&amp;"*"),IFERROR(INDEX(Selection!$H:$H, MATCH($P292,Selection!$F:$F,0))/IF(OR(INDEX(Selection!$C:$C, MATCH($P292,Selection!$F:$F,0))="LN",INDEX(Selection!$C:$C, MATCH($P292,Selection!$F:$F,0))="US"),Investment!$K$7,1),"")),"")</f>
        <v/>
      </c>
      <c r="O292" s="144" t="str">
        <f>IF($P292&lt;&gt;"",IF(MAXIFS(Investment!$AG:$AG,Investment!$D:$D,LEFT($P292,40)&amp;"*"),MAXIFS(Investment!$AG:$AG,Investment!$D:$D,LEFT($P292,40)&amp;"*"),""),"")</f>
        <v/>
      </c>
      <c r="P292" s="135"/>
      <c r="Q292" s="150"/>
      <c r="R292" s="329"/>
    </row>
    <row r="293">
      <c r="A293" s="125">
        <v>43223.0</v>
      </c>
      <c r="B293" s="127" t="s">
        <v>361</v>
      </c>
      <c r="C293" s="133" t="s">
        <v>830</v>
      </c>
      <c r="D293" s="264" t="s">
        <v>222</v>
      </c>
      <c r="E293" s="264">
        <v>144.0</v>
      </c>
      <c r="F293" s="218">
        <v>105.161</v>
      </c>
      <c r="G293" s="132">
        <v>-15143.25</v>
      </c>
      <c r="H293" s="344" t="s">
        <v>1359</v>
      </c>
      <c r="I293" s="134">
        <f t="shared" ref="I293:J293" si="297">IFS(AND($B293&lt;&gt;"",$E293&lt;&gt;""),IF(INDEX(N:N,MATCH($C293,$P:$P,0),1)&lt;&gt;"",$E293*INDEX(N:N,MATCH($C293,$P:$P,0),1)+$G293,""),AND($B293&lt;&gt;"",$D293="COST"),$G293,TRUE,)</f>
        <v>744.27</v>
      </c>
      <c r="J293" s="134">
        <f t="shared" si="297"/>
        <v>-48.72952941</v>
      </c>
      <c r="K293" s="219" t="str">
        <f t="shared" si="3"/>
        <v>ETFS Physical Gold</v>
      </c>
      <c r="L293" s="150">
        <f t="shared" si="4"/>
        <v>506</v>
      </c>
      <c r="M293" s="150">
        <f t="shared" si="5"/>
        <v>-52182.08</v>
      </c>
      <c r="N293" s="139" t="str">
        <f t="array" ref="N293">IF($P293&lt;&gt;"",IF(MAXIFS(Investment!$L:$L,Investment!$D:$D,LEFT($P293,40)&amp;"*"),MAXIFS(Investment!$L:$L,Investment!$D:$D,LEFT($P293,40)&amp;"*"),IFERROR(INDEX(Selection!$H:$H, MATCH($P293,Selection!$F:$F,0))/IF(OR(INDEX(Selection!$C:$C, MATCH($P293,Selection!$F:$F,0))="LN",INDEX(Selection!$C:$C, MATCH($P293,Selection!$F:$F,0))="US"),Investment!$K$7,1),"")),"")</f>
        <v/>
      </c>
      <c r="O293" s="144" t="str">
        <f>IF($P293&lt;&gt;"",IF(MAXIFS(Investment!$AG:$AG,Investment!$D:$D,LEFT($P293,40)&amp;"*"),MAXIFS(Investment!$AG:$AG,Investment!$D:$D,LEFT($P293,40)&amp;"*"),""),"")</f>
        <v/>
      </c>
      <c r="P293" s="135"/>
      <c r="Q293" s="150"/>
      <c r="R293" s="329"/>
    </row>
    <row r="294">
      <c r="A294" s="125">
        <v>43223.0</v>
      </c>
      <c r="B294" s="127" t="s">
        <v>217</v>
      </c>
      <c r="C294" s="133" t="s">
        <v>220</v>
      </c>
      <c r="D294" s="264" t="s">
        <v>245</v>
      </c>
      <c r="E294" s="264">
        <v>-180.0</v>
      </c>
      <c r="F294" s="218">
        <v>7.566</v>
      </c>
      <c r="G294" s="132">
        <v>1361.88</v>
      </c>
      <c r="H294" s="344" t="s">
        <v>1360</v>
      </c>
      <c r="I294" s="134">
        <f t="shared" ref="I294:J294" si="298">IFS(AND($B294&lt;&gt;"",$E294&lt;&gt;""),IF(INDEX(N:N,MATCH($C294,$P:$P,0),1)&lt;&gt;"",$E294*INDEX(N:N,MATCH($C294,$P:$P,0),1)+$G294,""),AND($B294&lt;&gt;"",$D294="COST"),$G294,TRUE,)</f>
        <v>70.38</v>
      </c>
      <c r="J294" s="134">
        <f t="shared" si="298"/>
        <v>30.41576471</v>
      </c>
      <c r="K294" s="219" t="str">
        <f t="shared" si="3"/>
        <v>ETFS All Commodities</v>
      </c>
      <c r="L294" s="150">
        <f t="shared" si="4"/>
        <v>8177</v>
      </c>
      <c r="M294" s="150">
        <f t="shared" si="5"/>
        <v>-60085.79</v>
      </c>
      <c r="N294" s="139" t="str">
        <f t="array" ref="N294">IF($P294&lt;&gt;"",IF(MAXIFS(Investment!$L:$L,Investment!$D:$D,LEFT($P294,40)&amp;"*"),MAXIFS(Investment!$L:$L,Investment!$D:$D,LEFT($P294,40)&amp;"*"),IFERROR(INDEX(Selection!$H:$H, MATCH($P294,Selection!$F:$F,0))/IF(OR(INDEX(Selection!$C:$C, MATCH($P294,Selection!$F:$F,0))="LN",INDEX(Selection!$C:$C, MATCH($P294,Selection!$F:$F,0))="US"),Investment!$K$7,1),"")),"")</f>
        <v/>
      </c>
      <c r="O294" s="144" t="str">
        <f>IF($P294&lt;&gt;"",IF(MAXIFS(Investment!$AG:$AG,Investment!$D:$D,LEFT($P294,40)&amp;"*"),MAXIFS(Investment!$AG:$AG,Investment!$D:$D,LEFT($P294,40)&amp;"*"),""),"")</f>
        <v/>
      </c>
      <c r="P294" s="135"/>
      <c r="Q294" s="150"/>
      <c r="R294" s="329"/>
    </row>
    <row r="295">
      <c r="A295" s="125">
        <v>43223.0</v>
      </c>
      <c r="B295" s="127" t="s">
        <v>277</v>
      </c>
      <c r="C295" s="133" t="s">
        <v>860</v>
      </c>
      <c r="D295" s="264" t="s">
        <v>263</v>
      </c>
      <c r="E295" s="264"/>
      <c r="F295" s="218"/>
      <c r="G295" s="132">
        <v>-7.14</v>
      </c>
      <c r="H295" s="344" t="s">
        <v>1361</v>
      </c>
      <c r="I295" s="134">
        <f t="shared" ref="I295:J295" si="299">IFS(AND($B295&lt;&gt;"",$E295&lt;&gt;""),IF(INDEX(N:N,MATCH($C295,$P:$P,0),1)&lt;&gt;"",$E295*INDEX(N:N,MATCH($C295,$P:$P,0),1)+$G295,""),AND($B295&lt;&gt;"",$D295="COST"),$G295,TRUE,)</f>
        <v>-7.14</v>
      </c>
      <c r="J295" s="134">
        <f t="shared" si="299"/>
        <v>-7.14</v>
      </c>
      <c r="K295" s="219" t="str">
        <f t="shared" si="3"/>
        <v>Vanguard Intermediate-Term Treasury ETF</v>
      </c>
      <c r="L295" s="150">
        <f t="shared" si="4"/>
        <v>0</v>
      </c>
      <c r="M295" s="150">
        <f t="shared" si="5"/>
        <v>-1817.48</v>
      </c>
      <c r="N295" s="139" t="str">
        <f t="array" ref="N295">IF($P295&lt;&gt;"",IF(MAXIFS(Investment!$L:$L,Investment!$D:$D,LEFT($P295,40)&amp;"*"),MAXIFS(Investment!$L:$L,Investment!$D:$D,LEFT($P295,40)&amp;"*"),IFERROR(INDEX(Selection!$H:$H, MATCH($P295,Selection!$F:$F,0))/IF(OR(INDEX(Selection!$C:$C, MATCH($P295,Selection!$F:$F,0))="LN",INDEX(Selection!$C:$C, MATCH($P295,Selection!$F:$F,0))="US"),Investment!$K$7,1),"")),"")</f>
        <v/>
      </c>
      <c r="O295" s="144" t="str">
        <f>IF($P295&lt;&gt;"",IF(MAXIFS(Investment!$AG:$AG,Investment!$D:$D,LEFT($P295,40)&amp;"*"),MAXIFS(Investment!$AG:$AG,Investment!$D:$D,LEFT($P295,40)&amp;"*"),""),"")</f>
        <v/>
      </c>
      <c r="P295" s="135"/>
      <c r="Q295" s="150"/>
      <c r="R295" s="329"/>
    </row>
    <row r="296">
      <c r="A296" s="125">
        <v>43223.0</v>
      </c>
      <c r="B296" s="127" t="s">
        <v>277</v>
      </c>
      <c r="C296" s="133" t="s">
        <v>860</v>
      </c>
      <c r="D296" s="264" t="s">
        <v>245</v>
      </c>
      <c r="E296" s="264">
        <v>-493.0</v>
      </c>
      <c r="F296" s="218">
        <v>52.066</v>
      </c>
      <c r="G296" s="132">
        <v>25668.61</v>
      </c>
      <c r="H296" s="344" t="s">
        <v>1362</v>
      </c>
      <c r="I296" s="134">
        <f t="shared" ref="I296:J296" si="300">IFS(AND($B296&lt;&gt;"",$E296&lt;&gt;""),IF(INDEX(N:N,MATCH($C296,$P:$P,0),1)&lt;&gt;"",$E296*INDEX(N:N,MATCH($C296,$P:$P,0),1)+$G296,""),AND($B296&lt;&gt;"",$D296="COST"),$G296,TRUE,)</f>
        <v>-2649.492528</v>
      </c>
      <c r="J296" s="134" t="str">
        <f t="shared" si="300"/>
        <v/>
      </c>
      <c r="K296" s="219" t="str">
        <f t="shared" si="3"/>
        <v>Vanguard Intermediate-Term Treasury ETF</v>
      </c>
      <c r="L296" s="150">
        <f t="shared" si="4"/>
        <v>0</v>
      </c>
      <c r="M296" s="150">
        <f t="shared" si="5"/>
        <v>-1817.48</v>
      </c>
      <c r="N296" s="139" t="str">
        <f t="array" ref="N296">IF($P296&lt;&gt;"",IF(MAXIFS(Investment!$L:$L,Investment!$D:$D,LEFT($P296,40)&amp;"*"),MAXIFS(Investment!$L:$L,Investment!$D:$D,LEFT($P296,40)&amp;"*"),IFERROR(INDEX(Selection!$H:$H, MATCH($P296,Selection!$F:$F,0))/IF(OR(INDEX(Selection!$C:$C, MATCH($P296,Selection!$F:$F,0))="LN",INDEX(Selection!$C:$C, MATCH($P296,Selection!$F:$F,0))="US"),Investment!$K$7,1),"")),"")</f>
        <v/>
      </c>
      <c r="O296" s="144" t="str">
        <f>IF($P296&lt;&gt;"",IF(MAXIFS(Investment!$AG:$AG,Investment!$D:$D,LEFT($P296,40)&amp;"*"),MAXIFS(Investment!$AG:$AG,Investment!$D:$D,LEFT($P296,40)&amp;"*"),""),"")</f>
        <v/>
      </c>
      <c r="P296" s="135"/>
      <c r="Q296" s="150"/>
      <c r="R296" s="329"/>
    </row>
    <row r="297">
      <c r="A297" s="125">
        <v>43223.0</v>
      </c>
      <c r="B297" s="127" t="s">
        <v>277</v>
      </c>
      <c r="C297" s="56" t="s">
        <v>278</v>
      </c>
      <c r="D297" s="264" t="s">
        <v>222</v>
      </c>
      <c r="E297" s="264">
        <v>185.0</v>
      </c>
      <c r="F297" s="218">
        <v>158.21</v>
      </c>
      <c r="G297" s="132">
        <v>-29268.85</v>
      </c>
      <c r="H297" s="344" t="s">
        <v>1363</v>
      </c>
      <c r="I297" s="134">
        <f t="shared" ref="I297:J297" si="301">IFS(AND($B297&lt;&gt;"",$E297&lt;&gt;""),IF(INDEX(N:N,MATCH($C297,$P:$P,0),1)&lt;&gt;"",$E297*INDEX(N:N,MATCH($C297,$P:$P,0),1)+$G297,""),AND($B297&lt;&gt;"",$D297="COST"),$G297,TRUE,)</f>
        <v>3381.8</v>
      </c>
      <c r="J297" s="134">
        <f t="shared" si="301"/>
        <v>1373.091765</v>
      </c>
      <c r="K297" s="219" t="str">
        <f t="shared" si="3"/>
        <v>iShares USD Treasury Bond 7-10yr UCITS ETF</v>
      </c>
      <c r="L297" s="150">
        <f t="shared" si="4"/>
        <v>622</v>
      </c>
      <c r="M297" s="150">
        <f t="shared" si="5"/>
        <v>-96952.49</v>
      </c>
      <c r="N297" s="139" t="str">
        <f t="array" ref="N297">IF($P297&lt;&gt;"",IF(MAXIFS(Investment!$L:$L,Investment!$D:$D,LEFT($P297,40)&amp;"*"),MAXIFS(Investment!$L:$L,Investment!$D:$D,LEFT($P297,40)&amp;"*"),IFERROR(INDEX(Selection!$H:$H, MATCH($P297,Selection!$F:$F,0))/IF(OR(INDEX(Selection!$C:$C, MATCH($P297,Selection!$F:$F,0))="LN",INDEX(Selection!$C:$C, MATCH($P297,Selection!$F:$F,0))="US"),Investment!$K$7,1),"")),"")</f>
        <v/>
      </c>
      <c r="O297" s="144" t="str">
        <f>IF($P297&lt;&gt;"",IF(MAXIFS(Investment!$AG:$AG,Investment!$D:$D,LEFT($P297,40)&amp;"*"),MAXIFS(Investment!$AG:$AG,Investment!$D:$D,LEFT($P297,40)&amp;"*"),""),"")</f>
        <v/>
      </c>
      <c r="P297" s="135"/>
      <c r="Q297" s="150"/>
      <c r="R297" s="329"/>
    </row>
    <row r="298">
      <c r="A298" s="125">
        <v>43220.0</v>
      </c>
      <c r="B298" s="127" t="s">
        <v>217</v>
      </c>
      <c r="C298" s="133" t="s">
        <v>220</v>
      </c>
      <c r="D298" s="264" t="s">
        <v>245</v>
      </c>
      <c r="E298" s="264">
        <v>-1893.0</v>
      </c>
      <c r="F298" s="218">
        <v>7.451</v>
      </c>
      <c r="G298" s="132">
        <v>14104.74</v>
      </c>
      <c r="H298" s="344" t="s">
        <v>1364</v>
      </c>
      <c r="I298" s="134">
        <f t="shared" ref="I298:J298" si="302">IFS(AND($B298&lt;&gt;"",$E298&lt;&gt;""),IF(INDEX(N:N,MATCH($C298,$P:$P,0),1)&lt;&gt;"",$E298*INDEX(N:N,MATCH($C298,$P:$P,0),1)+$G298,""),AND($B298&lt;&gt;"",$D298="COST"),$G298,TRUE,)</f>
        <v>522.465</v>
      </c>
      <c r="J298" s="134">
        <f t="shared" si="302"/>
        <v>102.1744588</v>
      </c>
      <c r="K298" s="219" t="str">
        <f t="shared" si="3"/>
        <v>ETFS All Commodities</v>
      </c>
      <c r="L298" s="150">
        <f t="shared" si="4"/>
        <v>8177</v>
      </c>
      <c r="M298" s="150">
        <f t="shared" si="5"/>
        <v>-60085.79</v>
      </c>
      <c r="N298" s="139" t="str">
        <f t="array" ref="N298">IF($P298&lt;&gt;"",IF(MAXIFS(Investment!$L:$L,Investment!$D:$D,LEFT($P298,40)&amp;"*"),MAXIFS(Investment!$L:$L,Investment!$D:$D,LEFT($P298,40)&amp;"*"),IFERROR(INDEX(Selection!$H:$H, MATCH($P298,Selection!$F:$F,0))/IF(OR(INDEX(Selection!$C:$C, MATCH($P298,Selection!$F:$F,0))="LN",INDEX(Selection!$C:$C, MATCH($P298,Selection!$F:$F,0))="US"),Investment!$K$7,1),"")),"")</f>
        <v/>
      </c>
      <c r="O298" s="144" t="str">
        <f>IF($P298&lt;&gt;"",IF(MAXIFS(Investment!$AG:$AG,Investment!$D:$D,LEFT($P298,40)&amp;"*"),MAXIFS(Investment!$AG:$AG,Investment!$D:$D,LEFT($P298,40)&amp;"*"),""),"")</f>
        <v/>
      </c>
      <c r="P298" s="135"/>
      <c r="Q298" s="150"/>
      <c r="R298" s="329"/>
    </row>
    <row r="299">
      <c r="A299" s="125">
        <v>43220.0</v>
      </c>
      <c r="B299" s="127" t="s">
        <v>307</v>
      </c>
      <c r="C299" s="133" t="s">
        <v>308</v>
      </c>
      <c r="D299" s="264" t="s">
        <v>245</v>
      </c>
      <c r="E299" s="264">
        <v>-449.0</v>
      </c>
      <c r="F299" s="218">
        <v>41.972</v>
      </c>
      <c r="G299" s="132">
        <v>18845.44</v>
      </c>
      <c r="H299" s="344" t="s">
        <v>1365</v>
      </c>
      <c r="I299" s="134">
        <f t="shared" ref="I299:J299" si="303">IFS(AND($B299&lt;&gt;"",$E299&lt;&gt;""),IF(INDEX(N:N,MATCH($C299,$P:$P,0),1)&lt;&gt;"",$E299*INDEX(N:N,MATCH($C299,$P:$P,0),1)+$G299,""),AND($B299&lt;&gt;"",$D299="COST"),$G299,TRUE,)</f>
        <v>-2720.03</v>
      </c>
      <c r="J299" s="134">
        <f t="shared" si="303"/>
        <v>-1775.777718</v>
      </c>
      <c r="K299" s="219" t="str">
        <f t="shared" si="3"/>
        <v>Vanguard S&amp;P 500 UCITS ETF</v>
      </c>
      <c r="L299" s="150">
        <f t="shared" si="4"/>
        <v>4429</v>
      </c>
      <c r="M299" s="150">
        <f t="shared" si="5"/>
        <v>-189831.65</v>
      </c>
      <c r="N299" s="139" t="str">
        <f t="array" ref="N299">IF($P299&lt;&gt;"",IF(MAXIFS(Investment!$L:$L,Investment!$D:$D,LEFT($P299,40)&amp;"*"),MAXIFS(Investment!$L:$L,Investment!$D:$D,LEFT($P299,40)&amp;"*"),IFERROR(INDEX(Selection!$H:$H, MATCH($P299,Selection!$F:$F,0))/IF(OR(INDEX(Selection!$C:$C, MATCH($P299,Selection!$F:$F,0))="LN",INDEX(Selection!$C:$C, MATCH($P299,Selection!$F:$F,0))="US"),Investment!$K$7,1),"")),"")</f>
        <v/>
      </c>
      <c r="O299" s="144" t="str">
        <f>IF($P299&lt;&gt;"",IF(MAXIFS(Investment!$AG:$AG,Investment!$D:$D,LEFT($P299,40)&amp;"*"),MAXIFS(Investment!$AG:$AG,Investment!$D:$D,LEFT($P299,40)&amp;"*"),""),"")</f>
        <v/>
      </c>
      <c r="P299" s="135"/>
      <c r="Q299" s="150"/>
      <c r="R299" s="329"/>
    </row>
    <row r="300">
      <c r="A300" s="125">
        <v>43197.0</v>
      </c>
      <c r="B300" s="150" t="s">
        <v>307</v>
      </c>
      <c r="C300" s="133" t="s">
        <v>308</v>
      </c>
      <c r="D300" s="339" t="s">
        <v>390</v>
      </c>
      <c r="E300" s="339"/>
      <c r="F300" s="218"/>
      <c r="G300" s="132">
        <v>7.05</v>
      </c>
      <c r="H300" s="344" t="s">
        <v>1366</v>
      </c>
      <c r="I300" s="134" t="str">
        <f t="shared" ref="I300:J300" si="304">IFS(AND($B300&lt;&gt;"",$E300&lt;&gt;""),IF(INDEX(N:N,MATCH($C300,$P:$P,0),1)&lt;&gt;"",$E300*INDEX(N:N,MATCH($C300,$P:$P,0),1)+$G300,""),AND($B300&lt;&gt;"",$D300="COST"),$G300,TRUE,)</f>
        <v/>
      </c>
      <c r="J300" s="134" t="str">
        <f t="shared" si="304"/>
        <v/>
      </c>
      <c r="K300" s="219" t="str">
        <f t="shared" si="3"/>
        <v>Vanguard S&amp;P 500 UCITS ETF</v>
      </c>
      <c r="L300" s="150">
        <f t="shared" si="4"/>
        <v>4429</v>
      </c>
      <c r="M300" s="150">
        <f t="shared" si="5"/>
        <v>-189831.65</v>
      </c>
      <c r="N300" s="139" t="str">
        <f t="array" ref="N300">IF($P300&lt;&gt;"",IF(MAXIFS(Investment!$L:$L,Investment!$D:$D,LEFT($P300,40)&amp;"*"),MAXIFS(Investment!$L:$L,Investment!$D:$D,LEFT($P300,40)&amp;"*"),IFERROR(INDEX(Selection!$H:$H, MATCH($P300,Selection!$F:$F,0))/IF(OR(INDEX(Selection!$C:$C, MATCH($P300,Selection!$F:$F,0))="LN",INDEX(Selection!$C:$C, MATCH($P300,Selection!$F:$F,0))="US"),Investment!$K$7,1),"")),"")</f>
        <v/>
      </c>
      <c r="O300" s="144" t="str">
        <f>IF($P300&lt;&gt;"",IF(MAXIFS(Investment!$AG:$AG,Investment!$D:$D,LEFT($P300,40)&amp;"*"),MAXIFS(Investment!$AG:$AG,Investment!$D:$D,LEFT($P300,40)&amp;"*"),""),"")</f>
        <v/>
      </c>
      <c r="P300" s="135"/>
      <c r="Q300" s="150"/>
      <c r="R300" s="329"/>
    </row>
    <row r="301">
      <c r="A301" s="125">
        <v>43197.0</v>
      </c>
      <c r="B301" s="150" t="s">
        <v>277</v>
      </c>
      <c r="C301" s="133" t="s">
        <v>860</v>
      </c>
      <c r="D301" s="339" t="s">
        <v>390</v>
      </c>
      <c r="E301" s="339"/>
      <c r="F301" s="218"/>
      <c r="G301" s="132">
        <v>-7.05</v>
      </c>
      <c r="H301" s="344" t="s">
        <v>1367</v>
      </c>
      <c r="I301" s="134" t="str">
        <f t="shared" ref="I301:J301" si="305">IFS(AND($B301&lt;&gt;"",$E301&lt;&gt;""),IF(INDEX(N:N,MATCH($C301,$P:$P,0),1)&lt;&gt;"",$E301*INDEX(N:N,MATCH($C301,$P:$P,0),1)+$G301,""),AND($B301&lt;&gt;"",$D301="COST"),$G301,TRUE,)</f>
        <v/>
      </c>
      <c r="J301" s="134" t="str">
        <f t="shared" si="305"/>
        <v/>
      </c>
      <c r="K301" s="219" t="str">
        <f t="shared" si="3"/>
        <v>Vanguard Intermediate-Term Treasury ETF</v>
      </c>
      <c r="L301" s="150">
        <f t="shared" si="4"/>
        <v>0</v>
      </c>
      <c r="M301" s="150">
        <f t="shared" si="5"/>
        <v>-1817.48</v>
      </c>
      <c r="N301" s="139" t="str">
        <f t="array" ref="N301">IF($P301&lt;&gt;"",IF(MAXIFS(Investment!$L:$L,Investment!$D:$D,LEFT($P301,40)&amp;"*"),MAXIFS(Investment!$L:$L,Investment!$D:$D,LEFT($P301,40)&amp;"*"),IFERROR(INDEX(Selection!$H:$H, MATCH($P301,Selection!$F:$F,0))/IF(OR(INDEX(Selection!$C:$C, MATCH($P301,Selection!$F:$F,0))="LN",INDEX(Selection!$C:$C, MATCH($P301,Selection!$F:$F,0))="US"),Investment!$K$7,1),"")),"")</f>
        <v/>
      </c>
      <c r="O301" s="144" t="str">
        <f>IF($P301&lt;&gt;"",IF(MAXIFS(Investment!$AG:$AG,Investment!$D:$D,LEFT($P301,40)&amp;"*"),MAXIFS(Investment!$AG:$AG,Investment!$D:$D,LEFT($P301,40)&amp;"*"),""),"")</f>
        <v/>
      </c>
      <c r="P301" s="135"/>
      <c r="Q301" s="150"/>
      <c r="R301" s="329"/>
    </row>
    <row r="302">
      <c r="A302" s="125">
        <v>43197.0</v>
      </c>
      <c r="B302" s="127" t="s">
        <v>307</v>
      </c>
      <c r="C302" s="133" t="s">
        <v>308</v>
      </c>
      <c r="D302" s="264" t="s">
        <v>390</v>
      </c>
      <c r="E302" s="264"/>
      <c r="F302" s="218"/>
      <c r="G302" s="132">
        <v>-86.57</v>
      </c>
      <c r="H302" s="344" t="s">
        <v>1368</v>
      </c>
      <c r="I302" s="134" t="str">
        <f t="shared" ref="I302:J302" si="306">IFS(AND($B302&lt;&gt;"",$E302&lt;&gt;""),IF(INDEX(N:N,MATCH($C302,$P:$P,0),1)&lt;&gt;"",$E302*INDEX(N:N,MATCH($C302,$P:$P,0),1)+$G302,""),AND($B302&lt;&gt;"",$D302="COST"),$G302,TRUE,)</f>
        <v/>
      </c>
      <c r="J302" s="134" t="str">
        <f t="shared" si="306"/>
        <v/>
      </c>
      <c r="K302" s="219" t="str">
        <f t="shared" si="3"/>
        <v>Vanguard S&amp;P 500 UCITS ETF</v>
      </c>
      <c r="L302" s="150">
        <f t="shared" si="4"/>
        <v>4429</v>
      </c>
      <c r="M302" s="150">
        <f t="shared" si="5"/>
        <v>-189831.65</v>
      </c>
      <c r="N302" s="139" t="str">
        <f t="array" ref="N302">IF($P302&lt;&gt;"",IF(MAXIFS(Investment!$L:$L,Investment!$D:$D,LEFT($P302,40)&amp;"*"),MAXIFS(Investment!$L:$L,Investment!$D:$D,LEFT($P302,40)&amp;"*"),IFERROR(INDEX(Selection!$H:$H, MATCH($P302,Selection!$F:$F,0))/IF(OR(INDEX(Selection!$C:$C, MATCH($P302,Selection!$F:$F,0))="LN",INDEX(Selection!$C:$C, MATCH($P302,Selection!$F:$F,0))="US"),Investment!$K$7,1),"")),"")</f>
        <v/>
      </c>
      <c r="O302" s="144" t="str">
        <f>IF($P302&lt;&gt;"",IF(MAXIFS(Investment!$AG:$AG,Investment!$D:$D,LEFT($P302,40)&amp;"*"),MAXIFS(Investment!$AG:$AG,Investment!$D:$D,LEFT($P302,40)&amp;"*"),""),"")</f>
        <v/>
      </c>
      <c r="P302" s="135"/>
      <c r="Q302" s="150"/>
      <c r="R302" s="329"/>
    </row>
    <row r="303">
      <c r="A303" s="125">
        <v>43196.0</v>
      </c>
      <c r="B303" s="127" t="s">
        <v>277</v>
      </c>
      <c r="C303" s="133" t="s">
        <v>860</v>
      </c>
      <c r="D303" s="264" t="s">
        <v>390</v>
      </c>
      <c r="E303" s="264"/>
      <c r="F303" s="218"/>
      <c r="G303" s="132">
        <v>43.62</v>
      </c>
      <c r="H303" s="344" t="s">
        <v>1369</v>
      </c>
      <c r="I303" s="134" t="str">
        <f t="shared" ref="I303:J303" si="307">IFS(AND($B303&lt;&gt;"",$E303&lt;&gt;""),IF(INDEX(N:N,MATCH($C303,$P:$P,0),1)&lt;&gt;"",$E303*INDEX(N:N,MATCH($C303,$P:$P,0),1)+$G303,""),AND($B303&lt;&gt;"",$D303="COST"),$G303,TRUE,)</f>
        <v/>
      </c>
      <c r="J303" s="134" t="str">
        <f t="shared" si="307"/>
        <v/>
      </c>
      <c r="K303" s="219" t="str">
        <f t="shared" si="3"/>
        <v>Vanguard Intermediate-Term Treasury ETF</v>
      </c>
      <c r="L303" s="150">
        <f t="shared" si="4"/>
        <v>0</v>
      </c>
      <c r="M303" s="150">
        <f t="shared" si="5"/>
        <v>-1817.48</v>
      </c>
      <c r="N303" s="139" t="str">
        <f t="array" ref="N303">IF($P303&lt;&gt;"",IF(MAXIFS(Investment!$L:$L,Investment!$D:$D,LEFT($P303,40)&amp;"*"),MAXIFS(Investment!$L:$L,Investment!$D:$D,LEFT($P303,40)&amp;"*"),IFERROR(INDEX(Selection!$H:$H, MATCH($P303,Selection!$F:$F,0))/IF(OR(INDEX(Selection!$C:$C, MATCH($P303,Selection!$F:$F,0))="LN",INDEX(Selection!$C:$C, MATCH($P303,Selection!$F:$F,0))="US"),Investment!$K$7,1),"")),"")</f>
        <v/>
      </c>
      <c r="O303" s="144" t="str">
        <f>IF($P303&lt;&gt;"",IF(MAXIFS(Investment!$AG:$AG,Investment!$D:$D,LEFT($P303,40)&amp;"*"),MAXIFS(Investment!$AG:$AG,Investment!$D:$D,LEFT($P303,40)&amp;"*"),""),"")</f>
        <v/>
      </c>
      <c r="P303" s="135"/>
      <c r="Q303" s="150"/>
      <c r="R303" s="329"/>
    </row>
    <row r="304">
      <c r="A304" s="125">
        <v>43196.0</v>
      </c>
      <c r="B304" s="127" t="s">
        <v>307</v>
      </c>
      <c r="C304" s="133" t="s">
        <v>308</v>
      </c>
      <c r="D304" s="264" t="s">
        <v>390</v>
      </c>
      <c r="E304" s="264"/>
      <c r="F304" s="218"/>
      <c r="G304" s="132">
        <v>420.27</v>
      </c>
      <c r="H304" s="344" t="s">
        <v>1370</v>
      </c>
      <c r="I304" s="134" t="str">
        <f t="shared" ref="I304:J304" si="308">IFS(AND($B304&lt;&gt;"",$E304&lt;&gt;""),IF(INDEX(N:N,MATCH($C304,$P:$P,0),1)&lt;&gt;"",$E304*INDEX(N:N,MATCH($C304,$P:$P,0),1)+$G304,""),AND($B304&lt;&gt;"",$D304="COST"),$G304,TRUE,)</f>
        <v/>
      </c>
      <c r="J304" s="134" t="str">
        <f t="shared" si="308"/>
        <v/>
      </c>
      <c r="K304" s="219" t="str">
        <f t="shared" si="3"/>
        <v>Vanguard S&amp;P 500 UCITS ETF</v>
      </c>
      <c r="L304" s="150">
        <f t="shared" si="4"/>
        <v>4429</v>
      </c>
      <c r="M304" s="150">
        <f t="shared" si="5"/>
        <v>-189831.65</v>
      </c>
      <c r="N304" s="139" t="str">
        <f t="array" ref="N304">IF($P304&lt;&gt;"",IF(MAXIFS(Investment!$L:$L,Investment!$D:$D,LEFT($P304,40)&amp;"*"),MAXIFS(Investment!$L:$L,Investment!$D:$D,LEFT($P304,40)&amp;"*"),IFERROR(INDEX(Selection!$H:$H, MATCH($P304,Selection!$F:$F,0))/IF(OR(INDEX(Selection!$C:$C, MATCH($P304,Selection!$F:$F,0))="LN",INDEX(Selection!$C:$C, MATCH($P304,Selection!$F:$F,0))="US"),Investment!$K$7,1),"")),"")</f>
        <v/>
      </c>
      <c r="O304" s="144" t="str">
        <f>IF($P304&lt;&gt;"",IF(MAXIFS(Investment!$AG:$AG,Investment!$D:$D,LEFT($P304,40)&amp;"*"),MAXIFS(Investment!$AG:$AG,Investment!$D:$D,LEFT($P304,40)&amp;"*"),""),"")</f>
        <v/>
      </c>
      <c r="P304" s="135"/>
      <c r="Q304" s="150"/>
      <c r="R304" s="329"/>
    </row>
    <row r="305">
      <c r="A305" s="125">
        <v>43195.0</v>
      </c>
      <c r="B305" s="127"/>
      <c r="C305" s="133"/>
      <c r="D305" s="264" t="s">
        <v>263</v>
      </c>
      <c r="E305" s="264"/>
      <c r="F305" s="218"/>
      <c r="G305" s="132">
        <v>-0.01</v>
      </c>
      <c r="H305" s="344" t="s">
        <v>1371</v>
      </c>
      <c r="I305" s="134" t="str">
        <f t="shared" ref="I305:J305" si="309">IFS(AND($B305&lt;&gt;"",$E305&lt;&gt;""),IF(INDEX(N:N,MATCH($C305,$P:$P,0),1)&lt;&gt;"",$E305*INDEX(N:N,MATCH($C305,$P:$P,0),1)+$G305,""),AND($B305&lt;&gt;"",$D305="COST"),$G305,TRUE,)</f>
        <v/>
      </c>
      <c r="J305" s="134" t="str">
        <f t="shared" si="309"/>
        <v/>
      </c>
      <c r="K305" s="219" t="str">
        <f t="shared" si="3"/>
        <v/>
      </c>
      <c r="L305" s="150" t="str">
        <f t="shared" si="4"/>
        <v/>
      </c>
      <c r="M305" s="150" t="str">
        <f t="shared" si="5"/>
        <v/>
      </c>
      <c r="N305" s="139" t="str">
        <f t="array" ref="N305">IF($P305&lt;&gt;"",IF(MAXIFS(Investment!$L:$L,Investment!$D:$D,LEFT($P305,40)&amp;"*"),MAXIFS(Investment!$L:$L,Investment!$D:$D,LEFT($P305,40)&amp;"*"),IFERROR(INDEX(Selection!$H:$H, MATCH($P305,Selection!$F:$F,0))/IF(OR(INDEX(Selection!$C:$C, MATCH($P305,Selection!$F:$F,0))="LN",INDEX(Selection!$C:$C, MATCH($P305,Selection!$F:$F,0))="US"),Investment!$K$7,1),"")),"")</f>
        <v/>
      </c>
      <c r="O305" s="144" t="str">
        <f>IF($P305&lt;&gt;"",IF(MAXIFS(Investment!$AG:$AG,Investment!$D:$D,LEFT($P305,40)&amp;"*"),MAXIFS(Investment!$AG:$AG,Investment!$D:$D,LEFT($P305,40)&amp;"*"),""),"")</f>
        <v/>
      </c>
      <c r="P305" s="135"/>
      <c r="Q305" s="150"/>
      <c r="R305" s="329"/>
    </row>
    <row r="306">
      <c r="A306" s="125">
        <v>43195.0</v>
      </c>
      <c r="B306" s="127"/>
      <c r="C306" s="133"/>
      <c r="D306" s="264" t="s">
        <v>263</v>
      </c>
      <c r="E306" s="264"/>
      <c r="F306" s="218"/>
      <c r="G306" s="132">
        <v>-155.56</v>
      </c>
      <c r="H306" s="344" t="s">
        <v>1372</v>
      </c>
      <c r="I306" s="134" t="str">
        <f t="shared" ref="I306:J306" si="310">IFS(AND($B306&lt;&gt;"",$E306&lt;&gt;""),IF(INDEX(N:N,MATCH($C306,$P:$P,0),1)&lt;&gt;"",$E306*INDEX(N:N,MATCH($C306,$P:$P,0),1)+$G306,""),AND($B306&lt;&gt;"",$D306="COST"),$G306,TRUE,)</f>
        <v/>
      </c>
      <c r="J306" s="134" t="str">
        <f t="shared" si="310"/>
        <v/>
      </c>
      <c r="K306" s="219" t="str">
        <f t="shared" si="3"/>
        <v/>
      </c>
      <c r="L306" s="150" t="str">
        <f t="shared" si="4"/>
        <v/>
      </c>
      <c r="M306" s="150" t="str">
        <f t="shared" si="5"/>
        <v/>
      </c>
      <c r="N306" s="139" t="str">
        <f t="array" ref="N306">IF($P306&lt;&gt;"",IF(MAXIFS(Investment!$L:$L,Investment!$D:$D,LEFT($P306,40)&amp;"*"),MAXIFS(Investment!$L:$L,Investment!$D:$D,LEFT($P306,40)&amp;"*"),IFERROR(INDEX(Selection!$H:$H, MATCH($P306,Selection!$F:$F,0))/IF(OR(INDEX(Selection!$C:$C, MATCH($P306,Selection!$F:$F,0))="LN",INDEX(Selection!$C:$C, MATCH($P306,Selection!$F:$F,0))="US"),Investment!$K$7,1),"")),"")</f>
        <v/>
      </c>
      <c r="O306" s="144" t="str">
        <f>IF($P306&lt;&gt;"",IF(MAXIFS(Investment!$AG:$AG,Investment!$D:$D,LEFT($P306,40)&amp;"*"),MAXIFS(Investment!$AG:$AG,Investment!$D:$D,LEFT($P306,40)&amp;"*"),""),"")</f>
        <v/>
      </c>
      <c r="P306" s="135"/>
      <c r="Q306" s="150"/>
      <c r="R306" s="329"/>
    </row>
    <row r="307">
      <c r="A307" s="125">
        <v>43194.0</v>
      </c>
      <c r="B307" s="127"/>
      <c r="C307" s="133"/>
      <c r="D307" s="264" t="s">
        <v>263</v>
      </c>
      <c r="E307" s="264"/>
      <c r="F307" s="218"/>
      <c r="G307" s="132">
        <v>0.03</v>
      </c>
      <c r="H307" s="344" t="s">
        <v>1373</v>
      </c>
      <c r="I307" s="134" t="str">
        <f t="shared" ref="I307:J307" si="311">IFS(AND($B307&lt;&gt;"",$E307&lt;&gt;""),IF(INDEX(N:N,MATCH($C307,$P:$P,0),1)&lt;&gt;"",$E307*INDEX(N:N,MATCH($C307,$P:$P,0),1)+$G307,""),AND($B307&lt;&gt;"",$D307="COST"),$G307,TRUE,)</f>
        <v/>
      </c>
      <c r="J307" s="134" t="str">
        <f t="shared" si="311"/>
        <v/>
      </c>
      <c r="K307" s="219" t="str">
        <f t="shared" si="3"/>
        <v/>
      </c>
      <c r="L307" s="150" t="str">
        <f t="shared" si="4"/>
        <v/>
      </c>
      <c r="M307" s="150" t="str">
        <f t="shared" si="5"/>
        <v/>
      </c>
      <c r="N307" s="139" t="str">
        <f t="array" ref="N307">IF($P307&lt;&gt;"",IF(MAXIFS(Investment!$L:$L,Investment!$D:$D,LEFT($P307,40)&amp;"*"),MAXIFS(Investment!$L:$L,Investment!$D:$D,LEFT($P307,40)&amp;"*"),IFERROR(INDEX(Selection!$H:$H, MATCH($P307,Selection!$F:$F,0))/IF(OR(INDEX(Selection!$C:$C, MATCH($P307,Selection!$F:$F,0))="LN",INDEX(Selection!$C:$C, MATCH($P307,Selection!$F:$F,0))="US"),Investment!$K$7,1),"")),"")</f>
        <v/>
      </c>
      <c r="O307" s="144" t="str">
        <f>IF($P307&lt;&gt;"",IF(MAXIFS(Investment!$AG:$AG,Investment!$D:$D,LEFT($P307,40)&amp;"*"),MAXIFS(Investment!$AG:$AG,Investment!$D:$D,LEFT($P307,40)&amp;"*"),""),"")</f>
        <v/>
      </c>
      <c r="P307" s="135"/>
      <c r="Q307" s="150"/>
      <c r="R307" s="329"/>
    </row>
    <row r="308">
      <c r="A308" s="125">
        <v>43182.0</v>
      </c>
      <c r="B308" s="127" t="s">
        <v>243</v>
      </c>
      <c r="C308" s="133" t="s">
        <v>588</v>
      </c>
      <c r="D308" s="264" t="s">
        <v>390</v>
      </c>
      <c r="E308" s="264"/>
      <c r="F308" s="218"/>
      <c r="G308" s="132">
        <v>-89.96</v>
      </c>
      <c r="H308" s="344" t="s">
        <v>1374</v>
      </c>
      <c r="I308" s="134" t="str">
        <f t="shared" ref="I308:J308" si="312">IFS(AND($B308&lt;&gt;"",$E308&lt;&gt;""),IF(INDEX(N:N,MATCH($C308,$P:$P,0),1)&lt;&gt;"",$E308*INDEX(N:N,MATCH($C308,$P:$P,0),1)+$G308,""),AND($B308&lt;&gt;"",$D308="COST"),$G308,TRUE,)</f>
        <v/>
      </c>
      <c r="J308" s="134" t="str">
        <f t="shared" si="312"/>
        <v/>
      </c>
      <c r="K308" s="219" t="str">
        <f t="shared" si="3"/>
        <v>Vanguard Extended Duration Treasury ETF</v>
      </c>
      <c r="L308" s="150">
        <f t="shared" si="4"/>
        <v>0</v>
      </c>
      <c r="M308" s="150">
        <f t="shared" si="5"/>
        <v>-4941.36</v>
      </c>
      <c r="N308" s="139" t="str">
        <f t="array" ref="N308">IF($P308&lt;&gt;"",IF(MAXIFS(Investment!$L:$L,Investment!$D:$D,LEFT($P308,40)&amp;"*"),MAXIFS(Investment!$L:$L,Investment!$D:$D,LEFT($P308,40)&amp;"*"),IFERROR(INDEX(Selection!$H:$H, MATCH($P308,Selection!$F:$F,0))/IF(OR(INDEX(Selection!$C:$C, MATCH($P308,Selection!$F:$F,0))="LN",INDEX(Selection!$C:$C, MATCH($P308,Selection!$F:$F,0))="US"),Investment!$K$7,1),"")),"")</f>
        <v/>
      </c>
      <c r="O308" s="144" t="str">
        <f>IF($P308&lt;&gt;"",IF(MAXIFS(Investment!$AG:$AG,Investment!$D:$D,LEFT($P308,40)&amp;"*"),MAXIFS(Investment!$AG:$AG,Investment!$D:$D,LEFT($P308,40)&amp;"*"),""),"")</f>
        <v/>
      </c>
      <c r="P308" s="135"/>
      <c r="Q308" s="150"/>
      <c r="R308" s="329"/>
    </row>
    <row r="309">
      <c r="A309" s="125">
        <v>43181.0</v>
      </c>
      <c r="B309" s="127" t="s">
        <v>243</v>
      </c>
      <c r="C309" s="133" t="s">
        <v>588</v>
      </c>
      <c r="D309" s="264" t="s">
        <v>390</v>
      </c>
      <c r="E309" s="264"/>
      <c r="F309" s="218"/>
      <c r="G309" s="132">
        <v>476.2</v>
      </c>
      <c r="H309" s="344" t="s">
        <v>1375</v>
      </c>
      <c r="I309" s="134" t="str">
        <f t="shared" ref="I309:J309" si="313">IFS(AND($B309&lt;&gt;"",$E309&lt;&gt;""),IF(INDEX(N:N,MATCH($C309,$P:$P,0),1)&lt;&gt;"",$E309*INDEX(N:N,MATCH($C309,$P:$P,0),1)+$G309,""),AND($B309&lt;&gt;"",$D309="COST"),$G309,TRUE,)</f>
        <v/>
      </c>
      <c r="J309" s="134" t="str">
        <f t="shared" si="313"/>
        <v/>
      </c>
      <c r="K309" s="219" t="str">
        <f t="shared" si="3"/>
        <v>Vanguard Extended Duration Treasury ETF</v>
      </c>
      <c r="L309" s="150">
        <f t="shared" si="4"/>
        <v>0</v>
      </c>
      <c r="M309" s="150">
        <f t="shared" si="5"/>
        <v>-4941.36</v>
      </c>
      <c r="N309" s="139" t="str">
        <f t="array" ref="N309">IF($P309&lt;&gt;"",IF(MAXIFS(Investment!$L:$L,Investment!$D:$D,LEFT($P309,40)&amp;"*"),MAXIFS(Investment!$L:$L,Investment!$D:$D,LEFT($P309,40)&amp;"*"),IFERROR(INDEX(Selection!$H:$H, MATCH($P309,Selection!$F:$F,0))/IF(OR(INDEX(Selection!$C:$C, MATCH($P309,Selection!$F:$F,0))="LN",INDEX(Selection!$C:$C, MATCH($P309,Selection!$F:$F,0))="US"),Investment!$K$7,1),"")),"")</f>
        <v/>
      </c>
      <c r="O309" s="144" t="str">
        <f>IF($P309&lt;&gt;"",IF(MAXIFS(Investment!$AG:$AG,Investment!$D:$D,LEFT($P309,40)&amp;"*"),MAXIFS(Investment!$AG:$AG,Investment!$D:$D,LEFT($P309,40)&amp;"*"),""),"")</f>
        <v/>
      </c>
      <c r="P309" s="135"/>
      <c r="Q309" s="150"/>
      <c r="R309" s="329"/>
    </row>
    <row r="310">
      <c r="A310" s="125">
        <v>43170.0</v>
      </c>
      <c r="B310" s="127" t="s">
        <v>277</v>
      </c>
      <c r="C310" s="133" t="s">
        <v>860</v>
      </c>
      <c r="D310" s="264" t="s">
        <v>390</v>
      </c>
      <c r="E310" s="264"/>
      <c r="F310" s="218"/>
      <c r="G310" s="132">
        <v>-7.17</v>
      </c>
      <c r="H310" s="344" t="s">
        <v>1376</v>
      </c>
      <c r="I310" s="134" t="str">
        <f t="shared" ref="I310:J310" si="314">IFS(AND($B310&lt;&gt;"",$E310&lt;&gt;""),IF(INDEX(N:N,MATCH($C310,$P:$P,0),1)&lt;&gt;"",$E310*INDEX(N:N,MATCH($C310,$P:$P,0),1)+$G310,""),AND($B310&lt;&gt;"",$D310="COST"),$G310,TRUE,)</f>
        <v/>
      </c>
      <c r="J310" s="134" t="str">
        <f t="shared" si="314"/>
        <v/>
      </c>
      <c r="K310" s="219" t="str">
        <f t="shared" si="3"/>
        <v>Vanguard Intermediate-Term Treasury ETF</v>
      </c>
      <c r="L310" s="150">
        <f t="shared" si="4"/>
        <v>0</v>
      </c>
      <c r="M310" s="150">
        <f t="shared" si="5"/>
        <v>-1817.48</v>
      </c>
      <c r="N310" s="139" t="str">
        <f t="array" ref="N310">IF($P310&lt;&gt;"",IF(MAXIFS(Investment!$L:$L,Investment!$D:$D,LEFT($P310,40)&amp;"*"),MAXIFS(Investment!$L:$L,Investment!$D:$D,LEFT($P310,40)&amp;"*"),IFERROR(INDEX(Selection!$H:$H, MATCH($P310,Selection!$F:$F,0))/IF(OR(INDEX(Selection!$C:$C, MATCH($P310,Selection!$F:$F,0))="LN",INDEX(Selection!$C:$C, MATCH($P310,Selection!$F:$F,0))="US"),Investment!$K$7,1),"")),"")</f>
        <v/>
      </c>
      <c r="O310" s="144" t="str">
        <f>IF($P310&lt;&gt;"",IF(MAXIFS(Investment!$AG:$AG,Investment!$D:$D,LEFT($P310,40)&amp;"*"),MAXIFS(Investment!$AG:$AG,Investment!$D:$D,LEFT($P310,40)&amp;"*"),""),"")</f>
        <v/>
      </c>
      <c r="P310" s="135"/>
      <c r="Q310" s="150"/>
      <c r="R310" s="329"/>
    </row>
    <row r="311">
      <c r="A311" s="125">
        <v>43167.0</v>
      </c>
      <c r="B311" s="127" t="s">
        <v>277</v>
      </c>
      <c r="C311" s="133" t="s">
        <v>860</v>
      </c>
      <c r="D311" s="264" t="s">
        <v>390</v>
      </c>
      <c r="E311" s="264"/>
      <c r="F311" s="218"/>
      <c r="G311" s="132">
        <v>38.09</v>
      </c>
      <c r="H311" s="344" t="s">
        <v>1377</v>
      </c>
      <c r="I311" s="134" t="str">
        <f t="shared" ref="I311:J311" si="315">IFS(AND($B311&lt;&gt;"",$E311&lt;&gt;""),IF(INDEX(N:N,MATCH($C311,$P:$P,0),1)&lt;&gt;"",$E311*INDEX(N:N,MATCH($C311,$P:$P,0),1)+$G311,""),AND($B311&lt;&gt;"",$D311="COST"),$G311,TRUE,)</f>
        <v/>
      </c>
      <c r="J311" s="134" t="str">
        <f t="shared" si="315"/>
        <v/>
      </c>
      <c r="K311" s="219" t="str">
        <f t="shared" si="3"/>
        <v>Vanguard Intermediate-Term Treasury ETF</v>
      </c>
      <c r="L311" s="150">
        <f t="shared" si="4"/>
        <v>0</v>
      </c>
      <c r="M311" s="150">
        <f t="shared" si="5"/>
        <v>-1817.48</v>
      </c>
      <c r="N311" s="139" t="str">
        <f t="array" ref="N311">IF($P311&lt;&gt;"",IF(MAXIFS(Investment!$L:$L,Investment!$D:$D,LEFT($P311,40)&amp;"*"),MAXIFS(Investment!$L:$L,Investment!$D:$D,LEFT($P311,40)&amp;"*"),IFERROR(INDEX(Selection!$H:$H, MATCH($P311,Selection!$F:$F,0))/IF(OR(INDEX(Selection!$C:$C, MATCH($P311,Selection!$F:$F,0))="LN",INDEX(Selection!$C:$C, MATCH($P311,Selection!$F:$F,0))="US"),Investment!$K$7,1),"")),"")</f>
        <v/>
      </c>
      <c r="O311" s="144" t="str">
        <f>IF($P311&lt;&gt;"",IF(MAXIFS(Investment!$AG:$AG,Investment!$D:$D,LEFT($P311,40)&amp;"*"),MAXIFS(Investment!$AG:$AG,Investment!$D:$D,LEFT($P311,40)&amp;"*"),""),"")</f>
        <v/>
      </c>
      <c r="P311" s="135"/>
      <c r="Q311" s="150"/>
      <c r="R311" s="329"/>
    </row>
    <row r="312">
      <c r="A312" s="125">
        <v>43161.0</v>
      </c>
      <c r="B312" s="127"/>
      <c r="C312" s="133"/>
      <c r="D312" s="264" t="s">
        <v>263</v>
      </c>
      <c r="E312" s="264"/>
      <c r="F312" s="218"/>
      <c r="G312" s="132">
        <v>-166.36</v>
      </c>
      <c r="H312" s="344" t="s">
        <v>1378</v>
      </c>
      <c r="I312" s="134" t="str">
        <f t="shared" ref="I312:J312" si="316">IFS(AND($B312&lt;&gt;"",$E312&lt;&gt;""),IF(INDEX(N:N,MATCH($C312,$P:$P,0),1)&lt;&gt;"",$E312*INDEX(N:N,MATCH($C312,$P:$P,0),1)+$G312,""),AND($B312&lt;&gt;"",$D312="COST"),$G312,TRUE,)</f>
        <v/>
      </c>
      <c r="J312" s="134" t="str">
        <f t="shared" si="316"/>
        <v/>
      </c>
      <c r="K312" s="219" t="str">
        <f t="shared" si="3"/>
        <v/>
      </c>
      <c r="L312" s="150" t="str">
        <f t="shared" si="4"/>
        <v/>
      </c>
      <c r="M312" s="150" t="str">
        <f t="shared" si="5"/>
        <v/>
      </c>
      <c r="N312" s="139" t="str">
        <f t="array" ref="N312">IF($P312&lt;&gt;"",IF(MAXIFS(Investment!$L:$L,Investment!$D:$D,LEFT($P312,40)&amp;"*"),MAXIFS(Investment!$L:$L,Investment!$D:$D,LEFT($P312,40)&amp;"*"),IFERROR(INDEX(Selection!$H:$H, MATCH($P312,Selection!$F:$F,0))/IF(OR(INDEX(Selection!$C:$C, MATCH($P312,Selection!$F:$F,0))="LN",INDEX(Selection!$C:$C, MATCH($P312,Selection!$F:$F,0))="US"),Investment!$K$7,1),"")),"")</f>
        <v/>
      </c>
      <c r="O312" s="144" t="str">
        <f>IF($P312&lt;&gt;"",IF(MAXIFS(Investment!$AG:$AG,Investment!$D:$D,LEFT($P312,40)&amp;"*"),MAXIFS(Investment!$AG:$AG,Investment!$D:$D,LEFT($P312,40)&amp;"*"),""),"")</f>
        <v/>
      </c>
      <c r="P312" s="135"/>
      <c r="Q312" s="150"/>
      <c r="R312" s="329"/>
    </row>
    <row r="313">
      <c r="A313" s="125">
        <v>43143.0</v>
      </c>
      <c r="B313" s="127" t="s">
        <v>307</v>
      </c>
      <c r="C313" s="133" t="s">
        <v>308</v>
      </c>
      <c r="D313" s="264" t="s">
        <v>245</v>
      </c>
      <c r="E313" s="264">
        <v>-30.0</v>
      </c>
      <c r="F313" s="218">
        <v>40.931</v>
      </c>
      <c r="G313" s="132">
        <v>1227.93</v>
      </c>
      <c r="H313" s="344" t="s">
        <v>1379</v>
      </c>
      <c r="I313" s="134">
        <f t="shared" ref="I313:J313" si="317">IFS(AND($B313&lt;&gt;"",$E313&lt;&gt;""),IF(INDEX(N:N,MATCH($C313,$P:$P,0),1)&lt;&gt;"",$E313*INDEX(N:N,MATCH($C313,$P:$P,0),1)+$G313,""),AND($B313&lt;&gt;"",$D313="COST"),$G313,TRUE,)</f>
        <v>-212.97</v>
      </c>
      <c r="J313" s="134">
        <f t="shared" si="317"/>
        <v>-149.8796471</v>
      </c>
      <c r="K313" s="219" t="str">
        <f t="shared" si="3"/>
        <v>Vanguard S&amp;P 500 UCITS ETF</v>
      </c>
      <c r="L313" s="150">
        <f t="shared" si="4"/>
        <v>4429</v>
      </c>
      <c r="M313" s="150">
        <f t="shared" si="5"/>
        <v>-189831.65</v>
      </c>
      <c r="N313" s="139" t="str">
        <f t="array" ref="N313">IF($P313&lt;&gt;"",IF(MAXIFS(Investment!$L:$L,Investment!$D:$D,LEFT($P313,40)&amp;"*"),MAXIFS(Investment!$L:$L,Investment!$D:$D,LEFT($P313,40)&amp;"*"),IFERROR(INDEX(Selection!$H:$H, MATCH($P313,Selection!$F:$F,0))/IF(OR(INDEX(Selection!$C:$C, MATCH($P313,Selection!$F:$F,0))="LN",INDEX(Selection!$C:$C, MATCH($P313,Selection!$F:$F,0))="US"),Investment!$K$7,1),"")),"")</f>
        <v/>
      </c>
      <c r="O313" s="144" t="str">
        <f>IF($P313&lt;&gt;"",IF(MAXIFS(Investment!$AG:$AG,Investment!$D:$D,LEFT($P313,40)&amp;"*"),MAXIFS(Investment!$AG:$AG,Investment!$D:$D,LEFT($P313,40)&amp;"*"),""),"")</f>
        <v/>
      </c>
      <c r="P313" s="135"/>
      <c r="Q313" s="150"/>
      <c r="R313" s="329"/>
    </row>
    <row r="314">
      <c r="A314" s="125">
        <v>43143.0</v>
      </c>
      <c r="B314" s="127" t="s">
        <v>307</v>
      </c>
      <c r="C314" s="133" t="s">
        <v>308</v>
      </c>
      <c r="D314" s="264" t="s">
        <v>245</v>
      </c>
      <c r="E314" s="264">
        <v>-60.0</v>
      </c>
      <c r="F314" s="218">
        <v>40.961</v>
      </c>
      <c r="G314" s="132">
        <v>2457.66</v>
      </c>
      <c r="H314" s="344" t="s">
        <v>1380</v>
      </c>
      <c r="I314" s="134">
        <f t="shared" ref="I314:J314" si="318">IFS(AND($B314&lt;&gt;"",$E314&lt;&gt;""),IF(INDEX(N:N,MATCH($C314,$P:$P,0),1)&lt;&gt;"",$E314*INDEX(N:N,MATCH($C314,$P:$P,0),1)+$G314,""),AND($B314&lt;&gt;"",$D314="COST"),$G314,TRUE,)</f>
        <v>-424.14</v>
      </c>
      <c r="J314" s="134">
        <f t="shared" si="318"/>
        <v>-297.9592941</v>
      </c>
      <c r="K314" s="219" t="str">
        <f t="shared" si="3"/>
        <v>Vanguard S&amp;P 500 UCITS ETF</v>
      </c>
      <c r="L314" s="150">
        <f t="shared" si="4"/>
        <v>4429</v>
      </c>
      <c r="M314" s="150">
        <f t="shared" si="5"/>
        <v>-189831.65</v>
      </c>
      <c r="N314" s="139" t="str">
        <f t="array" ref="N314">IF($P314&lt;&gt;"",IF(MAXIFS(Investment!$L:$L,Investment!$D:$D,LEFT($P314,40)&amp;"*"),MAXIFS(Investment!$L:$L,Investment!$D:$D,LEFT($P314,40)&amp;"*"),IFERROR(INDEX(Selection!$H:$H, MATCH($P314,Selection!$F:$F,0))/IF(OR(INDEX(Selection!$C:$C, MATCH($P314,Selection!$F:$F,0))="LN",INDEX(Selection!$C:$C, MATCH($P314,Selection!$F:$F,0))="US"),Investment!$K$7,1),"")),"")</f>
        <v/>
      </c>
      <c r="O314" s="144" t="str">
        <f>IF($P314&lt;&gt;"",IF(MAXIFS(Investment!$AG:$AG,Investment!$D:$D,LEFT($P314,40)&amp;"*"),MAXIFS(Investment!$AG:$AG,Investment!$D:$D,LEFT($P314,40)&amp;"*"),""),"")</f>
        <v/>
      </c>
      <c r="P314" s="135"/>
      <c r="Q314" s="150"/>
      <c r="R314" s="329"/>
    </row>
    <row r="315">
      <c r="A315" s="125">
        <v>43143.0</v>
      </c>
      <c r="B315" s="127" t="s">
        <v>307</v>
      </c>
      <c r="C315" s="133" t="s">
        <v>308</v>
      </c>
      <c r="D315" s="264" t="s">
        <v>245</v>
      </c>
      <c r="E315" s="264">
        <v>-30.0</v>
      </c>
      <c r="F315" s="218">
        <v>40.966</v>
      </c>
      <c r="G315" s="132">
        <v>1228.98</v>
      </c>
      <c r="H315" s="344" t="s">
        <v>1381</v>
      </c>
      <c r="I315" s="134">
        <f t="shared" ref="I315:J315" si="319">IFS(AND($B315&lt;&gt;"",$E315&lt;&gt;""),IF(INDEX(N:N,MATCH($C315,$P:$P,0),1)&lt;&gt;"",$E315*INDEX(N:N,MATCH($C315,$P:$P,0),1)+$G315,""),AND($B315&lt;&gt;"",$D315="COST"),$G315,TRUE,)</f>
        <v>-211.92</v>
      </c>
      <c r="J315" s="134">
        <f t="shared" si="319"/>
        <v>-148.8296471</v>
      </c>
      <c r="K315" s="219" t="str">
        <f t="shared" si="3"/>
        <v>Vanguard S&amp;P 500 UCITS ETF</v>
      </c>
      <c r="L315" s="150">
        <f t="shared" si="4"/>
        <v>4429</v>
      </c>
      <c r="M315" s="150">
        <f t="shared" si="5"/>
        <v>-189831.65</v>
      </c>
      <c r="N315" s="139" t="str">
        <f t="array" ref="N315">IF($P315&lt;&gt;"",IF(MAXIFS(Investment!$L:$L,Investment!$D:$D,LEFT($P315,40)&amp;"*"),MAXIFS(Investment!$L:$L,Investment!$D:$D,LEFT($P315,40)&amp;"*"),IFERROR(INDEX(Selection!$H:$H, MATCH($P315,Selection!$F:$F,0))/IF(OR(INDEX(Selection!$C:$C, MATCH($P315,Selection!$F:$F,0))="LN",INDEX(Selection!$C:$C, MATCH($P315,Selection!$F:$F,0))="US"),Investment!$K$7,1),"")),"")</f>
        <v/>
      </c>
      <c r="O315" s="144" t="str">
        <f>IF($P315&lt;&gt;"",IF(MAXIFS(Investment!$AG:$AG,Investment!$D:$D,LEFT($P315,40)&amp;"*"),MAXIFS(Investment!$AG:$AG,Investment!$D:$D,LEFT($P315,40)&amp;"*"),""),"")</f>
        <v/>
      </c>
      <c r="P315" s="135"/>
      <c r="Q315" s="150"/>
      <c r="R315" s="329"/>
    </row>
    <row r="316">
      <c r="A316" s="125">
        <v>43143.0</v>
      </c>
      <c r="B316" s="127" t="s">
        <v>307</v>
      </c>
      <c r="C316" s="133" t="s">
        <v>308</v>
      </c>
      <c r="D316" s="264" t="s">
        <v>245</v>
      </c>
      <c r="E316" s="264">
        <v>-30.0</v>
      </c>
      <c r="F316" s="218">
        <v>40.986</v>
      </c>
      <c r="G316" s="132">
        <v>1229.58</v>
      </c>
      <c r="H316" s="344" t="s">
        <v>1382</v>
      </c>
      <c r="I316" s="134">
        <f t="shared" ref="I316:J316" si="320">IFS(AND($B316&lt;&gt;"",$E316&lt;&gt;""),IF(INDEX(N:N,MATCH($C316,$P:$P,0),1)&lt;&gt;"",$E316*INDEX(N:N,MATCH($C316,$P:$P,0),1)+$G316,""),AND($B316&lt;&gt;"",$D316="COST"),$G316,TRUE,)</f>
        <v>-211.32</v>
      </c>
      <c r="J316" s="134">
        <f t="shared" si="320"/>
        <v>-148.2296471</v>
      </c>
      <c r="K316" s="219" t="str">
        <f t="shared" si="3"/>
        <v>Vanguard S&amp;P 500 UCITS ETF</v>
      </c>
      <c r="L316" s="150">
        <f t="shared" si="4"/>
        <v>4429</v>
      </c>
      <c r="M316" s="150">
        <f t="shared" si="5"/>
        <v>-189831.65</v>
      </c>
      <c r="N316" s="139" t="str">
        <f t="array" ref="N316">IF($P316&lt;&gt;"",IF(MAXIFS(Investment!$L:$L,Investment!$D:$D,LEFT($P316,40)&amp;"*"),MAXIFS(Investment!$L:$L,Investment!$D:$D,LEFT($P316,40)&amp;"*"),IFERROR(INDEX(Selection!$H:$H, MATCH($P316,Selection!$F:$F,0))/IF(OR(INDEX(Selection!$C:$C, MATCH($P316,Selection!$F:$F,0))="LN",INDEX(Selection!$C:$C, MATCH($P316,Selection!$F:$F,0))="US"),Investment!$K$7,1),"")),"")</f>
        <v/>
      </c>
      <c r="O316" s="144" t="str">
        <f>IF($P316&lt;&gt;"",IF(MAXIFS(Investment!$AG:$AG,Investment!$D:$D,LEFT($P316,40)&amp;"*"),MAXIFS(Investment!$AG:$AG,Investment!$D:$D,LEFT($P316,40)&amp;"*"),""),"")</f>
        <v/>
      </c>
      <c r="P316" s="135"/>
      <c r="Q316" s="150"/>
      <c r="R316" s="329"/>
    </row>
    <row r="317">
      <c r="A317" s="125">
        <v>43139.0</v>
      </c>
      <c r="B317" s="127" t="s">
        <v>277</v>
      </c>
      <c r="C317" s="133" t="s">
        <v>860</v>
      </c>
      <c r="D317" s="264" t="s">
        <v>390</v>
      </c>
      <c r="E317" s="264"/>
      <c r="F317" s="218"/>
      <c r="G317" s="132">
        <v>-7.02</v>
      </c>
      <c r="H317" s="344" t="s">
        <v>1383</v>
      </c>
      <c r="I317" s="134" t="str">
        <f t="shared" ref="I317:J317" si="321">IFS(AND($B317&lt;&gt;"",$E317&lt;&gt;""),IF(INDEX(N:N,MATCH($C317,$P:$P,0),1)&lt;&gt;"",$E317*INDEX(N:N,MATCH($C317,$P:$P,0),1)+$G317,""),AND($B317&lt;&gt;"",$D317="COST"),$G317,TRUE,)</f>
        <v/>
      </c>
      <c r="J317" s="134" t="str">
        <f t="shared" si="321"/>
        <v/>
      </c>
      <c r="K317" s="219" t="str">
        <f t="shared" si="3"/>
        <v>Vanguard Intermediate-Term Treasury ETF</v>
      </c>
      <c r="L317" s="150">
        <f t="shared" si="4"/>
        <v>0</v>
      </c>
      <c r="M317" s="150">
        <f t="shared" si="5"/>
        <v>-1817.48</v>
      </c>
      <c r="N317" s="139" t="str">
        <f t="array" ref="N317">IF($P317&lt;&gt;"",IF(MAXIFS(Investment!$L:$L,Investment!$D:$D,LEFT($P317,40)&amp;"*"),MAXIFS(Investment!$L:$L,Investment!$D:$D,LEFT($P317,40)&amp;"*"),IFERROR(INDEX(Selection!$H:$H, MATCH($P317,Selection!$F:$F,0))/IF(OR(INDEX(Selection!$C:$C, MATCH($P317,Selection!$F:$F,0))="LN",INDEX(Selection!$C:$C, MATCH($P317,Selection!$F:$F,0))="US"),Investment!$K$7,1),"")),"")</f>
        <v/>
      </c>
      <c r="O317" s="144" t="str">
        <f>IF($P317&lt;&gt;"",IF(MAXIFS(Investment!$AG:$AG,Investment!$D:$D,LEFT($P317,40)&amp;"*"),MAXIFS(Investment!$AG:$AG,Investment!$D:$D,LEFT($P317,40)&amp;"*"),""),"")</f>
        <v/>
      </c>
      <c r="P317" s="135"/>
      <c r="Q317" s="150"/>
      <c r="R317" s="329"/>
    </row>
    <row r="318">
      <c r="A318" s="125">
        <v>43138.0</v>
      </c>
      <c r="B318" s="127" t="s">
        <v>277</v>
      </c>
      <c r="C318" s="133" t="s">
        <v>860</v>
      </c>
      <c r="D318" s="264" t="s">
        <v>390</v>
      </c>
      <c r="E318" s="264"/>
      <c r="F318" s="218"/>
      <c r="G318" s="132">
        <v>37.88</v>
      </c>
      <c r="H318" s="344" t="s">
        <v>1384</v>
      </c>
      <c r="I318" s="134" t="str">
        <f t="shared" ref="I318:J318" si="322">IFS(AND($B318&lt;&gt;"",$E318&lt;&gt;""),IF(INDEX(N:N,MATCH($C318,$P:$P,0),1)&lt;&gt;"",$E318*INDEX(N:N,MATCH($C318,$P:$P,0),1)+$G318,""),AND($B318&lt;&gt;"",$D318="COST"),$G318,TRUE,)</f>
        <v/>
      </c>
      <c r="J318" s="134" t="str">
        <f t="shared" si="322"/>
        <v/>
      </c>
      <c r="K318" s="219" t="str">
        <f t="shared" si="3"/>
        <v>Vanguard Intermediate-Term Treasury ETF</v>
      </c>
      <c r="L318" s="150">
        <f t="shared" si="4"/>
        <v>0</v>
      </c>
      <c r="M318" s="150">
        <f t="shared" si="5"/>
        <v>-1817.48</v>
      </c>
      <c r="N318" s="139" t="str">
        <f t="array" ref="N318">IF($P318&lt;&gt;"",IF(MAXIFS(Investment!$L:$L,Investment!$D:$D,LEFT($P318,40)&amp;"*"),MAXIFS(Investment!$L:$L,Investment!$D:$D,LEFT($P318,40)&amp;"*"),IFERROR(INDEX(Selection!$H:$H, MATCH($P318,Selection!$F:$F,0))/IF(OR(INDEX(Selection!$C:$C, MATCH($P318,Selection!$F:$F,0))="LN",INDEX(Selection!$C:$C, MATCH($P318,Selection!$F:$F,0))="US"),Investment!$K$7,1),"")),"")</f>
        <v/>
      </c>
      <c r="O318" s="144" t="str">
        <f>IF($P318&lt;&gt;"",IF(MAXIFS(Investment!$AG:$AG,Investment!$D:$D,LEFT($P318,40)&amp;"*"),MAXIFS(Investment!$AG:$AG,Investment!$D:$D,LEFT($P318,40)&amp;"*"),""),"")</f>
        <v/>
      </c>
      <c r="P318" s="135"/>
      <c r="Q318" s="150"/>
      <c r="R318" s="329"/>
    </row>
    <row r="319">
      <c r="A319" s="125">
        <v>43137.0</v>
      </c>
      <c r="B319" s="127"/>
      <c r="C319" s="133"/>
      <c r="D319" s="264" t="s">
        <v>263</v>
      </c>
      <c r="E319" s="264"/>
      <c r="F319" s="218"/>
      <c r="G319" s="132">
        <v>-0.01</v>
      </c>
      <c r="H319" s="344" t="s">
        <v>1371</v>
      </c>
      <c r="I319" s="134" t="str">
        <f t="shared" ref="I319:J319" si="323">IFS(AND($B319&lt;&gt;"",$E319&lt;&gt;""),IF(INDEX(N:N,MATCH($C319,$P:$P,0),1)&lt;&gt;"",$E319*INDEX(N:N,MATCH($C319,$P:$P,0),1)+$G319,""),AND($B319&lt;&gt;"",$D319="COST"),$G319,TRUE,)</f>
        <v/>
      </c>
      <c r="J319" s="134" t="str">
        <f t="shared" si="323"/>
        <v/>
      </c>
      <c r="K319" s="219" t="str">
        <f t="shared" si="3"/>
        <v/>
      </c>
      <c r="L319" s="150" t="str">
        <f t="shared" si="4"/>
        <v/>
      </c>
      <c r="M319" s="150" t="str">
        <f t="shared" si="5"/>
        <v/>
      </c>
      <c r="N319" s="139" t="str">
        <f t="array" ref="N319">IF($P319&lt;&gt;"",IF(MAXIFS(Investment!$L:$L,Investment!$D:$D,LEFT($P319,40)&amp;"*"),MAXIFS(Investment!$L:$L,Investment!$D:$D,LEFT($P319,40)&amp;"*"),IFERROR(INDEX(Selection!$H:$H, MATCH($P319,Selection!$F:$F,0))/IF(OR(INDEX(Selection!$C:$C, MATCH($P319,Selection!$F:$F,0))="LN",INDEX(Selection!$C:$C, MATCH($P319,Selection!$F:$F,0))="US"),Investment!$K$7,1),"")),"")</f>
        <v/>
      </c>
      <c r="O319" s="144" t="str">
        <f>IF($P319&lt;&gt;"",IF(MAXIFS(Investment!$AG:$AG,Investment!$D:$D,LEFT($P319,40)&amp;"*"),MAXIFS(Investment!$AG:$AG,Investment!$D:$D,LEFT($P319,40)&amp;"*"),""),"")</f>
        <v/>
      </c>
      <c r="P319" s="135"/>
      <c r="Q319" s="150"/>
      <c r="R319" s="329"/>
    </row>
    <row r="320">
      <c r="A320" s="125">
        <v>43136.0</v>
      </c>
      <c r="B320" s="127" t="s">
        <v>307</v>
      </c>
      <c r="C320" s="133" t="s">
        <v>308</v>
      </c>
      <c r="D320" s="264" t="s">
        <v>245</v>
      </c>
      <c r="E320" s="264">
        <v>-77.0</v>
      </c>
      <c r="F320" s="218">
        <v>41.946</v>
      </c>
      <c r="G320" s="132">
        <v>3229.86</v>
      </c>
      <c r="H320" s="344" t="s">
        <v>1385</v>
      </c>
      <c r="I320" s="134">
        <f t="shared" ref="I320:J320" si="324">IFS(AND($B320&lt;&gt;"",$E320&lt;&gt;""),IF(INDEX(N:N,MATCH($C320,$P:$P,0),1)&lt;&gt;"",$E320*INDEX(N:N,MATCH($C320,$P:$P,0),1)+$G320,""),AND($B320&lt;&gt;"",$D320="COST"),$G320,TRUE,)</f>
        <v>-468.45</v>
      </c>
      <c r="J320" s="134">
        <f t="shared" si="324"/>
        <v>-306.5180941</v>
      </c>
      <c r="K320" s="219" t="str">
        <f t="shared" si="3"/>
        <v>Vanguard S&amp;P 500 UCITS ETF</v>
      </c>
      <c r="L320" s="150">
        <f t="shared" si="4"/>
        <v>4429</v>
      </c>
      <c r="M320" s="150">
        <f t="shared" si="5"/>
        <v>-189831.65</v>
      </c>
      <c r="N320" s="139" t="str">
        <f t="array" ref="N320">IF($P320&lt;&gt;"",IF(MAXIFS(Investment!$L:$L,Investment!$D:$D,LEFT($P320,40)&amp;"*"),MAXIFS(Investment!$L:$L,Investment!$D:$D,LEFT($P320,40)&amp;"*"),IFERROR(INDEX(Selection!$H:$H, MATCH($P320,Selection!$F:$F,0))/IF(OR(INDEX(Selection!$C:$C, MATCH($P320,Selection!$F:$F,0))="LN",INDEX(Selection!$C:$C, MATCH($P320,Selection!$F:$F,0))="US"),Investment!$K$7,1),"")),"")</f>
        <v/>
      </c>
      <c r="O320" s="144" t="str">
        <f>IF($P320&lt;&gt;"",IF(MAXIFS(Investment!$AG:$AG,Investment!$D:$D,LEFT($P320,40)&amp;"*"),MAXIFS(Investment!$AG:$AG,Investment!$D:$D,LEFT($P320,40)&amp;"*"),""),"")</f>
        <v/>
      </c>
      <c r="P320" s="135"/>
      <c r="Q320" s="150"/>
      <c r="R320" s="329"/>
    </row>
    <row r="321">
      <c r="A321" s="125">
        <v>43136.0</v>
      </c>
      <c r="B321" s="127" t="s">
        <v>307</v>
      </c>
      <c r="C321" s="133" t="s">
        <v>308</v>
      </c>
      <c r="D321" s="264" t="s">
        <v>245</v>
      </c>
      <c r="E321" s="264">
        <v>-98.0</v>
      </c>
      <c r="F321" s="218">
        <v>42.011</v>
      </c>
      <c r="G321" s="132">
        <v>4117.08</v>
      </c>
      <c r="H321" s="344" t="s">
        <v>1386</v>
      </c>
      <c r="I321" s="134">
        <f t="shared" ref="I321:J321" si="325">IFS(AND($B321&lt;&gt;"",$E321&lt;&gt;""),IF(INDEX(N:N,MATCH($C321,$P:$P,0),1)&lt;&gt;"",$E321*INDEX(N:N,MATCH($C321,$P:$P,0),1)+$G321,""),AND($B321&lt;&gt;"",$D321="COST"),$G321,TRUE,)</f>
        <v>-589.86</v>
      </c>
      <c r="J321" s="134">
        <f t="shared" si="325"/>
        <v>-383.7648471</v>
      </c>
      <c r="K321" s="219" t="str">
        <f t="shared" si="3"/>
        <v>Vanguard S&amp;P 500 UCITS ETF</v>
      </c>
      <c r="L321" s="150">
        <f t="shared" si="4"/>
        <v>4429</v>
      </c>
      <c r="M321" s="150">
        <f t="shared" si="5"/>
        <v>-189831.65</v>
      </c>
      <c r="N321" s="139" t="str">
        <f t="array" ref="N321">IF($P321&lt;&gt;"",IF(MAXIFS(Investment!$L:$L,Investment!$D:$D,LEFT($P321,40)&amp;"*"),MAXIFS(Investment!$L:$L,Investment!$D:$D,LEFT($P321,40)&amp;"*"),IFERROR(INDEX(Selection!$H:$H, MATCH($P321,Selection!$F:$F,0))/IF(OR(INDEX(Selection!$C:$C, MATCH($P321,Selection!$F:$F,0))="LN",INDEX(Selection!$C:$C, MATCH($P321,Selection!$F:$F,0))="US"),Investment!$K$7,1),"")),"")</f>
        <v/>
      </c>
      <c r="O321" s="144" t="str">
        <f>IF($P321&lt;&gt;"",IF(MAXIFS(Investment!$AG:$AG,Investment!$D:$D,LEFT($P321,40)&amp;"*"),MAXIFS(Investment!$AG:$AG,Investment!$D:$D,LEFT($P321,40)&amp;"*"),""),"")</f>
        <v/>
      </c>
      <c r="P321" s="135"/>
      <c r="Q321" s="150"/>
      <c r="R321" s="329"/>
    </row>
    <row r="322">
      <c r="A322" s="125">
        <v>43136.0</v>
      </c>
      <c r="B322" s="127" t="s">
        <v>307</v>
      </c>
      <c r="C322" s="133" t="s">
        <v>308</v>
      </c>
      <c r="D322" s="264" t="s">
        <v>245</v>
      </c>
      <c r="E322" s="264">
        <v>-240.0</v>
      </c>
      <c r="F322" s="218">
        <v>41.868</v>
      </c>
      <c r="G322" s="132">
        <v>10048.32</v>
      </c>
      <c r="H322" s="344" t="s">
        <v>1387</v>
      </c>
      <c r="I322" s="134">
        <f t="shared" ref="I322:J322" si="326">IFS(AND($B322&lt;&gt;"",$E322&lt;&gt;""),IF(INDEX(N:N,MATCH($C322,$P:$P,0),1)&lt;&gt;"",$E322*INDEX(N:N,MATCH($C322,$P:$P,0),1)+$G322,""),AND($B322&lt;&gt;"",$D322="COST"),$G322,TRUE,)</f>
        <v>-1478.88</v>
      </c>
      <c r="J322" s="134">
        <f t="shared" si="326"/>
        <v>-974.1571765</v>
      </c>
      <c r="K322" s="219" t="str">
        <f t="shared" si="3"/>
        <v>Vanguard S&amp;P 500 UCITS ETF</v>
      </c>
      <c r="L322" s="150">
        <f t="shared" si="4"/>
        <v>4429</v>
      </c>
      <c r="M322" s="150">
        <f t="shared" si="5"/>
        <v>-189831.65</v>
      </c>
      <c r="N322" s="139" t="str">
        <f t="array" ref="N322">IF($P322&lt;&gt;"",IF(MAXIFS(Investment!$L:$L,Investment!$D:$D,LEFT($P322,40)&amp;"*"),MAXIFS(Investment!$L:$L,Investment!$D:$D,LEFT($P322,40)&amp;"*"),IFERROR(INDEX(Selection!$H:$H, MATCH($P322,Selection!$F:$F,0))/IF(OR(INDEX(Selection!$C:$C, MATCH($P322,Selection!$F:$F,0))="LN",INDEX(Selection!$C:$C, MATCH($P322,Selection!$F:$F,0))="US"),Investment!$K$7,1),"")),"")</f>
        <v/>
      </c>
      <c r="O322" s="144" t="str">
        <f>IF($P322&lt;&gt;"",IF(MAXIFS(Investment!$AG:$AG,Investment!$D:$D,LEFT($P322,40)&amp;"*"),MAXIFS(Investment!$AG:$AG,Investment!$D:$D,LEFT($P322,40)&amp;"*"),""),"")</f>
        <v/>
      </c>
      <c r="P322" s="135"/>
      <c r="Q322" s="150"/>
      <c r="R322" s="329"/>
    </row>
    <row r="323">
      <c r="A323" s="125">
        <v>43136.0</v>
      </c>
      <c r="B323" s="127" t="s">
        <v>307</v>
      </c>
      <c r="C323" s="133" t="s">
        <v>308</v>
      </c>
      <c r="D323" s="264" t="s">
        <v>245</v>
      </c>
      <c r="E323" s="264">
        <v>-38.0</v>
      </c>
      <c r="F323" s="218">
        <v>41.848</v>
      </c>
      <c r="G323" s="132">
        <v>1590.24</v>
      </c>
      <c r="H323" s="344" t="s">
        <v>1388</v>
      </c>
      <c r="I323" s="134">
        <f t="shared" ref="I323:J323" si="327">IFS(AND($B323&lt;&gt;"",$E323&lt;&gt;""),IF(INDEX(N:N,MATCH($C323,$P:$P,0),1)&lt;&gt;"",$E323*INDEX(N:N,MATCH($C323,$P:$P,0),1)+$G323,""),AND($B323&lt;&gt;"",$D323="COST"),$G323,TRUE,)</f>
        <v>-234.9</v>
      </c>
      <c r="J323" s="134">
        <f t="shared" si="327"/>
        <v>-154.9855529</v>
      </c>
      <c r="K323" s="219" t="str">
        <f t="shared" si="3"/>
        <v>Vanguard S&amp;P 500 UCITS ETF</v>
      </c>
      <c r="L323" s="150">
        <f t="shared" si="4"/>
        <v>4429</v>
      </c>
      <c r="M323" s="150">
        <f t="shared" si="5"/>
        <v>-189831.65</v>
      </c>
      <c r="N323" s="139" t="str">
        <f t="array" ref="N323">IF($P323&lt;&gt;"",IF(MAXIFS(Investment!$L:$L,Investment!$D:$D,LEFT($P323,40)&amp;"*"),MAXIFS(Investment!$L:$L,Investment!$D:$D,LEFT($P323,40)&amp;"*"),IFERROR(INDEX(Selection!$H:$H, MATCH($P323,Selection!$F:$F,0))/IF(OR(INDEX(Selection!$C:$C, MATCH($P323,Selection!$F:$F,0))="LN",INDEX(Selection!$C:$C, MATCH($P323,Selection!$F:$F,0))="US"),Investment!$K$7,1),"")),"")</f>
        <v/>
      </c>
      <c r="O323" s="144" t="str">
        <f>IF($P323&lt;&gt;"",IF(MAXIFS(Investment!$AG:$AG,Investment!$D:$D,LEFT($P323,40)&amp;"*"),MAXIFS(Investment!$AG:$AG,Investment!$D:$D,LEFT($P323,40)&amp;"*"),""),"")</f>
        <v/>
      </c>
      <c r="P323" s="135"/>
      <c r="Q323" s="150"/>
      <c r="R323" s="329"/>
    </row>
    <row r="324">
      <c r="A324" s="125">
        <v>43136.0</v>
      </c>
      <c r="B324" s="127" t="s">
        <v>307</v>
      </c>
      <c r="C324" s="133" t="s">
        <v>308</v>
      </c>
      <c r="D324" s="264" t="s">
        <v>245</v>
      </c>
      <c r="E324" s="264">
        <v>-30.0</v>
      </c>
      <c r="F324" s="218">
        <v>41.792</v>
      </c>
      <c r="G324" s="132">
        <v>1253.76</v>
      </c>
      <c r="H324" s="344" t="s">
        <v>1389</v>
      </c>
      <c r="I324" s="134">
        <f t="shared" ref="I324:J324" si="328">IFS(AND($B324&lt;&gt;"",$E324&lt;&gt;""),IF(INDEX(N:N,MATCH($C324,$P:$P,0),1)&lt;&gt;"",$E324*INDEX(N:N,MATCH($C324,$P:$P,0),1)+$G324,""),AND($B324&lt;&gt;"",$D324="COST"),$G324,TRUE,)</f>
        <v>-187.14</v>
      </c>
      <c r="J324" s="134">
        <f t="shared" si="328"/>
        <v>-124.0496471</v>
      </c>
      <c r="K324" s="219" t="str">
        <f t="shared" si="3"/>
        <v>Vanguard S&amp;P 500 UCITS ETF</v>
      </c>
      <c r="L324" s="150">
        <f t="shared" si="4"/>
        <v>4429</v>
      </c>
      <c r="M324" s="150">
        <f t="shared" si="5"/>
        <v>-189831.65</v>
      </c>
      <c r="N324" s="139" t="str">
        <f t="array" ref="N324">IF($P324&lt;&gt;"",IF(MAXIFS(Investment!$L:$L,Investment!$D:$D,LEFT($P324,40)&amp;"*"),MAXIFS(Investment!$L:$L,Investment!$D:$D,LEFT($P324,40)&amp;"*"),IFERROR(INDEX(Selection!$H:$H, MATCH($P324,Selection!$F:$F,0))/IF(OR(INDEX(Selection!$C:$C, MATCH($P324,Selection!$F:$F,0))="LN",INDEX(Selection!$C:$C, MATCH($P324,Selection!$F:$F,0))="US"),Investment!$K$7,1),"")),"")</f>
        <v/>
      </c>
      <c r="O324" s="144" t="str">
        <f>IF($P324&lt;&gt;"",IF(MAXIFS(Investment!$AG:$AG,Investment!$D:$D,LEFT($P324,40)&amp;"*"),MAXIFS(Investment!$AG:$AG,Investment!$D:$D,LEFT($P324,40)&amp;"*"),""),"")</f>
        <v/>
      </c>
      <c r="P324" s="135"/>
      <c r="Q324" s="150"/>
      <c r="R324" s="329"/>
    </row>
    <row r="325">
      <c r="A325" s="125">
        <v>43136.0</v>
      </c>
      <c r="B325" s="127" t="s">
        <v>307</v>
      </c>
      <c r="C325" s="133" t="s">
        <v>308</v>
      </c>
      <c r="D325" s="264" t="s">
        <v>245</v>
      </c>
      <c r="E325" s="264">
        <v>-45.0</v>
      </c>
      <c r="F325" s="218">
        <v>41.811</v>
      </c>
      <c r="G325" s="132">
        <v>1881.5</v>
      </c>
      <c r="H325" s="344" t="s">
        <v>1390</v>
      </c>
      <c r="I325" s="134">
        <f t="shared" ref="I325:J325" si="329">IFS(AND($B325&lt;&gt;"",$E325&lt;&gt;""),IF(INDEX(N:N,MATCH($C325,$P:$P,0),1)&lt;&gt;"",$E325*INDEX(N:N,MATCH($C325,$P:$P,0),1)+$G325,""),AND($B325&lt;&gt;"",$D325="COST"),$G325,TRUE,)</f>
        <v>-279.85</v>
      </c>
      <c r="J325" s="134">
        <f t="shared" si="329"/>
        <v>-185.2144706</v>
      </c>
      <c r="K325" s="219" t="str">
        <f t="shared" si="3"/>
        <v>Vanguard S&amp;P 500 UCITS ETF</v>
      </c>
      <c r="L325" s="150">
        <f t="shared" si="4"/>
        <v>4429</v>
      </c>
      <c r="M325" s="150">
        <f t="shared" si="5"/>
        <v>-189831.65</v>
      </c>
      <c r="N325" s="139" t="str">
        <f t="array" ref="N325">IF($P325&lt;&gt;"",IF(MAXIFS(Investment!$L:$L,Investment!$D:$D,LEFT($P325,40)&amp;"*"),MAXIFS(Investment!$L:$L,Investment!$D:$D,LEFT($P325,40)&amp;"*"),IFERROR(INDEX(Selection!$H:$H, MATCH($P325,Selection!$F:$F,0))/IF(OR(INDEX(Selection!$C:$C, MATCH($P325,Selection!$F:$F,0))="LN",INDEX(Selection!$C:$C, MATCH($P325,Selection!$F:$F,0))="US"),Investment!$K$7,1),"")),"")</f>
        <v/>
      </c>
      <c r="O325" s="144" t="str">
        <f>IF($P325&lt;&gt;"",IF(MAXIFS(Investment!$AG:$AG,Investment!$D:$D,LEFT($P325,40)&amp;"*"),MAXIFS(Investment!$AG:$AG,Investment!$D:$D,LEFT($P325,40)&amp;"*"),""),"")</f>
        <v/>
      </c>
      <c r="P325" s="135"/>
      <c r="Q325" s="150"/>
      <c r="R325" s="329"/>
    </row>
    <row r="326">
      <c r="A326" s="125">
        <v>43136.0</v>
      </c>
      <c r="B326" s="127" t="s">
        <v>307</v>
      </c>
      <c r="C326" s="133" t="s">
        <v>308</v>
      </c>
      <c r="D326" s="264" t="s">
        <v>245</v>
      </c>
      <c r="E326" s="264">
        <v>-50.0</v>
      </c>
      <c r="F326" s="218">
        <v>41.796</v>
      </c>
      <c r="G326" s="132">
        <v>2089.8</v>
      </c>
      <c r="H326" s="344" t="s">
        <v>1391</v>
      </c>
      <c r="I326" s="134">
        <f t="shared" ref="I326:J326" si="330">IFS(AND($B326&lt;&gt;"",$E326&lt;&gt;""),IF(INDEX(N:N,MATCH($C326,$P:$P,0),1)&lt;&gt;"",$E326*INDEX(N:N,MATCH($C326,$P:$P,0),1)+$G326,""),AND($B326&lt;&gt;"",$D326="COST"),$G326,TRUE,)</f>
        <v>-311.7</v>
      </c>
      <c r="J326" s="134">
        <f t="shared" si="330"/>
        <v>-206.5494118</v>
      </c>
      <c r="K326" s="219" t="str">
        <f t="shared" si="3"/>
        <v>Vanguard S&amp;P 500 UCITS ETF</v>
      </c>
      <c r="L326" s="150">
        <f t="shared" si="4"/>
        <v>4429</v>
      </c>
      <c r="M326" s="150">
        <f t="shared" si="5"/>
        <v>-189831.65</v>
      </c>
      <c r="N326" s="139" t="str">
        <f t="array" ref="N326">IF($P326&lt;&gt;"",IF(MAXIFS(Investment!$L:$L,Investment!$D:$D,LEFT($P326,40)&amp;"*"),MAXIFS(Investment!$L:$L,Investment!$D:$D,LEFT($P326,40)&amp;"*"),IFERROR(INDEX(Selection!$H:$H, MATCH($P326,Selection!$F:$F,0))/IF(OR(INDEX(Selection!$C:$C, MATCH($P326,Selection!$F:$F,0))="LN",INDEX(Selection!$C:$C, MATCH($P326,Selection!$F:$F,0))="US"),Investment!$K$7,1),"")),"")</f>
        <v/>
      </c>
      <c r="O326" s="144" t="str">
        <f>IF($P326&lt;&gt;"",IF(MAXIFS(Investment!$AG:$AG,Investment!$D:$D,LEFT($P326,40)&amp;"*"),MAXIFS(Investment!$AG:$AG,Investment!$D:$D,LEFT($P326,40)&amp;"*"),""),"")</f>
        <v/>
      </c>
      <c r="P326" s="135"/>
      <c r="Q326" s="150"/>
      <c r="R326" s="329"/>
    </row>
    <row r="327">
      <c r="A327" s="125">
        <v>43136.0</v>
      </c>
      <c r="B327" s="127" t="s">
        <v>307</v>
      </c>
      <c r="C327" s="133" t="s">
        <v>308</v>
      </c>
      <c r="D327" s="264" t="s">
        <v>245</v>
      </c>
      <c r="E327" s="264">
        <v>-20.0</v>
      </c>
      <c r="F327" s="218">
        <v>41.796</v>
      </c>
      <c r="G327" s="132">
        <v>835.92</v>
      </c>
      <c r="H327" s="344" t="s">
        <v>1392</v>
      </c>
      <c r="I327" s="134">
        <f t="shared" ref="I327:J327" si="331">IFS(AND($B327&lt;&gt;"",$E327&lt;&gt;""),IF(INDEX(N:N,MATCH($C327,$P:$P,0),1)&lt;&gt;"",$E327*INDEX(N:N,MATCH($C327,$P:$P,0),1)+$G327,""),AND($B327&lt;&gt;"",$D327="COST"),$G327,TRUE,)</f>
        <v>-124.68</v>
      </c>
      <c r="J327" s="134">
        <f t="shared" si="331"/>
        <v>-82.61976471</v>
      </c>
      <c r="K327" s="219" t="str">
        <f t="shared" si="3"/>
        <v>Vanguard S&amp;P 500 UCITS ETF</v>
      </c>
      <c r="L327" s="150">
        <f t="shared" si="4"/>
        <v>4429</v>
      </c>
      <c r="M327" s="150">
        <f t="shared" si="5"/>
        <v>-189831.65</v>
      </c>
      <c r="N327" s="139" t="str">
        <f t="array" ref="N327">IF($P327&lt;&gt;"",IF(MAXIFS(Investment!$L:$L,Investment!$D:$D,LEFT($P327,40)&amp;"*"),MAXIFS(Investment!$L:$L,Investment!$D:$D,LEFT($P327,40)&amp;"*"),IFERROR(INDEX(Selection!$H:$H, MATCH($P327,Selection!$F:$F,0))/IF(OR(INDEX(Selection!$C:$C, MATCH($P327,Selection!$F:$F,0))="LN",INDEX(Selection!$C:$C, MATCH($P327,Selection!$F:$F,0))="US"),Investment!$K$7,1),"")),"")</f>
        <v/>
      </c>
      <c r="O327" s="144" t="str">
        <f>IF($P327&lt;&gt;"",IF(MAXIFS(Investment!$AG:$AG,Investment!$D:$D,LEFT($P327,40)&amp;"*"),MAXIFS(Investment!$AG:$AG,Investment!$D:$D,LEFT($P327,40)&amp;"*"),""),"")</f>
        <v/>
      </c>
      <c r="P327" s="135"/>
      <c r="Q327" s="150"/>
      <c r="R327" s="329"/>
    </row>
    <row r="328">
      <c r="A328" s="125">
        <v>43136.0</v>
      </c>
      <c r="B328" s="127" t="s">
        <v>307</v>
      </c>
      <c r="C328" s="133" t="s">
        <v>308</v>
      </c>
      <c r="D328" s="264" t="s">
        <v>263</v>
      </c>
      <c r="E328" s="264"/>
      <c r="F328" s="218"/>
      <c r="G328" s="132">
        <v>-2.17</v>
      </c>
      <c r="H328" s="344" t="s">
        <v>1393</v>
      </c>
      <c r="I328" s="134">
        <f t="shared" ref="I328:J328" si="332">IFS(AND($B328&lt;&gt;"",$E328&lt;&gt;""),IF(INDEX(N:N,MATCH($C328,$P:$P,0),1)&lt;&gt;"",$E328*INDEX(N:N,MATCH($C328,$P:$P,0),1)+$G328,""),AND($B328&lt;&gt;"",$D328="COST"),$G328,TRUE,)</f>
        <v>-2.17</v>
      </c>
      <c r="J328" s="134">
        <f t="shared" si="332"/>
        <v>-2.17</v>
      </c>
      <c r="K328" s="219" t="str">
        <f t="shared" si="3"/>
        <v>Vanguard S&amp;P 500 UCITS ETF</v>
      </c>
      <c r="L328" s="150">
        <f t="shared" si="4"/>
        <v>4429</v>
      </c>
      <c r="M328" s="150">
        <f t="shared" si="5"/>
        <v>-189831.65</v>
      </c>
      <c r="N328" s="139" t="str">
        <f t="array" ref="N328">IF($P328&lt;&gt;"",IF(MAXIFS(Investment!$L:$L,Investment!$D:$D,LEFT($P328,40)&amp;"*"),MAXIFS(Investment!$L:$L,Investment!$D:$D,LEFT($P328,40)&amp;"*"),IFERROR(INDEX(Selection!$H:$H, MATCH($P328,Selection!$F:$F,0))/IF(OR(INDEX(Selection!$C:$C, MATCH($P328,Selection!$F:$F,0))="LN",INDEX(Selection!$C:$C, MATCH($P328,Selection!$F:$F,0))="US"),Investment!$K$7,1),"")),"")</f>
        <v/>
      </c>
      <c r="O328" s="144" t="str">
        <f>IF($P328&lt;&gt;"",IF(MAXIFS(Investment!$AG:$AG,Investment!$D:$D,LEFT($P328,40)&amp;"*"),MAXIFS(Investment!$AG:$AG,Investment!$D:$D,LEFT($P328,40)&amp;"*"),""),"")</f>
        <v/>
      </c>
      <c r="P328" s="135"/>
      <c r="Q328" s="150"/>
      <c r="R328" s="329"/>
    </row>
    <row r="329">
      <c r="A329" s="125">
        <v>43136.0</v>
      </c>
      <c r="B329" s="127" t="s">
        <v>307</v>
      </c>
      <c r="C329" s="133" t="s">
        <v>308</v>
      </c>
      <c r="D329" s="264" t="s">
        <v>245</v>
      </c>
      <c r="E329" s="264">
        <v>-10.0</v>
      </c>
      <c r="F329" s="218">
        <v>41.796</v>
      </c>
      <c r="G329" s="132">
        <v>417.96</v>
      </c>
      <c r="H329" s="344" t="s">
        <v>1394</v>
      </c>
      <c r="I329" s="134">
        <f t="shared" ref="I329:J329" si="333">IFS(AND($B329&lt;&gt;"",$E329&lt;&gt;""),IF(INDEX(N:N,MATCH($C329,$P:$P,0),1)&lt;&gt;"",$E329*INDEX(N:N,MATCH($C329,$P:$P,0),1)+$G329,""),AND($B329&lt;&gt;"",$D329="COST"),$G329,TRUE,)</f>
        <v>-62.34</v>
      </c>
      <c r="J329" s="134">
        <f t="shared" si="333"/>
        <v>-41.30988235</v>
      </c>
      <c r="K329" s="219" t="str">
        <f t="shared" si="3"/>
        <v>Vanguard S&amp;P 500 UCITS ETF</v>
      </c>
      <c r="L329" s="150">
        <f t="shared" si="4"/>
        <v>4429</v>
      </c>
      <c r="M329" s="150">
        <f t="shared" si="5"/>
        <v>-189831.65</v>
      </c>
      <c r="N329" s="139" t="str">
        <f t="array" ref="N329">IF($P329&lt;&gt;"",IF(MAXIFS(Investment!$L:$L,Investment!$D:$D,LEFT($P329,40)&amp;"*"),MAXIFS(Investment!$L:$L,Investment!$D:$D,LEFT($P329,40)&amp;"*"),IFERROR(INDEX(Selection!$H:$H, MATCH($P329,Selection!$F:$F,0))/IF(OR(INDEX(Selection!$C:$C, MATCH($P329,Selection!$F:$F,0))="LN",INDEX(Selection!$C:$C, MATCH($P329,Selection!$F:$F,0))="US"),Investment!$K$7,1),"")),"")</f>
        <v/>
      </c>
      <c r="O329" s="144" t="str">
        <f>IF($P329&lt;&gt;"",IF(MAXIFS(Investment!$AG:$AG,Investment!$D:$D,LEFT($P329,40)&amp;"*"),MAXIFS(Investment!$AG:$AG,Investment!$D:$D,LEFT($P329,40)&amp;"*"),""),"")</f>
        <v/>
      </c>
      <c r="P329" s="135"/>
      <c r="Q329" s="150"/>
      <c r="R329" s="329"/>
    </row>
    <row r="330">
      <c r="A330" s="125">
        <v>43136.0</v>
      </c>
      <c r="B330" s="127" t="s">
        <v>307</v>
      </c>
      <c r="C330" s="133" t="s">
        <v>308</v>
      </c>
      <c r="D330" s="264" t="s">
        <v>263</v>
      </c>
      <c r="E330" s="264"/>
      <c r="F330" s="218"/>
      <c r="G330" s="132">
        <v>-2.08</v>
      </c>
      <c r="H330" s="344" t="s">
        <v>1395</v>
      </c>
      <c r="I330" s="134">
        <f t="shared" ref="I330:J330" si="334">IFS(AND($B330&lt;&gt;"",$E330&lt;&gt;""),IF(INDEX(N:N,MATCH($C330,$P:$P,0),1)&lt;&gt;"",$E330*INDEX(N:N,MATCH($C330,$P:$P,0),1)+$G330,""),AND($B330&lt;&gt;"",$D330="COST"),$G330,TRUE,)</f>
        <v>-2.08</v>
      </c>
      <c r="J330" s="134">
        <f t="shared" si="334"/>
        <v>-2.08</v>
      </c>
      <c r="K330" s="219" t="str">
        <f t="shared" si="3"/>
        <v>Vanguard S&amp;P 500 UCITS ETF</v>
      </c>
      <c r="L330" s="150">
        <f t="shared" si="4"/>
        <v>4429</v>
      </c>
      <c r="M330" s="150">
        <f t="shared" si="5"/>
        <v>-189831.65</v>
      </c>
      <c r="N330" s="139" t="str">
        <f t="array" ref="N330">IF($P330&lt;&gt;"",IF(MAXIFS(Investment!$L:$L,Investment!$D:$D,LEFT($P330,40)&amp;"*"),MAXIFS(Investment!$L:$L,Investment!$D:$D,LEFT($P330,40)&amp;"*"),IFERROR(INDEX(Selection!$H:$H, MATCH($P330,Selection!$F:$F,0))/IF(OR(INDEX(Selection!$C:$C, MATCH($P330,Selection!$F:$F,0))="LN",INDEX(Selection!$C:$C, MATCH($P330,Selection!$F:$F,0))="US"),Investment!$K$7,1),"")),"")</f>
        <v/>
      </c>
      <c r="O330" s="144" t="str">
        <f>IF($P330&lt;&gt;"",IF(MAXIFS(Investment!$AG:$AG,Investment!$D:$D,LEFT($P330,40)&amp;"*"),MAXIFS(Investment!$AG:$AG,Investment!$D:$D,LEFT($P330,40)&amp;"*"),""),"")</f>
        <v/>
      </c>
      <c r="P330" s="135"/>
      <c r="Q330" s="150"/>
      <c r="R330" s="329"/>
    </row>
    <row r="331">
      <c r="A331" s="125">
        <v>43136.0</v>
      </c>
      <c r="B331" s="127"/>
      <c r="C331" s="133"/>
      <c r="D331" s="264" t="s">
        <v>263</v>
      </c>
      <c r="E331" s="264"/>
      <c r="F331" s="218"/>
      <c r="G331" s="132">
        <v>0.02</v>
      </c>
      <c r="H331" s="344" t="s">
        <v>1396</v>
      </c>
      <c r="I331" s="134" t="str">
        <f t="shared" ref="I331:J331" si="335">IFS(AND($B331&lt;&gt;"",$E331&lt;&gt;""),IF(INDEX(N:N,MATCH($C331,$P:$P,0),1)&lt;&gt;"",$E331*INDEX(N:N,MATCH($C331,$P:$P,0),1)+$G331,""),AND($B331&lt;&gt;"",$D331="COST"),$G331,TRUE,)</f>
        <v/>
      </c>
      <c r="J331" s="134" t="str">
        <f t="shared" si="335"/>
        <v/>
      </c>
      <c r="K331" s="219" t="str">
        <f t="shared" si="3"/>
        <v/>
      </c>
      <c r="L331" s="150" t="str">
        <f t="shared" si="4"/>
        <v/>
      </c>
      <c r="M331" s="150" t="str">
        <f t="shared" si="5"/>
        <v/>
      </c>
      <c r="N331" s="139" t="str">
        <f t="array" ref="N331">IF($P331&lt;&gt;"",IF(MAXIFS(Investment!$L:$L,Investment!$D:$D,LEFT($P331,40)&amp;"*"),MAXIFS(Investment!$L:$L,Investment!$D:$D,LEFT($P331,40)&amp;"*"),IFERROR(INDEX(Selection!$H:$H, MATCH($P331,Selection!$F:$F,0))/IF(OR(INDEX(Selection!$C:$C, MATCH($P331,Selection!$F:$F,0))="LN",INDEX(Selection!$C:$C, MATCH($P331,Selection!$F:$F,0))="US"),Investment!$K$7,1),"")),"")</f>
        <v/>
      </c>
      <c r="O331" s="144" t="str">
        <f>IF($P331&lt;&gt;"",IF(MAXIFS(Investment!$AG:$AG,Investment!$D:$D,LEFT($P331,40)&amp;"*"),MAXIFS(Investment!$AG:$AG,Investment!$D:$D,LEFT($P331,40)&amp;"*"),""),"")</f>
        <v/>
      </c>
      <c r="P331" s="135"/>
      <c r="Q331" s="150"/>
      <c r="R331" s="329"/>
    </row>
    <row r="332">
      <c r="A332" s="125">
        <v>43133.0</v>
      </c>
      <c r="B332" s="127"/>
      <c r="C332" s="133"/>
      <c r="D332" s="264" t="s">
        <v>263</v>
      </c>
      <c r="E332" s="264"/>
      <c r="F332" s="218"/>
      <c r="G332" s="132">
        <v>-193.75</v>
      </c>
      <c r="H332" s="344" t="s">
        <v>1397</v>
      </c>
      <c r="I332" s="134" t="str">
        <f t="shared" ref="I332:J332" si="336">IFS(AND($B332&lt;&gt;"",$E332&lt;&gt;""),IF(INDEX(N:N,MATCH($C332,$P:$P,0),1)&lt;&gt;"",$E332*INDEX(N:N,MATCH($C332,$P:$P,0),1)+$G332,""),AND($B332&lt;&gt;"",$D332="COST"),$G332,TRUE,)</f>
        <v/>
      </c>
      <c r="J332" s="134" t="str">
        <f t="shared" si="336"/>
        <v/>
      </c>
      <c r="K332" s="219" t="str">
        <f t="shared" si="3"/>
        <v/>
      </c>
      <c r="L332" s="150" t="str">
        <f t="shared" si="4"/>
        <v/>
      </c>
      <c r="M332" s="150" t="str">
        <f t="shared" si="5"/>
        <v/>
      </c>
      <c r="N332" s="139" t="str">
        <f t="array" ref="N332">IF($P332&lt;&gt;"",IF(MAXIFS(Investment!$L:$L,Investment!$D:$D,LEFT($P332,40)&amp;"*"),MAXIFS(Investment!$L:$L,Investment!$D:$D,LEFT($P332,40)&amp;"*"),IFERROR(INDEX(Selection!$H:$H, MATCH($P332,Selection!$F:$F,0))/IF(OR(INDEX(Selection!$C:$C, MATCH($P332,Selection!$F:$F,0))="LN",INDEX(Selection!$C:$C, MATCH($P332,Selection!$F:$F,0))="US"),Investment!$K$7,1),"")),"")</f>
        <v/>
      </c>
      <c r="O332" s="144" t="str">
        <f>IF($P332&lt;&gt;"",IF(MAXIFS(Investment!$AG:$AG,Investment!$D:$D,LEFT($P332,40)&amp;"*"),MAXIFS(Investment!$AG:$AG,Investment!$D:$D,LEFT($P332,40)&amp;"*"),""),"")</f>
        <v/>
      </c>
      <c r="P332" s="135"/>
      <c r="Q332" s="150"/>
      <c r="R332" s="329"/>
    </row>
    <row r="333">
      <c r="A333" s="125">
        <v>43132.0</v>
      </c>
      <c r="B333" s="127"/>
      <c r="C333" s="133"/>
      <c r="D333" s="264" t="s">
        <v>263</v>
      </c>
      <c r="E333" s="264"/>
      <c r="F333" s="218"/>
      <c r="G333" s="132">
        <v>-7.5</v>
      </c>
      <c r="H333" s="344" t="s">
        <v>1398</v>
      </c>
      <c r="I333" s="134" t="str">
        <f t="shared" ref="I333:J333" si="337">IFS(AND($B333&lt;&gt;"",$E333&lt;&gt;""),IF(INDEX(N:N,MATCH($C333,$P:$P,0),1)&lt;&gt;"",$E333*INDEX(N:N,MATCH($C333,$P:$P,0),1)+$G333,""),AND($B333&lt;&gt;"",$D333="COST"),$G333,TRUE,)</f>
        <v/>
      </c>
      <c r="J333" s="134" t="str">
        <f t="shared" si="337"/>
        <v/>
      </c>
      <c r="K333" s="219" t="str">
        <f t="shared" si="3"/>
        <v/>
      </c>
      <c r="L333" s="150" t="str">
        <f t="shared" si="4"/>
        <v/>
      </c>
      <c r="M333" s="150" t="str">
        <f t="shared" si="5"/>
        <v/>
      </c>
      <c r="N333" s="139" t="str">
        <f t="array" ref="N333">IF($P333&lt;&gt;"",IF(MAXIFS(Investment!$L:$L,Investment!$D:$D,LEFT($P333,40)&amp;"*"),MAXIFS(Investment!$L:$L,Investment!$D:$D,LEFT($P333,40)&amp;"*"),IFERROR(INDEX(Selection!$H:$H, MATCH($P333,Selection!$F:$F,0))/IF(OR(INDEX(Selection!$C:$C, MATCH($P333,Selection!$F:$F,0))="LN",INDEX(Selection!$C:$C, MATCH($P333,Selection!$F:$F,0))="US"),Investment!$K$7,1),"")),"")</f>
        <v/>
      </c>
      <c r="O333" s="144" t="str">
        <f>IF($P333&lt;&gt;"",IF(MAXIFS(Investment!$AG:$AG,Investment!$D:$D,LEFT($P333,40)&amp;"*"),MAXIFS(Investment!$AG:$AG,Investment!$D:$D,LEFT($P333,40)&amp;"*"),""),"")</f>
        <v/>
      </c>
      <c r="P333" s="135"/>
      <c r="Q333" s="150"/>
      <c r="R333" s="329"/>
    </row>
    <row r="334">
      <c r="A334" s="125">
        <v>43126.0</v>
      </c>
      <c r="B334" s="127" t="s">
        <v>217</v>
      </c>
      <c r="C334" s="133" t="s">
        <v>220</v>
      </c>
      <c r="D334" s="264" t="s">
        <v>222</v>
      </c>
      <c r="E334" s="264">
        <v>1375.0</v>
      </c>
      <c r="F334" s="218">
        <v>7.35</v>
      </c>
      <c r="G334" s="132">
        <v>-10106.25</v>
      </c>
      <c r="H334" s="344" t="s">
        <v>1399</v>
      </c>
      <c r="I334" s="134">
        <f t="shared" ref="I334:J334" si="338">IFS(AND($B334&lt;&gt;"",$E334&lt;&gt;""),IF(INDEX(N:N,MATCH($C334,$P:$P,0),1)&lt;&gt;"",$E334*INDEX(N:N,MATCH($C334,$P:$P,0),1)+$G334,""),AND($B334&lt;&gt;"",$D334="COST"),$G334,TRUE,)</f>
        <v>-240.625</v>
      </c>
      <c r="J334" s="134">
        <f t="shared" si="338"/>
        <v>64.65735294</v>
      </c>
      <c r="K334" s="219" t="str">
        <f t="shared" si="3"/>
        <v>ETFS All Commodities</v>
      </c>
      <c r="L334" s="150">
        <f t="shared" si="4"/>
        <v>8177</v>
      </c>
      <c r="M334" s="150">
        <f t="shared" si="5"/>
        <v>-60085.79</v>
      </c>
      <c r="N334" s="139" t="str">
        <f t="array" ref="N334">IF($P334&lt;&gt;"",IF(MAXIFS(Investment!$L:$L,Investment!$D:$D,LEFT($P334,40)&amp;"*"),MAXIFS(Investment!$L:$L,Investment!$D:$D,LEFT($P334,40)&amp;"*"),IFERROR(INDEX(Selection!$H:$H, MATCH($P334,Selection!$F:$F,0))/IF(OR(INDEX(Selection!$C:$C, MATCH($P334,Selection!$F:$F,0))="LN",INDEX(Selection!$C:$C, MATCH($P334,Selection!$F:$F,0))="US"),Investment!$K$7,1),"")),"")</f>
        <v/>
      </c>
      <c r="O334" s="144" t="str">
        <f>IF($P334&lt;&gt;"",IF(MAXIFS(Investment!$AG:$AG,Investment!$D:$D,LEFT($P334,40)&amp;"*"),MAXIFS(Investment!$AG:$AG,Investment!$D:$D,LEFT($P334,40)&amp;"*"),""),"")</f>
        <v/>
      </c>
      <c r="P334" s="135"/>
      <c r="Q334" s="150"/>
      <c r="R334" s="329"/>
    </row>
    <row r="335">
      <c r="A335" s="125">
        <v>43126.0</v>
      </c>
      <c r="B335" s="127" t="s">
        <v>307</v>
      </c>
      <c r="C335" s="133" t="s">
        <v>308</v>
      </c>
      <c r="D335" s="264" t="s">
        <v>222</v>
      </c>
      <c r="E335" s="264">
        <v>937.0</v>
      </c>
      <c r="F335" s="218">
        <v>43.31</v>
      </c>
      <c r="G335" s="132">
        <v>-40581.47</v>
      </c>
      <c r="H335" s="344" t="s">
        <v>1400</v>
      </c>
      <c r="I335" s="134">
        <f t="shared" ref="I335:J335" si="339">IFS(AND($B335&lt;&gt;"",$E335&lt;&gt;""),IF(INDEX(N:N,MATCH($C335,$P:$P,0),1)&lt;&gt;"",$E335*INDEX(N:N,MATCH($C335,$P:$P,0),1)+$G335,""),AND($B335&lt;&gt;"",$D335="COST"),$G335,TRUE,)</f>
        <v>4422.64</v>
      </c>
      <c r="J335" s="134">
        <f t="shared" si="339"/>
        <v>2452.117976</v>
      </c>
      <c r="K335" s="219" t="str">
        <f t="shared" si="3"/>
        <v>Vanguard S&amp;P 500 UCITS ETF</v>
      </c>
      <c r="L335" s="150">
        <f t="shared" si="4"/>
        <v>4429</v>
      </c>
      <c r="M335" s="150">
        <f t="shared" si="5"/>
        <v>-189831.65</v>
      </c>
      <c r="N335" s="139" t="str">
        <f t="array" ref="N335">IF($P335&lt;&gt;"",IF(MAXIFS(Investment!$L:$L,Investment!$D:$D,LEFT($P335,40)&amp;"*"),MAXIFS(Investment!$L:$L,Investment!$D:$D,LEFT($P335,40)&amp;"*"),IFERROR(INDEX(Selection!$H:$H, MATCH($P335,Selection!$F:$F,0))/IF(OR(INDEX(Selection!$C:$C, MATCH($P335,Selection!$F:$F,0))="LN",INDEX(Selection!$C:$C, MATCH($P335,Selection!$F:$F,0))="US"),Investment!$K$7,1),"")),"")</f>
        <v/>
      </c>
      <c r="O335" s="144" t="str">
        <f>IF($P335&lt;&gt;"",IF(MAXIFS(Investment!$AG:$AG,Investment!$D:$D,LEFT($P335,40)&amp;"*"),MAXIFS(Investment!$AG:$AG,Investment!$D:$D,LEFT($P335,40)&amp;"*"),""),"")</f>
        <v/>
      </c>
      <c r="P335" s="135"/>
      <c r="Q335" s="150"/>
      <c r="R335" s="329"/>
    </row>
    <row r="336">
      <c r="A336" s="125">
        <v>43125.0</v>
      </c>
      <c r="B336" s="127"/>
      <c r="C336" s="133"/>
      <c r="D336" s="264" t="s">
        <v>263</v>
      </c>
      <c r="E336" s="264"/>
      <c r="F336" s="218"/>
      <c r="G336" s="132">
        <v>-0.01</v>
      </c>
      <c r="H336" s="344" t="s">
        <v>1371</v>
      </c>
      <c r="I336" s="134" t="str">
        <f t="shared" ref="I336:J336" si="340">IFS(AND($B336&lt;&gt;"",$E336&lt;&gt;""),IF(INDEX(N:N,MATCH($C336,$P:$P,0),1)&lt;&gt;"",$E336*INDEX(N:N,MATCH($C336,$P:$P,0),1)+$G336,""),AND($B336&lt;&gt;"",$D336="COST"),$G336,TRUE,)</f>
        <v/>
      </c>
      <c r="J336" s="134" t="str">
        <f t="shared" si="340"/>
        <v/>
      </c>
      <c r="K336" s="219" t="str">
        <f t="shared" si="3"/>
        <v/>
      </c>
      <c r="L336" s="150" t="str">
        <f t="shared" si="4"/>
        <v/>
      </c>
      <c r="M336" s="150" t="str">
        <f t="shared" si="5"/>
        <v/>
      </c>
      <c r="N336" s="139" t="str">
        <f t="array" ref="N336">IF($P336&lt;&gt;"",IF(MAXIFS(Investment!$L:$L,Investment!$D:$D,LEFT($P336,40)&amp;"*"),MAXIFS(Investment!$L:$L,Investment!$D:$D,LEFT($P336,40)&amp;"*"),IFERROR(INDEX(Selection!$H:$H, MATCH($P336,Selection!$F:$F,0))/IF(OR(INDEX(Selection!$C:$C, MATCH($P336,Selection!$F:$F,0))="LN",INDEX(Selection!$C:$C, MATCH($P336,Selection!$F:$F,0))="US"),Investment!$K$7,1),"")),"")</f>
        <v/>
      </c>
      <c r="O336" s="144" t="str">
        <f>IF($P336&lt;&gt;"",IF(MAXIFS(Investment!$AG:$AG,Investment!$D:$D,LEFT($P336,40)&amp;"*"),MAXIFS(Investment!$AG:$AG,Investment!$D:$D,LEFT($P336,40)&amp;"*"),""),"")</f>
        <v/>
      </c>
      <c r="P336" s="135"/>
      <c r="Q336" s="150"/>
      <c r="R336" s="329"/>
    </row>
    <row r="337">
      <c r="A337" s="125">
        <v>43124.0</v>
      </c>
      <c r="B337" s="127"/>
      <c r="C337" s="133"/>
      <c r="D337" s="264" t="s">
        <v>263</v>
      </c>
      <c r="E337" s="264"/>
      <c r="F337" s="218"/>
      <c r="G337" s="132">
        <v>0.05</v>
      </c>
      <c r="H337" s="344" t="s">
        <v>1401</v>
      </c>
      <c r="I337" s="134" t="str">
        <f t="shared" ref="I337:J337" si="341">IFS(AND($B337&lt;&gt;"",$E337&lt;&gt;""),IF(INDEX(N:N,MATCH($C337,$P:$P,0),1)&lt;&gt;"",$E337*INDEX(N:N,MATCH($C337,$P:$P,0),1)+$G337,""),AND($B337&lt;&gt;"",$D337="COST"),$G337,TRUE,)</f>
        <v/>
      </c>
      <c r="J337" s="134" t="str">
        <f t="shared" si="341"/>
        <v/>
      </c>
      <c r="K337" s="219" t="str">
        <f t="shared" si="3"/>
        <v/>
      </c>
      <c r="L337" s="150" t="str">
        <f t="shared" si="4"/>
        <v/>
      </c>
      <c r="M337" s="150" t="str">
        <f t="shared" si="5"/>
        <v/>
      </c>
      <c r="N337" s="139" t="str">
        <f t="array" ref="N337">IF($P337&lt;&gt;"",IF(MAXIFS(Investment!$L:$L,Investment!$D:$D,LEFT($P337,40)&amp;"*"),MAXIFS(Investment!$L:$L,Investment!$D:$D,LEFT($P337,40)&amp;"*"),IFERROR(INDEX(Selection!$H:$H, MATCH($P337,Selection!$F:$F,0))/IF(OR(INDEX(Selection!$C:$C, MATCH($P337,Selection!$F:$F,0))="LN",INDEX(Selection!$C:$C, MATCH($P337,Selection!$F:$F,0))="US"),Investment!$K$7,1),"")),"")</f>
        <v/>
      </c>
      <c r="O337" s="144" t="str">
        <f>IF($P337&lt;&gt;"",IF(MAXIFS(Investment!$AG:$AG,Investment!$D:$D,LEFT($P337,40)&amp;"*"),MAXIFS(Investment!$AG:$AG,Investment!$D:$D,LEFT($P337,40)&amp;"*"),""),"")</f>
        <v/>
      </c>
      <c r="P337" s="135"/>
      <c r="Q337" s="150"/>
      <c r="R337" s="329"/>
    </row>
    <row r="338">
      <c r="A338" s="125">
        <v>43115.0</v>
      </c>
      <c r="B338" s="127" t="s">
        <v>217</v>
      </c>
      <c r="C338" s="133" t="s">
        <v>220</v>
      </c>
      <c r="D338" s="264" t="s">
        <v>222</v>
      </c>
      <c r="E338" s="264">
        <v>860.0</v>
      </c>
      <c r="F338" s="218">
        <v>7.395</v>
      </c>
      <c r="G338" s="132">
        <v>-6359.7</v>
      </c>
      <c r="H338" s="344" t="s">
        <v>1402</v>
      </c>
      <c r="I338" s="134">
        <f t="shared" ref="I338:J338" si="342">IFS(AND($B338&lt;&gt;"",$E338&lt;&gt;""),IF(INDEX(N:N,MATCH($C338,$P:$P,0),1)&lt;&gt;"",$E338*INDEX(N:N,MATCH($C338,$P:$P,0),1)+$G338,""),AND($B338&lt;&gt;"",$D338="COST"),$G338,TRUE,)</f>
        <v>-189.2</v>
      </c>
      <c r="J338" s="134">
        <f t="shared" si="342"/>
        <v>1.740235294</v>
      </c>
      <c r="K338" s="219" t="str">
        <f t="shared" si="3"/>
        <v>ETFS All Commodities</v>
      </c>
      <c r="L338" s="150">
        <f t="shared" si="4"/>
        <v>8177</v>
      </c>
      <c r="M338" s="150">
        <f t="shared" si="5"/>
        <v>-60085.79</v>
      </c>
      <c r="N338" s="139" t="str">
        <f t="array" ref="N338">IF($P338&lt;&gt;"",IF(MAXIFS(Investment!$L:$L,Investment!$D:$D,LEFT($P338,40)&amp;"*"),MAXIFS(Investment!$L:$L,Investment!$D:$D,LEFT($P338,40)&amp;"*"),IFERROR(INDEX(Selection!$H:$H, MATCH($P338,Selection!$F:$F,0))/IF(OR(INDEX(Selection!$C:$C, MATCH($P338,Selection!$F:$F,0))="LN",INDEX(Selection!$C:$C, MATCH($P338,Selection!$F:$F,0))="US"),Investment!$K$7,1),"")),"")</f>
        <v/>
      </c>
      <c r="O338" s="144" t="str">
        <f>IF($P338&lt;&gt;"",IF(MAXIFS(Investment!$AG:$AG,Investment!$D:$D,LEFT($P338,40)&amp;"*"),MAXIFS(Investment!$AG:$AG,Investment!$D:$D,LEFT($P338,40)&amp;"*"),""),"")</f>
        <v/>
      </c>
      <c r="P338" s="135"/>
      <c r="Q338" s="150"/>
      <c r="R338" s="329"/>
    </row>
    <row r="339">
      <c r="A339" s="125">
        <v>43115.0</v>
      </c>
      <c r="B339" s="127" t="s">
        <v>307</v>
      </c>
      <c r="C339" s="133" t="s">
        <v>308</v>
      </c>
      <c r="D339" s="264" t="s">
        <v>222</v>
      </c>
      <c r="E339" s="264">
        <v>615.0</v>
      </c>
      <c r="F339" s="218">
        <v>43.436</v>
      </c>
      <c r="G339" s="132">
        <v>-26713.14</v>
      </c>
      <c r="H339" s="344" t="s">
        <v>1403</v>
      </c>
      <c r="I339" s="134">
        <f t="shared" ref="I339:J339" si="343">IFS(AND($B339&lt;&gt;"",$E339&lt;&gt;""),IF(INDEX(N:N,MATCH($C339,$P:$P,0),1)&lt;&gt;"",$E339*INDEX(N:N,MATCH($C339,$P:$P,0),1)+$G339,""),AND($B339&lt;&gt;"",$D339="COST"),$G339,TRUE,)</f>
        <v>2825.31</v>
      </c>
      <c r="J339" s="134">
        <f t="shared" si="343"/>
        <v>1531.957765</v>
      </c>
      <c r="K339" s="219" t="str">
        <f t="shared" si="3"/>
        <v>Vanguard S&amp;P 500 UCITS ETF</v>
      </c>
      <c r="L339" s="150">
        <f t="shared" si="4"/>
        <v>4429</v>
      </c>
      <c r="M339" s="150">
        <f t="shared" si="5"/>
        <v>-189831.65</v>
      </c>
      <c r="N339" s="139" t="str">
        <f t="array" ref="N339">IF($P339&lt;&gt;"",IF(MAXIFS(Investment!$L:$L,Investment!$D:$D,LEFT($P339,40)&amp;"*"),MAXIFS(Investment!$L:$L,Investment!$D:$D,LEFT($P339,40)&amp;"*"),IFERROR(INDEX(Selection!$H:$H, MATCH($P339,Selection!$F:$F,0))/IF(OR(INDEX(Selection!$C:$C, MATCH($P339,Selection!$F:$F,0))="LN",INDEX(Selection!$C:$C, MATCH($P339,Selection!$F:$F,0))="US"),Investment!$K$7,1),"")),"")</f>
        <v/>
      </c>
      <c r="O339" s="144" t="str">
        <f>IF($P339&lt;&gt;"",IF(MAXIFS(Investment!$AG:$AG,Investment!$D:$D,LEFT($P339,40)&amp;"*"),MAXIFS(Investment!$AG:$AG,Investment!$D:$D,LEFT($P339,40)&amp;"*"),""),"")</f>
        <v/>
      </c>
      <c r="P339" s="135"/>
      <c r="Q339" s="150"/>
      <c r="R339" s="329"/>
    </row>
    <row r="340">
      <c r="A340" s="125">
        <v>43110.0</v>
      </c>
      <c r="B340" s="127" t="s">
        <v>307</v>
      </c>
      <c r="C340" s="133" t="s">
        <v>308</v>
      </c>
      <c r="D340" s="264" t="s">
        <v>390</v>
      </c>
      <c r="E340" s="264"/>
      <c r="F340" s="218"/>
      <c r="G340" s="132">
        <v>-42.4</v>
      </c>
      <c r="H340" s="344" t="s">
        <v>1404</v>
      </c>
      <c r="I340" s="134" t="str">
        <f t="shared" ref="I340:J340" si="344">IFS(AND($B340&lt;&gt;"",$E340&lt;&gt;""),IF(INDEX(N:N,MATCH($C340,$P:$P,0),1)&lt;&gt;"",$E340*INDEX(N:N,MATCH($C340,$P:$P,0),1)+$G340,""),AND($B340&lt;&gt;"",$D340="COST"),$G340,TRUE,)</f>
        <v/>
      </c>
      <c r="J340" s="134" t="str">
        <f t="shared" si="344"/>
        <v/>
      </c>
      <c r="K340" s="219" t="str">
        <f t="shared" si="3"/>
        <v>Vanguard S&amp;P 500 UCITS ETF</v>
      </c>
      <c r="L340" s="150">
        <f t="shared" si="4"/>
        <v>4429</v>
      </c>
      <c r="M340" s="150">
        <f t="shared" si="5"/>
        <v>-189831.65</v>
      </c>
      <c r="N340" s="139" t="str">
        <f t="array" ref="N340">IF($P340&lt;&gt;"",IF(MAXIFS(Investment!$L:$L,Investment!$D:$D,LEFT($P340,40)&amp;"*"),MAXIFS(Investment!$L:$L,Investment!$D:$D,LEFT($P340,40)&amp;"*"),IFERROR(INDEX(Selection!$H:$H, MATCH($P340,Selection!$F:$F,0))/IF(OR(INDEX(Selection!$C:$C, MATCH($P340,Selection!$F:$F,0))="LN",INDEX(Selection!$C:$C, MATCH($P340,Selection!$F:$F,0))="US"),Investment!$K$7,1),"")),"")</f>
        <v/>
      </c>
      <c r="O340" s="144" t="str">
        <f>IF($P340&lt;&gt;"",IF(MAXIFS(Investment!$AG:$AG,Investment!$D:$D,LEFT($P340,40)&amp;"*"),MAXIFS(Investment!$AG:$AG,Investment!$D:$D,LEFT($P340,40)&amp;"*"),""),"")</f>
        <v/>
      </c>
      <c r="P340" s="135"/>
      <c r="Q340" s="150"/>
      <c r="R340" s="329"/>
    </row>
    <row r="341">
      <c r="A341" s="125">
        <v>43109.0</v>
      </c>
      <c r="B341" s="127" t="s">
        <v>307</v>
      </c>
      <c r="C341" s="133" t="s">
        <v>308</v>
      </c>
      <c r="D341" s="264" t="s">
        <v>390</v>
      </c>
      <c r="E341" s="264"/>
      <c r="F341" s="218"/>
      <c r="G341" s="132">
        <v>259.89</v>
      </c>
      <c r="H341" s="344" t="s">
        <v>1405</v>
      </c>
      <c r="I341" s="134" t="str">
        <f t="shared" ref="I341:J341" si="345">IFS(AND($B341&lt;&gt;"",$E341&lt;&gt;""),IF(INDEX(N:N,MATCH($C341,$P:$P,0),1)&lt;&gt;"",$E341*INDEX(N:N,MATCH($C341,$P:$P,0),1)+$G341,""),AND($B341&lt;&gt;"",$D341="COST"),$G341,TRUE,)</f>
        <v/>
      </c>
      <c r="J341" s="134" t="str">
        <f t="shared" si="345"/>
        <v/>
      </c>
      <c r="K341" s="219" t="str">
        <f t="shared" si="3"/>
        <v>Vanguard S&amp;P 500 UCITS ETF</v>
      </c>
      <c r="L341" s="150">
        <f t="shared" si="4"/>
        <v>4429</v>
      </c>
      <c r="M341" s="150">
        <f t="shared" si="5"/>
        <v>-189831.65</v>
      </c>
      <c r="N341" s="139" t="str">
        <f t="array" ref="N341">IF($P341&lt;&gt;"",IF(MAXIFS(Investment!$L:$L,Investment!$D:$D,LEFT($P341,40)&amp;"*"),MAXIFS(Investment!$L:$L,Investment!$D:$D,LEFT($P341,40)&amp;"*"),IFERROR(INDEX(Selection!$H:$H, MATCH($P341,Selection!$F:$F,0))/IF(OR(INDEX(Selection!$C:$C, MATCH($P341,Selection!$F:$F,0))="LN",INDEX(Selection!$C:$C, MATCH($P341,Selection!$F:$F,0))="US"),Investment!$K$7,1),"")),"")</f>
        <v/>
      </c>
      <c r="O341" s="144" t="str">
        <f>IF($P341&lt;&gt;"",IF(MAXIFS(Investment!$AG:$AG,Investment!$D:$D,LEFT($P341,40)&amp;"*"),MAXIFS(Investment!$AG:$AG,Investment!$D:$D,LEFT($P341,40)&amp;"*"),""),"")</f>
        <v/>
      </c>
      <c r="P341" s="135"/>
      <c r="Q341" s="150"/>
      <c r="R341" s="329"/>
    </row>
    <row r="342">
      <c r="A342" s="125">
        <v>43105.0</v>
      </c>
      <c r="B342" s="127"/>
      <c r="C342" s="133"/>
      <c r="D342" s="264" t="s">
        <v>268</v>
      </c>
      <c r="E342" s="264"/>
      <c r="F342" s="218"/>
      <c r="G342" s="132">
        <v>30000.0</v>
      </c>
      <c r="H342" s="344" t="s">
        <v>1406</v>
      </c>
      <c r="I342" s="134" t="str">
        <f t="shared" ref="I342:J342" si="346">IFS(AND($B342&lt;&gt;"",$E342&lt;&gt;""),IF(INDEX(N:N,MATCH($C342,$P:$P,0),1)&lt;&gt;"",$E342*INDEX(N:N,MATCH($C342,$P:$P,0),1)+$G342,""),AND($B342&lt;&gt;"",$D342="COST"),$G342,TRUE,)</f>
        <v/>
      </c>
      <c r="J342" s="134" t="str">
        <f t="shared" si="346"/>
        <v/>
      </c>
      <c r="K342" s="219" t="str">
        <f t="shared" si="3"/>
        <v/>
      </c>
      <c r="L342" s="150" t="str">
        <f t="shared" si="4"/>
        <v/>
      </c>
      <c r="M342" s="150" t="str">
        <f t="shared" si="5"/>
        <v/>
      </c>
      <c r="N342" s="139" t="str">
        <f t="array" ref="N342">IF($P342&lt;&gt;"",IF(MAXIFS(Investment!$L:$L,Investment!$D:$D,LEFT($P342,40)&amp;"*"),MAXIFS(Investment!$L:$L,Investment!$D:$D,LEFT($P342,40)&amp;"*"),IFERROR(INDEX(Selection!$H:$H, MATCH($P342,Selection!$F:$F,0))/IF(OR(INDEX(Selection!$C:$C, MATCH($P342,Selection!$F:$F,0))="LN",INDEX(Selection!$C:$C, MATCH($P342,Selection!$F:$F,0))="US"),Investment!$K$7,1),"")),"")</f>
        <v/>
      </c>
      <c r="O342" s="144" t="str">
        <f>IF($P342&lt;&gt;"",IF(MAXIFS(Investment!$AG:$AG,Investment!$D:$D,LEFT($P342,40)&amp;"*"),MAXIFS(Investment!$AG:$AG,Investment!$D:$D,LEFT($P342,40)&amp;"*"),""),"")</f>
        <v/>
      </c>
      <c r="P342" s="135"/>
      <c r="Q342" s="150"/>
      <c r="R342" s="329"/>
    </row>
    <row r="343">
      <c r="A343" s="125">
        <v>43103.0</v>
      </c>
      <c r="B343" s="127" t="s">
        <v>277</v>
      </c>
      <c r="C343" s="133" t="s">
        <v>860</v>
      </c>
      <c r="D343" s="264" t="s">
        <v>390</v>
      </c>
      <c r="E343" s="264"/>
      <c r="F343" s="218"/>
      <c r="G343" s="132">
        <v>-132.32</v>
      </c>
      <c r="H343" s="344" t="s">
        <v>1407</v>
      </c>
      <c r="I343" s="134" t="str">
        <f t="shared" ref="I343:J343" si="347">IFS(AND($B343&lt;&gt;"",$E343&lt;&gt;""),IF(INDEX(N:N,MATCH($C343,$P:$P,0),1)&lt;&gt;"",$E343*INDEX(N:N,MATCH($C343,$P:$P,0),1)+$G343,""),AND($B343&lt;&gt;"",$D343="COST"),$G343,TRUE,)</f>
        <v/>
      </c>
      <c r="J343" s="134" t="str">
        <f t="shared" si="347"/>
        <v/>
      </c>
      <c r="K343" s="219" t="str">
        <f t="shared" si="3"/>
        <v>Vanguard Intermediate-Term Treasury ETF</v>
      </c>
      <c r="L343" s="150">
        <f t="shared" si="4"/>
        <v>0</v>
      </c>
      <c r="M343" s="150">
        <f t="shared" si="5"/>
        <v>-1817.48</v>
      </c>
      <c r="N343" s="139" t="str">
        <f t="array" ref="N343">IF($P343&lt;&gt;"",IF(MAXIFS(Investment!$L:$L,Investment!$D:$D,LEFT($P343,40)&amp;"*"),MAXIFS(Investment!$L:$L,Investment!$D:$D,LEFT($P343,40)&amp;"*"),IFERROR(INDEX(Selection!$H:$H, MATCH($P343,Selection!$F:$F,0))/IF(OR(INDEX(Selection!$C:$C, MATCH($P343,Selection!$F:$F,0))="LN",INDEX(Selection!$C:$C, MATCH($P343,Selection!$F:$F,0))="US"),Investment!$K$7,1),"")),"")</f>
        <v/>
      </c>
      <c r="O343" s="144" t="str">
        <f>IF($P343&lt;&gt;"",IF(MAXIFS(Investment!$AG:$AG,Investment!$D:$D,LEFT($P343,40)&amp;"*"),MAXIFS(Investment!$AG:$AG,Investment!$D:$D,LEFT($P343,40)&amp;"*"),""),"")</f>
        <v/>
      </c>
      <c r="P343" s="135"/>
      <c r="Q343" s="150"/>
      <c r="R343" s="329"/>
    </row>
    <row r="344">
      <c r="A344" s="125">
        <v>43103.0</v>
      </c>
      <c r="B344" s="127"/>
      <c r="C344" s="133"/>
      <c r="D344" s="264" t="s">
        <v>263</v>
      </c>
      <c r="E344" s="264"/>
      <c r="F344" s="218"/>
      <c r="G344" s="132">
        <v>-127.19</v>
      </c>
      <c r="H344" s="344" t="s">
        <v>1408</v>
      </c>
      <c r="I344" s="134" t="str">
        <f t="shared" ref="I344:J344" si="348">IFS(AND($B344&lt;&gt;"",$E344&lt;&gt;""),IF(INDEX(N:N,MATCH($C344,$P:$P,0),1)&lt;&gt;"",$E344*INDEX(N:N,MATCH($C344,$P:$P,0),1)+$G344,""),AND($B344&lt;&gt;"",$D344="COST"),$G344,TRUE,)</f>
        <v/>
      </c>
      <c r="J344" s="134" t="str">
        <f t="shared" si="348"/>
        <v/>
      </c>
      <c r="K344" s="219" t="str">
        <f t="shared" si="3"/>
        <v/>
      </c>
      <c r="L344" s="150" t="str">
        <f t="shared" si="4"/>
        <v/>
      </c>
      <c r="M344" s="150" t="str">
        <f t="shared" si="5"/>
        <v/>
      </c>
      <c r="N344" s="139" t="str">
        <f t="array" ref="N344">IF($P344&lt;&gt;"",IF(MAXIFS(Investment!$L:$L,Investment!$D:$D,LEFT($P344,40)&amp;"*"),MAXIFS(Investment!$L:$L,Investment!$D:$D,LEFT($P344,40)&amp;"*"),IFERROR(INDEX(Selection!$H:$H, MATCH($P344,Selection!$F:$F,0))/IF(OR(INDEX(Selection!$C:$C, MATCH($P344,Selection!$F:$F,0))="LN",INDEX(Selection!$C:$C, MATCH($P344,Selection!$F:$F,0))="US"),Investment!$K$7,1),"")),"")</f>
        <v/>
      </c>
      <c r="O344" s="144" t="str">
        <f>IF($P344&lt;&gt;"",IF(MAXIFS(Investment!$AG:$AG,Investment!$D:$D,LEFT($P344,40)&amp;"*"),MAXIFS(Investment!$AG:$AG,Investment!$D:$D,LEFT($P344,40)&amp;"*"),""),"")</f>
        <v/>
      </c>
      <c r="P344" s="135"/>
      <c r="Q344" s="150"/>
      <c r="R344" s="329"/>
    </row>
    <row r="345">
      <c r="A345" s="125">
        <v>43102.0</v>
      </c>
      <c r="B345" s="127" t="s">
        <v>243</v>
      </c>
      <c r="C345" s="133" t="s">
        <v>588</v>
      </c>
      <c r="D345" s="264" t="s">
        <v>390</v>
      </c>
      <c r="E345" s="264"/>
      <c r="F345" s="218"/>
      <c r="G345" s="132">
        <v>519.88</v>
      </c>
      <c r="H345" s="344" t="s">
        <v>1409</v>
      </c>
      <c r="I345" s="134" t="str">
        <f t="shared" ref="I345:J345" si="349">IFS(AND($B345&lt;&gt;"",$E345&lt;&gt;""),IF(INDEX(N:N,MATCH($C345,$P:$P,0),1)&lt;&gt;"",$E345*INDEX(N:N,MATCH($C345,$P:$P,0),1)+$G345,""),AND($B345&lt;&gt;"",$D345="COST"),$G345,TRUE,)</f>
        <v/>
      </c>
      <c r="J345" s="134" t="str">
        <f t="shared" si="349"/>
        <v/>
      </c>
      <c r="K345" s="219" t="str">
        <f t="shared" si="3"/>
        <v>Vanguard Extended Duration Treasury ETF</v>
      </c>
      <c r="L345" s="150">
        <f t="shared" si="4"/>
        <v>0</v>
      </c>
      <c r="M345" s="150">
        <f t="shared" si="5"/>
        <v>-4941.36</v>
      </c>
      <c r="N345" s="139" t="str">
        <f t="array" ref="N345">IF($P345&lt;&gt;"",IF(MAXIFS(Investment!$L:$L,Investment!$D:$D,LEFT($P345,40)&amp;"*"),MAXIFS(Investment!$L:$L,Investment!$D:$D,LEFT($P345,40)&amp;"*"),IFERROR(INDEX(Selection!$H:$H, MATCH($P345,Selection!$F:$F,0))/IF(OR(INDEX(Selection!$C:$C, MATCH($P345,Selection!$F:$F,0))="LN",INDEX(Selection!$C:$C, MATCH($P345,Selection!$F:$F,0))="US"),Investment!$K$7,1),"")),"")</f>
        <v/>
      </c>
      <c r="O345" s="144" t="str">
        <f>IF($P345&lt;&gt;"",IF(MAXIFS(Investment!$AG:$AG,Investment!$D:$D,LEFT($P345,40)&amp;"*"),MAXIFS(Investment!$AG:$AG,Investment!$D:$D,LEFT($P345,40)&amp;"*"),""),"")</f>
        <v/>
      </c>
      <c r="P345" s="135"/>
      <c r="Q345" s="150"/>
      <c r="R345" s="329"/>
    </row>
    <row r="346">
      <c r="A346" s="125">
        <v>43102.0</v>
      </c>
      <c r="B346" s="127" t="s">
        <v>243</v>
      </c>
      <c r="C346" s="133" t="s">
        <v>588</v>
      </c>
      <c r="D346" s="264" t="s">
        <v>390</v>
      </c>
      <c r="E346" s="264"/>
      <c r="F346" s="218"/>
      <c r="G346" s="132">
        <v>208.14</v>
      </c>
      <c r="H346" s="344" t="s">
        <v>1410</v>
      </c>
      <c r="I346" s="134" t="str">
        <f t="shared" ref="I346:J346" si="350">IFS(AND($B346&lt;&gt;"",$E346&lt;&gt;""),IF(INDEX(N:N,MATCH($C346,$P:$P,0),1)&lt;&gt;"",$E346*INDEX(N:N,MATCH($C346,$P:$P,0),1)+$G346,""),AND($B346&lt;&gt;"",$D346="COST"),$G346,TRUE,)</f>
        <v/>
      </c>
      <c r="J346" s="134" t="str">
        <f t="shared" si="350"/>
        <v/>
      </c>
      <c r="K346" s="219" t="str">
        <f t="shared" si="3"/>
        <v>Vanguard Extended Duration Treasury ETF</v>
      </c>
      <c r="L346" s="150">
        <f t="shared" si="4"/>
        <v>0</v>
      </c>
      <c r="M346" s="150">
        <f t="shared" si="5"/>
        <v>-4941.36</v>
      </c>
      <c r="N346" s="139" t="str">
        <f t="array" ref="N346">IF($P346&lt;&gt;"",IF(MAXIFS(Investment!$L:$L,Investment!$D:$D,LEFT($P346,40)&amp;"*"),MAXIFS(Investment!$L:$L,Investment!$D:$D,LEFT($P346,40)&amp;"*"),IFERROR(INDEX(Selection!$H:$H, MATCH($P346,Selection!$F:$F,0))/IF(OR(INDEX(Selection!$C:$C, MATCH($P346,Selection!$F:$F,0))="LN",INDEX(Selection!$C:$C, MATCH($P346,Selection!$F:$F,0))="US"),Investment!$K$7,1),"")),"")</f>
        <v/>
      </c>
      <c r="O346" s="144" t="str">
        <f>IF($P346&lt;&gt;"",IF(MAXIFS(Investment!$AG:$AG,Investment!$D:$D,LEFT($P346,40)&amp;"*"),MAXIFS(Investment!$AG:$AG,Investment!$D:$D,LEFT($P346,40)&amp;"*"),""),"")</f>
        <v/>
      </c>
      <c r="P346" s="135"/>
      <c r="Q346" s="150"/>
      <c r="R346" s="329"/>
    </row>
    <row r="347">
      <c r="A347" s="125">
        <v>43102.0</v>
      </c>
      <c r="B347" s="127" t="s">
        <v>277</v>
      </c>
      <c r="C347" s="133" t="s">
        <v>860</v>
      </c>
      <c r="D347" s="264" t="s">
        <v>390</v>
      </c>
      <c r="E347" s="264"/>
      <c r="F347" s="218"/>
      <c r="G347" s="132">
        <v>43.79</v>
      </c>
      <c r="H347" s="344" t="s">
        <v>1411</v>
      </c>
      <c r="I347" s="134" t="str">
        <f t="shared" ref="I347:J347" si="351">IFS(AND($B347&lt;&gt;"",$E347&lt;&gt;""),IF(INDEX(N:N,MATCH($C347,$P:$P,0),1)&lt;&gt;"",$E347*INDEX(N:N,MATCH($C347,$P:$P,0),1)+$G347,""),AND($B347&lt;&gt;"",$D347="COST"),$G347,TRUE,)</f>
        <v/>
      </c>
      <c r="J347" s="134" t="str">
        <f t="shared" si="351"/>
        <v/>
      </c>
      <c r="K347" s="219" t="str">
        <f t="shared" si="3"/>
        <v>Vanguard Intermediate-Term Treasury ETF</v>
      </c>
      <c r="L347" s="150">
        <f t="shared" si="4"/>
        <v>0</v>
      </c>
      <c r="M347" s="150">
        <f t="shared" si="5"/>
        <v>-1817.48</v>
      </c>
      <c r="N347" s="139" t="str">
        <f t="array" ref="N347">IF($P347&lt;&gt;"",IF(MAXIFS(Investment!$L:$L,Investment!$D:$D,LEFT($P347,40)&amp;"*"),MAXIFS(Investment!$L:$L,Investment!$D:$D,LEFT($P347,40)&amp;"*"),IFERROR(INDEX(Selection!$H:$H, MATCH($P347,Selection!$F:$F,0))/IF(OR(INDEX(Selection!$C:$C, MATCH($P347,Selection!$F:$F,0))="LN",INDEX(Selection!$C:$C, MATCH($P347,Selection!$F:$F,0))="US"),Investment!$K$7,1),"")),"")</f>
        <v/>
      </c>
      <c r="O347" s="144" t="str">
        <f>IF($P347&lt;&gt;"",IF(MAXIFS(Investment!$AG:$AG,Investment!$D:$D,LEFT($P347,40)&amp;"*"),MAXIFS(Investment!$AG:$AG,Investment!$D:$D,LEFT($P347,40)&amp;"*"),""),"")</f>
        <v/>
      </c>
      <c r="P347" s="135"/>
      <c r="Q347" s="150"/>
      <c r="R347" s="329"/>
    </row>
    <row r="348">
      <c r="A348" s="125">
        <v>43090.0</v>
      </c>
      <c r="B348" s="127" t="s">
        <v>307</v>
      </c>
      <c r="C348" s="133" t="s">
        <v>308</v>
      </c>
      <c r="D348" s="264" t="s">
        <v>245</v>
      </c>
      <c r="E348" s="264">
        <v>-26.0</v>
      </c>
      <c r="F348" s="218">
        <v>42.848</v>
      </c>
      <c r="G348" s="132">
        <v>1114.05</v>
      </c>
      <c r="H348" s="344" t="s">
        <v>1412</v>
      </c>
      <c r="I348" s="134">
        <f t="shared" ref="I348:J348" si="352">IFS(AND($B348&lt;&gt;"",$E348&lt;&gt;""),IF(INDEX(N:N,MATCH($C348,$P:$P,0),1)&lt;&gt;"",$E348*INDEX(N:N,MATCH($C348,$P:$P,0),1)+$G348,""),AND($B348&lt;&gt;"",$D348="COST"),$G348,TRUE,)</f>
        <v>-134.73</v>
      </c>
      <c r="J348" s="134">
        <f t="shared" si="352"/>
        <v>-80.05169412</v>
      </c>
      <c r="K348" s="219" t="str">
        <f t="shared" si="3"/>
        <v>Vanguard S&amp;P 500 UCITS ETF</v>
      </c>
      <c r="L348" s="150">
        <f t="shared" si="4"/>
        <v>4429</v>
      </c>
      <c r="M348" s="150">
        <f t="shared" si="5"/>
        <v>-189831.65</v>
      </c>
      <c r="N348" s="139" t="str">
        <f t="array" ref="N348">IF($P348&lt;&gt;"",IF(MAXIFS(Investment!$L:$L,Investment!$D:$D,LEFT($P348,40)&amp;"*"),MAXIFS(Investment!$L:$L,Investment!$D:$D,LEFT($P348,40)&amp;"*"),IFERROR(INDEX(Selection!$H:$H, MATCH($P348,Selection!$F:$F,0))/IF(OR(INDEX(Selection!$C:$C, MATCH($P348,Selection!$F:$F,0))="LN",INDEX(Selection!$C:$C, MATCH($P348,Selection!$F:$F,0))="US"),Investment!$K$7,1),"")),"")</f>
        <v/>
      </c>
      <c r="O348" s="144" t="str">
        <f>IF($P348&lt;&gt;"",IF(MAXIFS(Investment!$AG:$AG,Investment!$D:$D,LEFT($P348,40)&amp;"*"),MAXIFS(Investment!$AG:$AG,Investment!$D:$D,LEFT($P348,40)&amp;"*"),""),"")</f>
        <v/>
      </c>
      <c r="P348" s="135"/>
      <c r="Q348" s="150"/>
      <c r="R348" s="329"/>
    </row>
    <row r="349">
      <c r="A349" s="125">
        <v>43090.0</v>
      </c>
      <c r="B349" s="127" t="s">
        <v>307</v>
      </c>
      <c r="C349" s="133" t="s">
        <v>308</v>
      </c>
      <c r="D349" s="264" t="s">
        <v>263</v>
      </c>
      <c r="E349" s="264"/>
      <c r="F349" s="218"/>
      <c r="G349" s="132">
        <v>-2.22</v>
      </c>
      <c r="H349" s="344" t="s">
        <v>1413</v>
      </c>
      <c r="I349" s="134">
        <f t="shared" ref="I349:J349" si="353">IFS(AND($B349&lt;&gt;"",$E349&lt;&gt;""),IF(INDEX(N:N,MATCH($C349,$P:$P,0),1)&lt;&gt;"",$E349*INDEX(N:N,MATCH($C349,$P:$P,0),1)+$G349,""),AND($B349&lt;&gt;"",$D349="COST"),$G349,TRUE,)</f>
        <v>-2.22</v>
      </c>
      <c r="J349" s="134">
        <f t="shared" si="353"/>
        <v>-2.22</v>
      </c>
      <c r="K349" s="219" t="str">
        <f t="shared" si="3"/>
        <v>Vanguard S&amp;P 500 UCITS ETF</v>
      </c>
      <c r="L349" s="150">
        <f t="shared" si="4"/>
        <v>4429</v>
      </c>
      <c r="M349" s="150">
        <f t="shared" si="5"/>
        <v>-189831.65</v>
      </c>
      <c r="N349" s="139" t="str">
        <f t="array" ref="N349">IF($P349&lt;&gt;"",IF(MAXIFS(Investment!$L:$L,Investment!$D:$D,LEFT($P349,40)&amp;"*"),MAXIFS(Investment!$L:$L,Investment!$D:$D,LEFT($P349,40)&amp;"*"),IFERROR(INDEX(Selection!$H:$H, MATCH($P349,Selection!$F:$F,0))/IF(OR(INDEX(Selection!$C:$C, MATCH($P349,Selection!$F:$F,0))="LN",INDEX(Selection!$C:$C, MATCH($P349,Selection!$F:$F,0))="US"),Investment!$K$7,1),"")),"")</f>
        <v/>
      </c>
      <c r="O349" s="144" t="str">
        <f>IF($P349&lt;&gt;"",IF(MAXIFS(Investment!$AG:$AG,Investment!$D:$D,LEFT($P349,40)&amp;"*"),MAXIFS(Investment!$AG:$AG,Investment!$D:$D,LEFT($P349,40)&amp;"*"),""),"")</f>
        <v/>
      </c>
      <c r="P349" s="135"/>
      <c r="Q349" s="150"/>
      <c r="R349" s="329"/>
    </row>
    <row r="350">
      <c r="A350" s="125">
        <v>43089.0</v>
      </c>
      <c r="B350" s="127" t="s">
        <v>243</v>
      </c>
      <c r="C350" s="133" t="s">
        <v>588</v>
      </c>
      <c r="D350" s="264" t="s">
        <v>222</v>
      </c>
      <c r="E350" s="264">
        <v>11.0</v>
      </c>
      <c r="F350" s="218">
        <v>99.46</v>
      </c>
      <c r="G350" s="132">
        <v>-1094.1</v>
      </c>
      <c r="H350" s="344" t="s">
        <v>1414</v>
      </c>
      <c r="I350" s="134">
        <f t="shared" ref="I350:J350" si="354">IFS(AND($B350&lt;&gt;"",$E350&lt;&gt;""),IF(INDEX(N:N,MATCH($C350,$P:$P,0),1)&lt;&gt;"",$E350*INDEX(N:N,MATCH($C350,$P:$P,0),1)+$G350,""),AND($B350&lt;&gt;"",$D350="COST"),$G350,TRUE,)</f>
        <v>69.63264507</v>
      </c>
      <c r="J350" s="134" t="str">
        <f t="shared" si="354"/>
        <v/>
      </c>
      <c r="K350" s="219" t="str">
        <f t="shared" si="3"/>
        <v>Vanguard Extended Duration Treasury ETF</v>
      </c>
      <c r="L350" s="150">
        <f t="shared" si="4"/>
        <v>0</v>
      </c>
      <c r="M350" s="150">
        <f t="shared" si="5"/>
        <v>-4941.36</v>
      </c>
      <c r="N350" s="139" t="str">
        <f t="array" ref="N350">IF($P350&lt;&gt;"",IF(MAXIFS(Investment!$L:$L,Investment!$D:$D,LEFT($P350,40)&amp;"*"),MAXIFS(Investment!$L:$L,Investment!$D:$D,LEFT($P350,40)&amp;"*"),IFERROR(INDEX(Selection!$H:$H, MATCH($P350,Selection!$F:$F,0))/IF(OR(INDEX(Selection!$C:$C, MATCH($P350,Selection!$F:$F,0))="LN",INDEX(Selection!$C:$C, MATCH($P350,Selection!$F:$F,0))="US"),Investment!$K$7,1),"")),"")</f>
        <v/>
      </c>
      <c r="O350" s="144" t="str">
        <f>IF($P350&lt;&gt;"",IF(MAXIFS(Investment!$AG:$AG,Investment!$D:$D,LEFT($P350,40)&amp;"*"),MAXIFS(Investment!$AG:$AG,Investment!$D:$D,LEFT($P350,40)&amp;"*"),""),"")</f>
        <v/>
      </c>
      <c r="P350" s="135"/>
      <c r="Q350" s="150"/>
      <c r="R350" s="329"/>
    </row>
    <row r="351">
      <c r="A351" s="125">
        <v>43080.0</v>
      </c>
      <c r="B351" s="127" t="s">
        <v>217</v>
      </c>
      <c r="C351" s="133" t="s">
        <v>220</v>
      </c>
      <c r="D351" s="264" t="s">
        <v>222</v>
      </c>
      <c r="E351" s="264">
        <v>311.0</v>
      </c>
      <c r="F351" s="218">
        <v>7.225</v>
      </c>
      <c r="G351" s="132">
        <v>-2246.97</v>
      </c>
      <c r="H351" s="344" t="s">
        <v>1415</v>
      </c>
      <c r="I351" s="134">
        <f t="shared" ref="I351:J351" si="355">IFS(AND($B351&lt;&gt;"",$E351&lt;&gt;""),IF(INDEX(N:N,MATCH($C351,$P:$P,0),1)&lt;&gt;"",$E351*INDEX(N:N,MATCH($C351,$P:$P,0),1)+$G351,""),AND($B351&lt;&gt;"",$D351="COST"),$G351,TRUE,)</f>
        <v>-15.545</v>
      </c>
      <c r="J351" s="134">
        <f t="shared" si="355"/>
        <v>53.50431765</v>
      </c>
      <c r="K351" s="219" t="str">
        <f t="shared" si="3"/>
        <v>ETFS All Commodities</v>
      </c>
      <c r="L351" s="150">
        <f t="shared" si="4"/>
        <v>8177</v>
      </c>
      <c r="M351" s="150">
        <f t="shared" si="5"/>
        <v>-60085.79</v>
      </c>
      <c r="N351" s="139" t="str">
        <f t="array" ref="N351">IF($P351&lt;&gt;"",IF(MAXIFS(Investment!$L:$L,Investment!$D:$D,LEFT($P351,40)&amp;"*"),MAXIFS(Investment!$L:$L,Investment!$D:$D,LEFT($P351,40)&amp;"*"),IFERROR(INDEX(Selection!$H:$H, MATCH($P351,Selection!$F:$F,0))/IF(OR(INDEX(Selection!$C:$C, MATCH($P351,Selection!$F:$F,0))="LN",INDEX(Selection!$C:$C, MATCH($P351,Selection!$F:$F,0))="US"),Investment!$K$7,1),"")),"")</f>
        <v/>
      </c>
      <c r="O351" s="144" t="str">
        <f>IF($P351&lt;&gt;"",IF(MAXIFS(Investment!$AG:$AG,Investment!$D:$D,LEFT($P351,40)&amp;"*"),MAXIFS(Investment!$AG:$AG,Investment!$D:$D,LEFT($P351,40)&amp;"*"),""),"")</f>
        <v/>
      </c>
      <c r="P351" s="135"/>
      <c r="Q351" s="150"/>
      <c r="R351" s="329"/>
    </row>
    <row r="352">
      <c r="A352" s="125">
        <v>43080.0</v>
      </c>
      <c r="B352" s="127" t="s">
        <v>307</v>
      </c>
      <c r="C352" s="133" t="s">
        <v>308</v>
      </c>
      <c r="D352" s="264" t="s">
        <v>222</v>
      </c>
      <c r="E352" s="264">
        <v>206.0</v>
      </c>
      <c r="F352" s="218">
        <v>42.94</v>
      </c>
      <c r="G352" s="132">
        <v>-8845.64</v>
      </c>
      <c r="H352" s="344" t="s">
        <v>1416</v>
      </c>
      <c r="I352" s="134">
        <f t="shared" ref="I352:J352" si="356">IFS(AND($B352&lt;&gt;"",$E352&lt;&gt;""),IF(INDEX(N:N,MATCH($C352,$P:$P,0),1)&lt;&gt;"",$E352*INDEX(N:N,MATCH($C352,$P:$P,0),1)+$G352,""),AND($B352&lt;&gt;"",$D352="COST"),$G352,TRUE,)</f>
        <v>1048.54</v>
      </c>
      <c r="J352" s="134">
        <f t="shared" si="356"/>
        <v>615.3195765</v>
      </c>
      <c r="K352" s="219" t="str">
        <f t="shared" si="3"/>
        <v>Vanguard S&amp;P 500 UCITS ETF</v>
      </c>
      <c r="L352" s="150">
        <f t="shared" si="4"/>
        <v>4429</v>
      </c>
      <c r="M352" s="150">
        <f t="shared" si="5"/>
        <v>-189831.65</v>
      </c>
      <c r="N352" s="139" t="str">
        <f t="array" ref="N352">IF($P352&lt;&gt;"",IF(MAXIFS(Investment!$L:$L,Investment!$D:$D,LEFT($P352,40)&amp;"*"),MAXIFS(Investment!$L:$L,Investment!$D:$D,LEFT($P352,40)&amp;"*"),IFERROR(INDEX(Selection!$H:$H, MATCH($P352,Selection!$F:$F,0))/IF(OR(INDEX(Selection!$C:$C, MATCH($P352,Selection!$F:$F,0))="LN",INDEX(Selection!$C:$C, MATCH($P352,Selection!$F:$F,0))="US"),Investment!$K$7,1),"")),"")</f>
        <v/>
      </c>
      <c r="O352" s="144" t="str">
        <f>IF($P352&lt;&gt;"",IF(MAXIFS(Investment!$AG:$AG,Investment!$D:$D,LEFT($P352,40)&amp;"*"),MAXIFS(Investment!$AG:$AG,Investment!$D:$D,LEFT($P352,40)&amp;"*"),""),"")</f>
        <v/>
      </c>
      <c r="P352" s="135"/>
      <c r="Q352" s="150"/>
      <c r="R352" s="329"/>
    </row>
    <row r="353">
      <c r="A353" s="125">
        <v>43080.0</v>
      </c>
      <c r="B353" s="127" t="s">
        <v>361</v>
      </c>
      <c r="C353" s="133" t="s">
        <v>989</v>
      </c>
      <c r="D353" s="264" t="s">
        <v>222</v>
      </c>
      <c r="E353" s="264">
        <v>267.0</v>
      </c>
      <c r="F353" s="218">
        <v>10.17</v>
      </c>
      <c r="G353" s="132">
        <v>-2714.52</v>
      </c>
      <c r="H353" s="344" t="s">
        <v>1417</v>
      </c>
      <c r="I353" s="134">
        <f t="shared" ref="I353:J353" si="357">IFS(AND($B353&lt;&gt;"",$E353&lt;&gt;""),IF(INDEX(N:N,MATCH($C353,$P:$P,0),1)&lt;&gt;"",$E353*INDEX(N:N,MATCH($C353,$P:$P,0),1)+$G353,""),AND($B353&lt;&gt;"",$D353="COST"),$G353,TRUE,)</f>
        <v>241.5853756</v>
      </c>
      <c r="J353" s="134" t="str">
        <f t="shared" si="357"/>
        <v/>
      </c>
      <c r="K353" s="219" t="str">
        <f t="shared" si="3"/>
        <v>iShares Gold Trust</v>
      </c>
      <c r="L353" s="150">
        <f t="shared" si="4"/>
        <v>0</v>
      </c>
      <c r="M353" s="150">
        <f t="shared" si="5"/>
        <v>140.23</v>
      </c>
      <c r="N353" s="139" t="str">
        <f t="array" ref="N353">IF($P353&lt;&gt;"",IF(MAXIFS(Investment!$L:$L,Investment!$D:$D,LEFT($P353,40)&amp;"*"),MAXIFS(Investment!$L:$L,Investment!$D:$D,LEFT($P353,40)&amp;"*"),IFERROR(INDEX(Selection!$H:$H, MATCH($P353,Selection!$F:$F,0))/IF(OR(INDEX(Selection!$C:$C, MATCH($P353,Selection!$F:$F,0))="LN",INDEX(Selection!$C:$C, MATCH($P353,Selection!$F:$F,0))="US"),Investment!$K$7,1),"")),"")</f>
        <v/>
      </c>
      <c r="O353" s="144" t="str">
        <f>IF($P353&lt;&gt;"",IF(MAXIFS(Investment!$AG:$AG,Investment!$D:$D,LEFT($P353,40)&amp;"*"),MAXIFS(Investment!$AG:$AG,Investment!$D:$D,LEFT($P353,40)&amp;"*"),""),"")</f>
        <v/>
      </c>
      <c r="P353" s="135"/>
      <c r="Q353" s="150"/>
      <c r="R353" s="329"/>
    </row>
    <row r="354">
      <c r="A354" s="125">
        <v>43080.0</v>
      </c>
      <c r="B354" s="127" t="s">
        <v>243</v>
      </c>
      <c r="C354" s="133" t="s">
        <v>588</v>
      </c>
      <c r="D354" s="264" t="s">
        <v>222</v>
      </c>
      <c r="E354" s="264">
        <v>108.0</v>
      </c>
      <c r="F354" s="218">
        <v>103.18</v>
      </c>
      <c r="G354" s="132">
        <v>-11143.33</v>
      </c>
      <c r="H354" s="344" t="s">
        <v>1418</v>
      </c>
      <c r="I354" s="134">
        <f t="shared" ref="I354:J354" si="358">IFS(AND($B354&lt;&gt;"",$E354&lt;&gt;""),IF(INDEX(N:N,MATCH($C354,$P:$P,0),1)&lt;&gt;"",$E354*INDEX(N:N,MATCH($C354,$P:$P,0),1)+$G354,""),AND($B354&lt;&gt;"",$D354="COST"),$G354,TRUE,)</f>
        <v>282.408697</v>
      </c>
      <c r="J354" s="134" t="str">
        <f t="shared" si="358"/>
        <v/>
      </c>
      <c r="K354" s="219" t="str">
        <f t="shared" si="3"/>
        <v>Vanguard Extended Duration Treasury ETF</v>
      </c>
      <c r="L354" s="150">
        <f t="shared" si="4"/>
        <v>0</v>
      </c>
      <c r="M354" s="150">
        <f t="shared" si="5"/>
        <v>-4941.36</v>
      </c>
      <c r="N354" s="139" t="str">
        <f t="array" ref="N354">IF($P354&lt;&gt;"",IF(MAXIFS(Investment!$L:$L,Investment!$D:$D,LEFT($P354,40)&amp;"*"),MAXIFS(Investment!$L:$L,Investment!$D:$D,LEFT($P354,40)&amp;"*"),IFERROR(INDEX(Selection!$H:$H, MATCH($P354,Selection!$F:$F,0))/IF(OR(INDEX(Selection!$C:$C, MATCH($P354,Selection!$F:$F,0))="LN",INDEX(Selection!$C:$C, MATCH($P354,Selection!$F:$F,0))="US"),Investment!$K$7,1),"")),"")</f>
        <v/>
      </c>
      <c r="O354" s="144" t="str">
        <f>IF($P354&lt;&gt;"",IF(MAXIFS(Investment!$AG:$AG,Investment!$D:$D,LEFT($P354,40)&amp;"*"),MAXIFS(Investment!$AG:$AG,Investment!$D:$D,LEFT($P354,40)&amp;"*"),""),"")</f>
        <v/>
      </c>
      <c r="P354" s="135"/>
      <c r="Q354" s="150"/>
      <c r="R354" s="329"/>
    </row>
    <row r="355">
      <c r="A355" s="125">
        <v>43080.0</v>
      </c>
      <c r="B355" s="127" t="s">
        <v>277</v>
      </c>
      <c r="C355" s="133" t="s">
        <v>860</v>
      </c>
      <c r="D355" s="264" t="s">
        <v>263</v>
      </c>
      <c r="E355" s="264"/>
      <c r="F355" s="218"/>
      <c r="G355" s="132">
        <v>-3.0</v>
      </c>
      <c r="H355" s="344" t="s">
        <v>1419</v>
      </c>
      <c r="I355" s="134">
        <f t="shared" ref="I355:J355" si="359">IFS(AND($B355&lt;&gt;"",$E355&lt;&gt;""),IF(INDEX(N:N,MATCH($C355,$P:$P,0),1)&lt;&gt;"",$E355*INDEX(N:N,MATCH($C355,$P:$P,0),1)+$G355,""),AND($B355&lt;&gt;"",$D355="COST"),$G355,TRUE,)</f>
        <v>-3</v>
      </c>
      <c r="J355" s="134">
        <f t="shared" si="359"/>
        <v>-3</v>
      </c>
      <c r="K355" s="219" t="str">
        <f t="shared" si="3"/>
        <v>Vanguard Intermediate-Term Treasury ETF</v>
      </c>
      <c r="L355" s="150">
        <f t="shared" si="4"/>
        <v>0</v>
      </c>
      <c r="M355" s="150">
        <f t="shared" si="5"/>
        <v>-1817.48</v>
      </c>
      <c r="N355" s="139" t="str">
        <f t="array" ref="N355">IF($P355&lt;&gt;"",IF(MAXIFS(Investment!$L:$L,Investment!$D:$D,LEFT($P355,40)&amp;"*"),MAXIFS(Investment!$L:$L,Investment!$D:$D,LEFT($P355,40)&amp;"*"),IFERROR(INDEX(Selection!$H:$H, MATCH($P355,Selection!$F:$F,0))/IF(OR(INDEX(Selection!$C:$C, MATCH($P355,Selection!$F:$F,0))="LN",INDEX(Selection!$C:$C, MATCH($P355,Selection!$F:$F,0))="US"),Investment!$K$7,1),"")),"")</f>
        <v/>
      </c>
      <c r="O355" s="144" t="str">
        <f>IF($P355&lt;&gt;"",IF(MAXIFS(Investment!$AG:$AG,Investment!$D:$D,LEFT($P355,40)&amp;"*"),MAXIFS(Investment!$AG:$AG,Investment!$D:$D,LEFT($P355,40)&amp;"*"),""),"")</f>
        <v/>
      </c>
      <c r="P355" s="135"/>
      <c r="Q355" s="150"/>
      <c r="R355" s="329"/>
    </row>
    <row r="356">
      <c r="A356" s="125">
        <v>43080.0</v>
      </c>
      <c r="B356" s="127" t="s">
        <v>277</v>
      </c>
      <c r="C356" s="133" t="s">
        <v>860</v>
      </c>
      <c r="D356" s="264" t="s">
        <v>222</v>
      </c>
      <c r="E356" s="264">
        <v>92.0</v>
      </c>
      <c r="F356" s="218">
        <v>54.49</v>
      </c>
      <c r="G356" s="132">
        <v>-5013.47</v>
      </c>
      <c r="H356" s="344" t="s">
        <v>1420</v>
      </c>
      <c r="I356" s="134">
        <f t="shared" ref="I356:J356" si="360">IFS(AND($B356&lt;&gt;"",$E356&lt;&gt;""),IF(INDEX(N:N,MATCH($C356,$P:$P,0),1)&lt;&gt;"",$E356*INDEX(N:N,MATCH($C356,$P:$P,0),1)+$G356,""),AND($B356&lt;&gt;"",$D356="COST"),$G356,TRUE,)</f>
        <v>271.0440619</v>
      </c>
      <c r="J356" s="134" t="str">
        <f t="shared" si="360"/>
        <v/>
      </c>
      <c r="K356" s="219" t="str">
        <f t="shared" si="3"/>
        <v>Vanguard Intermediate-Term Treasury ETF</v>
      </c>
      <c r="L356" s="150">
        <f t="shared" si="4"/>
        <v>0</v>
      </c>
      <c r="M356" s="150">
        <f t="shared" si="5"/>
        <v>-1817.48</v>
      </c>
      <c r="N356" s="139" t="str">
        <f t="array" ref="N356">IF($P356&lt;&gt;"",IF(MAXIFS(Investment!$L:$L,Investment!$D:$D,LEFT($P356,40)&amp;"*"),MAXIFS(Investment!$L:$L,Investment!$D:$D,LEFT($P356,40)&amp;"*"),IFERROR(INDEX(Selection!$H:$H, MATCH($P356,Selection!$F:$F,0))/IF(OR(INDEX(Selection!$C:$C, MATCH($P356,Selection!$F:$F,0))="LN",INDEX(Selection!$C:$C, MATCH($P356,Selection!$F:$F,0))="US"),Investment!$K$7,1),"")),"")</f>
        <v/>
      </c>
      <c r="O356" s="144" t="str">
        <f>IF($P356&lt;&gt;"",IF(MAXIFS(Investment!$AG:$AG,Investment!$D:$D,LEFT($P356,40)&amp;"*"),MAXIFS(Investment!$AG:$AG,Investment!$D:$D,LEFT($P356,40)&amp;"*"),""),"")</f>
        <v/>
      </c>
      <c r="P356" s="135"/>
      <c r="Q356" s="150"/>
      <c r="R356" s="329"/>
    </row>
    <row r="357">
      <c r="A357" s="125">
        <v>43077.0</v>
      </c>
      <c r="B357" s="127" t="s">
        <v>277</v>
      </c>
      <c r="C357" s="133" t="s">
        <v>860</v>
      </c>
      <c r="D357" s="264" t="s">
        <v>390</v>
      </c>
      <c r="E357" s="264"/>
      <c r="F357" s="218"/>
      <c r="G357" s="132">
        <v>-4.96</v>
      </c>
      <c r="H357" s="344" t="s">
        <v>1421</v>
      </c>
      <c r="I357" s="134" t="str">
        <f t="shared" ref="I357:J357" si="361">IFS(AND($B357&lt;&gt;"",$E357&lt;&gt;""),IF(INDEX(N:N,MATCH($C357,$P:$P,0),1)&lt;&gt;"",$E357*INDEX(N:N,MATCH($C357,$P:$P,0),1)+$G357,""),AND($B357&lt;&gt;"",$D357="COST"),$G357,TRUE,)</f>
        <v/>
      </c>
      <c r="J357" s="134" t="str">
        <f t="shared" si="361"/>
        <v/>
      </c>
      <c r="K357" s="219" t="str">
        <f t="shared" si="3"/>
        <v>Vanguard Intermediate-Term Treasury ETF</v>
      </c>
      <c r="L357" s="150">
        <f t="shared" si="4"/>
        <v>0</v>
      </c>
      <c r="M357" s="150">
        <f t="shared" si="5"/>
        <v>-1817.48</v>
      </c>
      <c r="N357" s="139" t="str">
        <f t="array" ref="N357">IF($P357&lt;&gt;"",IF(MAXIFS(Investment!$L:$L,Investment!$D:$D,LEFT($P357,40)&amp;"*"),MAXIFS(Investment!$L:$L,Investment!$D:$D,LEFT($P357,40)&amp;"*"),IFERROR(INDEX(Selection!$H:$H, MATCH($P357,Selection!$F:$F,0))/IF(OR(INDEX(Selection!$C:$C, MATCH($P357,Selection!$F:$F,0))="LN",INDEX(Selection!$C:$C, MATCH($P357,Selection!$F:$F,0))="US"),Investment!$K$7,1),"")),"")</f>
        <v/>
      </c>
      <c r="O357" s="144" t="str">
        <f>IF($P357&lt;&gt;"",IF(MAXIFS(Investment!$AG:$AG,Investment!$D:$D,LEFT($P357,40)&amp;"*"),MAXIFS(Investment!$AG:$AG,Investment!$D:$D,LEFT($P357,40)&amp;"*"),""),"")</f>
        <v/>
      </c>
      <c r="P357" s="135"/>
      <c r="Q357" s="150"/>
      <c r="R357" s="329"/>
    </row>
    <row r="358">
      <c r="A358" s="125">
        <v>43076.0</v>
      </c>
      <c r="B358" s="127" t="s">
        <v>277</v>
      </c>
      <c r="C358" s="133" t="s">
        <v>860</v>
      </c>
      <c r="D358" s="264" t="s">
        <v>390</v>
      </c>
      <c r="E358" s="264"/>
      <c r="F358" s="218"/>
      <c r="G358" s="132">
        <v>32.39</v>
      </c>
      <c r="H358" s="344" t="s">
        <v>1422</v>
      </c>
      <c r="I358" s="134" t="str">
        <f t="shared" ref="I358:J358" si="362">IFS(AND($B358&lt;&gt;"",$E358&lt;&gt;""),IF(INDEX(N:N,MATCH($C358,$P:$P,0),1)&lt;&gt;"",$E358*INDEX(N:N,MATCH($C358,$P:$P,0),1)+$G358,""),AND($B358&lt;&gt;"",$D358="COST"),$G358,TRUE,)</f>
        <v/>
      </c>
      <c r="J358" s="134" t="str">
        <f t="shared" si="362"/>
        <v/>
      </c>
      <c r="K358" s="219" t="str">
        <f t="shared" si="3"/>
        <v>Vanguard Intermediate-Term Treasury ETF</v>
      </c>
      <c r="L358" s="150">
        <f t="shared" si="4"/>
        <v>0</v>
      </c>
      <c r="M358" s="150">
        <f t="shared" si="5"/>
        <v>-1817.48</v>
      </c>
      <c r="N358" s="139" t="str">
        <f t="array" ref="N358">IF($P358&lt;&gt;"",IF(MAXIFS(Investment!$L:$L,Investment!$D:$D,LEFT($P358,40)&amp;"*"),MAXIFS(Investment!$L:$L,Investment!$D:$D,LEFT($P358,40)&amp;"*"),IFERROR(INDEX(Selection!$H:$H, MATCH($P358,Selection!$F:$F,0))/IF(OR(INDEX(Selection!$C:$C, MATCH($P358,Selection!$F:$F,0))="LN",INDEX(Selection!$C:$C, MATCH($P358,Selection!$F:$F,0))="US"),Investment!$K$7,1),"")),"")</f>
        <v/>
      </c>
      <c r="O358" s="144" t="str">
        <f>IF($P358&lt;&gt;"",IF(MAXIFS(Investment!$AG:$AG,Investment!$D:$D,LEFT($P358,40)&amp;"*"),MAXIFS(Investment!$AG:$AG,Investment!$D:$D,LEFT($P358,40)&amp;"*"),""),"")</f>
        <v/>
      </c>
      <c r="P358" s="135"/>
      <c r="Q358" s="150"/>
      <c r="R358" s="329"/>
    </row>
    <row r="359">
      <c r="A359" s="125">
        <v>43073.0</v>
      </c>
      <c r="B359" s="127"/>
      <c r="C359" s="133"/>
      <c r="D359" s="264" t="s">
        <v>263</v>
      </c>
      <c r="E359" s="264"/>
      <c r="F359" s="218"/>
      <c r="G359" s="132">
        <v>-102.08</v>
      </c>
      <c r="H359" s="344" t="s">
        <v>1423</v>
      </c>
      <c r="I359" s="134" t="str">
        <f t="shared" ref="I359:J359" si="363">IFS(AND($B359&lt;&gt;"",$E359&lt;&gt;""),IF(INDEX(N:N,MATCH($C359,$P:$P,0),1)&lt;&gt;"",$E359*INDEX(N:N,MATCH($C359,$P:$P,0),1)+$G359,""),AND($B359&lt;&gt;"",$D359="COST"),$G359,TRUE,)</f>
        <v/>
      </c>
      <c r="J359" s="134" t="str">
        <f t="shared" si="363"/>
        <v/>
      </c>
      <c r="K359" s="219" t="str">
        <f t="shared" si="3"/>
        <v/>
      </c>
      <c r="L359" s="150" t="str">
        <f t="shared" si="4"/>
        <v/>
      </c>
      <c r="M359" s="150" t="str">
        <f t="shared" si="5"/>
        <v/>
      </c>
      <c r="N359" s="139" t="str">
        <f t="array" ref="N359">IF($P359&lt;&gt;"",IF(MAXIFS(Investment!$L:$L,Investment!$D:$D,LEFT($P359,40)&amp;"*"),MAXIFS(Investment!$L:$L,Investment!$D:$D,LEFT($P359,40)&amp;"*"),IFERROR(INDEX(Selection!$H:$H, MATCH($P359,Selection!$F:$F,0))/IF(OR(INDEX(Selection!$C:$C, MATCH($P359,Selection!$F:$F,0))="LN",INDEX(Selection!$C:$C, MATCH($P359,Selection!$F:$F,0))="US"),Investment!$K$7,1),"")),"")</f>
        <v/>
      </c>
      <c r="O359" s="144" t="str">
        <f>IF($P359&lt;&gt;"",IF(MAXIFS(Investment!$AG:$AG,Investment!$D:$D,LEFT($P359,40)&amp;"*"),MAXIFS(Investment!$AG:$AG,Investment!$D:$D,LEFT($P359,40)&amp;"*"),""),"")</f>
        <v/>
      </c>
      <c r="P359" s="135"/>
      <c r="Q359" s="150"/>
      <c r="R359" s="329"/>
    </row>
    <row r="360">
      <c r="A360" s="125">
        <v>43069.0</v>
      </c>
      <c r="B360" s="127"/>
      <c r="C360" s="133"/>
      <c r="D360" s="264" t="s">
        <v>268</v>
      </c>
      <c r="E360" s="264"/>
      <c r="F360" s="218"/>
      <c r="G360" s="132">
        <v>10000.0</v>
      </c>
      <c r="H360" s="344" t="s">
        <v>1424</v>
      </c>
      <c r="I360" s="134" t="str">
        <f t="shared" ref="I360:J360" si="364">IFS(AND($B360&lt;&gt;"",$E360&lt;&gt;""),IF(INDEX(N:N,MATCH($C360,$P:$P,0),1)&lt;&gt;"",$E360*INDEX(N:N,MATCH($C360,$P:$P,0),1)+$G360,""),AND($B360&lt;&gt;"",$D360="COST"),$G360,TRUE,)</f>
        <v/>
      </c>
      <c r="J360" s="134" t="str">
        <f t="shared" si="364"/>
        <v/>
      </c>
      <c r="K360" s="219" t="str">
        <f t="shared" si="3"/>
        <v/>
      </c>
      <c r="L360" s="150" t="str">
        <f t="shared" si="4"/>
        <v/>
      </c>
      <c r="M360" s="150" t="str">
        <f t="shared" si="5"/>
        <v/>
      </c>
      <c r="N360" s="139" t="str">
        <f t="array" ref="N360">IF($P360&lt;&gt;"",IF(MAXIFS(Investment!$L:$L,Investment!$D:$D,LEFT($P360,40)&amp;"*"),MAXIFS(Investment!$L:$L,Investment!$D:$D,LEFT($P360,40)&amp;"*"),IFERROR(INDEX(Selection!$H:$H, MATCH($P360,Selection!$F:$F,0))/IF(OR(INDEX(Selection!$C:$C, MATCH($P360,Selection!$F:$F,0))="LN",INDEX(Selection!$C:$C, MATCH($P360,Selection!$F:$F,0))="US"),Investment!$K$7,1),"")),"")</f>
        <v/>
      </c>
      <c r="O360" s="144" t="str">
        <f>IF($P360&lt;&gt;"",IF(MAXIFS(Investment!$AG:$AG,Investment!$D:$D,LEFT($P360,40)&amp;"*"),MAXIFS(Investment!$AG:$AG,Investment!$D:$D,LEFT($P360,40)&amp;"*"),""),"")</f>
        <v/>
      </c>
      <c r="P360" s="135"/>
      <c r="Q360" s="150"/>
      <c r="R360" s="329"/>
    </row>
    <row r="361">
      <c r="A361" s="125">
        <v>43066.0</v>
      </c>
      <c r="B361" s="127" t="s">
        <v>243</v>
      </c>
      <c r="C361" s="133" t="s">
        <v>588</v>
      </c>
      <c r="D361" s="264" t="s">
        <v>222</v>
      </c>
      <c r="E361" s="264">
        <v>10.0</v>
      </c>
      <c r="F361" s="218">
        <v>101.56</v>
      </c>
      <c r="G361" s="132">
        <v>-1015.59</v>
      </c>
      <c r="H361" s="344" t="s">
        <v>1425</v>
      </c>
      <c r="I361" s="134">
        <f t="shared" ref="I361:J361" si="365">IFS(AND($B361&lt;&gt;"",$E361&lt;&gt;""),IF(INDEX(N:N,MATCH($C361,$P:$P,0),1)&lt;&gt;"",$E361*INDEX(N:N,MATCH($C361,$P:$P,0),1)+$G361,""),AND($B361&lt;&gt;"",$D361="COST"),$G361,TRUE,)</f>
        <v>42.34876824</v>
      </c>
      <c r="J361" s="134" t="str">
        <f t="shared" si="365"/>
        <v/>
      </c>
      <c r="K361" s="219" t="str">
        <f t="shared" si="3"/>
        <v>Vanguard Extended Duration Treasury ETF</v>
      </c>
      <c r="L361" s="150">
        <f t="shared" si="4"/>
        <v>0</v>
      </c>
      <c r="M361" s="150">
        <f t="shared" si="5"/>
        <v>-4941.36</v>
      </c>
      <c r="N361" s="139" t="str">
        <f t="array" ref="N361">IF($P361&lt;&gt;"",IF(MAXIFS(Investment!$L:$L,Investment!$D:$D,LEFT($P361,40)&amp;"*"),MAXIFS(Investment!$L:$L,Investment!$D:$D,LEFT($P361,40)&amp;"*"),IFERROR(INDEX(Selection!$H:$H, MATCH($P361,Selection!$F:$F,0))/IF(OR(INDEX(Selection!$C:$C, MATCH($P361,Selection!$F:$F,0))="LN",INDEX(Selection!$C:$C, MATCH($P361,Selection!$F:$F,0))="US"),Investment!$K$7,1),"")),"")</f>
        <v/>
      </c>
      <c r="O361" s="144" t="str">
        <f>IF($P361&lt;&gt;"",IF(MAXIFS(Investment!$AG:$AG,Investment!$D:$D,LEFT($P361,40)&amp;"*"),MAXIFS(Investment!$AG:$AG,Investment!$D:$D,LEFT($P361,40)&amp;"*"),""),"")</f>
        <v/>
      </c>
      <c r="P361" s="135"/>
      <c r="Q361" s="150"/>
      <c r="R361" s="329"/>
    </row>
    <row r="362">
      <c r="A362" s="125">
        <v>43056.0</v>
      </c>
      <c r="B362" s="127"/>
      <c r="C362" s="133"/>
      <c r="D362" s="264" t="s">
        <v>268</v>
      </c>
      <c r="E362" s="264"/>
      <c r="F362" s="218"/>
      <c r="G362" s="132">
        <v>1000.0</v>
      </c>
      <c r="H362" s="344" t="s">
        <v>1426</v>
      </c>
      <c r="I362" s="134" t="str">
        <f t="shared" ref="I362:J362" si="366">IFS(AND($B362&lt;&gt;"",$E362&lt;&gt;""),IF(INDEX(N:N,MATCH($C362,$P:$P,0),1)&lt;&gt;"",$E362*INDEX(N:N,MATCH($C362,$P:$P,0),1)+$G362,""),AND($B362&lt;&gt;"",$D362="COST"),$G362,TRUE,)</f>
        <v/>
      </c>
      <c r="J362" s="134" t="str">
        <f t="shared" si="366"/>
        <v/>
      </c>
      <c r="K362" s="219" t="str">
        <f t="shared" si="3"/>
        <v/>
      </c>
      <c r="L362" s="150" t="str">
        <f t="shared" si="4"/>
        <v/>
      </c>
      <c r="M362" s="150" t="str">
        <f t="shared" si="5"/>
        <v/>
      </c>
      <c r="N362" s="139" t="str">
        <f t="array" ref="N362">IF($P362&lt;&gt;"",IF(MAXIFS(Investment!$L:$L,Investment!$D:$D,LEFT($P362,40)&amp;"*"),MAXIFS(Investment!$L:$L,Investment!$D:$D,LEFT($P362,40)&amp;"*"),IFERROR(INDEX(Selection!$H:$H, MATCH($P362,Selection!$F:$F,0))/IF(OR(INDEX(Selection!$C:$C, MATCH($P362,Selection!$F:$F,0))="LN",INDEX(Selection!$C:$C, MATCH($P362,Selection!$F:$F,0))="US"),Investment!$K$7,1),"")),"")</f>
        <v/>
      </c>
      <c r="O362" s="144" t="str">
        <f>IF($P362&lt;&gt;"",IF(MAXIFS(Investment!$AG:$AG,Investment!$D:$D,LEFT($P362,40)&amp;"*"),MAXIFS(Investment!$AG:$AG,Investment!$D:$D,LEFT($P362,40)&amp;"*"),""),"")</f>
        <v/>
      </c>
      <c r="P362" s="135"/>
      <c r="Q362" s="150"/>
      <c r="R362" s="329"/>
    </row>
    <row r="363">
      <c r="A363" s="125">
        <v>43047.0</v>
      </c>
      <c r="B363" s="127" t="s">
        <v>277</v>
      </c>
      <c r="C363" s="133" t="s">
        <v>860</v>
      </c>
      <c r="D363" s="264" t="s">
        <v>390</v>
      </c>
      <c r="E363" s="264"/>
      <c r="F363" s="218"/>
      <c r="G363" s="132">
        <v>-3.92</v>
      </c>
      <c r="H363" s="344" t="s">
        <v>1427</v>
      </c>
      <c r="I363" s="134" t="str">
        <f t="shared" ref="I363:J363" si="367">IFS(AND($B363&lt;&gt;"",$E363&lt;&gt;""),IF(INDEX(N:N,MATCH($C363,$P:$P,0),1)&lt;&gt;"",$E363*INDEX(N:N,MATCH($C363,$P:$P,0),1)+$G363,""),AND($B363&lt;&gt;"",$D363="COST"),$G363,TRUE,)</f>
        <v/>
      </c>
      <c r="J363" s="134" t="str">
        <f t="shared" si="367"/>
        <v/>
      </c>
      <c r="K363" s="219" t="str">
        <f t="shared" si="3"/>
        <v>Vanguard Intermediate-Term Treasury ETF</v>
      </c>
      <c r="L363" s="150">
        <f t="shared" si="4"/>
        <v>0</v>
      </c>
      <c r="M363" s="150">
        <f t="shared" si="5"/>
        <v>-1817.48</v>
      </c>
      <c r="N363" s="139" t="str">
        <f t="array" ref="N363">IF($P363&lt;&gt;"",IF(MAXIFS(Investment!$L:$L,Investment!$D:$D,LEFT($P363,40)&amp;"*"),MAXIFS(Investment!$L:$L,Investment!$D:$D,LEFT($P363,40)&amp;"*"),IFERROR(INDEX(Selection!$H:$H, MATCH($P363,Selection!$F:$F,0))/IF(OR(INDEX(Selection!$C:$C, MATCH($P363,Selection!$F:$F,0))="LN",INDEX(Selection!$C:$C, MATCH($P363,Selection!$F:$F,0))="US"),Investment!$K$7,1),"")),"")</f>
        <v/>
      </c>
      <c r="O363" s="144" t="str">
        <f>IF($P363&lt;&gt;"",IF(MAXIFS(Investment!$AG:$AG,Investment!$D:$D,LEFT($P363,40)&amp;"*"),MAXIFS(Investment!$AG:$AG,Investment!$D:$D,LEFT($P363,40)&amp;"*"),""),"")</f>
        <v/>
      </c>
      <c r="P363" s="135"/>
      <c r="Q363" s="150"/>
      <c r="R363" s="329"/>
    </row>
    <row r="364">
      <c r="A364" s="125">
        <v>43046.0</v>
      </c>
      <c r="B364" s="127" t="s">
        <v>277</v>
      </c>
      <c r="C364" s="133" t="s">
        <v>860</v>
      </c>
      <c r="D364" s="264" t="s">
        <v>390</v>
      </c>
      <c r="E364" s="264"/>
      <c r="F364" s="218"/>
      <c r="G364" s="132">
        <v>28.53</v>
      </c>
      <c r="H364" s="344" t="s">
        <v>1428</v>
      </c>
      <c r="I364" s="134" t="str">
        <f t="shared" ref="I364:J364" si="368">IFS(AND($B364&lt;&gt;"",$E364&lt;&gt;""),IF(INDEX(N:N,MATCH($C364,$P:$P,0),1)&lt;&gt;"",$E364*INDEX(N:N,MATCH($C364,$P:$P,0),1)+$G364,""),AND($B364&lt;&gt;"",$D364="COST"),$G364,TRUE,)</f>
        <v/>
      </c>
      <c r="J364" s="134" t="str">
        <f t="shared" si="368"/>
        <v/>
      </c>
      <c r="K364" s="219" t="str">
        <f t="shared" si="3"/>
        <v>Vanguard Intermediate-Term Treasury ETF</v>
      </c>
      <c r="L364" s="150">
        <f t="shared" si="4"/>
        <v>0</v>
      </c>
      <c r="M364" s="150">
        <f t="shared" si="5"/>
        <v>-1817.48</v>
      </c>
      <c r="N364" s="139" t="str">
        <f t="array" ref="N364">IF($P364&lt;&gt;"",IF(MAXIFS(Investment!$L:$L,Investment!$D:$D,LEFT($P364,40)&amp;"*"),MAXIFS(Investment!$L:$L,Investment!$D:$D,LEFT($P364,40)&amp;"*"),IFERROR(INDEX(Selection!$H:$H, MATCH($P364,Selection!$F:$F,0))/IF(OR(INDEX(Selection!$C:$C, MATCH($P364,Selection!$F:$F,0))="LN",INDEX(Selection!$C:$C, MATCH($P364,Selection!$F:$F,0))="US"),Investment!$K$7,1),"")),"")</f>
        <v/>
      </c>
      <c r="O364" s="144" t="str">
        <f>IF($P364&lt;&gt;"",IF(MAXIFS(Investment!$AG:$AG,Investment!$D:$D,LEFT($P364,40)&amp;"*"),MAXIFS(Investment!$AG:$AG,Investment!$D:$D,LEFT($P364,40)&amp;"*"),""),"")</f>
        <v/>
      </c>
      <c r="P364" s="135"/>
      <c r="Q364" s="150"/>
      <c r="R364" s="329"/>
    </row>
    <row r="365">
      <c r="A365" s="125">
        <v>43046.0</v>
      </c>
      <c r="B365" s="127" t="s">
        <v>307</v>
      </c>
      <c r="C365" s="133" t="s">
        <v>308</v>
      </c>
      <c r="D365" s="264" t="s">
        <v>222</v>
      </c>
      <c r="E365" s="264">
        <v>48.0</v>
      </c>
      <c r="F365" s="218">
        <v>42.6</v>
      </c>
      <c r="G365" s="132">
        <v>-2044.75</v>
      </c>
      <c r="H365" s="344" t="s">
        <v>1429</v>
      </c>
      <c r="I365" s="134">
        <f t="shared" ref="I365:J365" si="369">IFS(AND($B365&lt;&gt;"",$E365&lt;&gt;""),IF(INDEX(N:N,MATCH($C365,$P:$P,0),1)&lt;&gt;"",$E365*INDEX(N:N,MATCH($C365,$P:$P,0),1)+$G365,""),AND($B365&lt;&gt;"",$D365="COST"),$G365,TRUE,)</f>
        <v>260.69</v>
      </c>
      <c r="J365" s="134">
        <f t="shared" si="369"/>
        <v>159.7454353</v>
      </c>
      <c r="K365" s="219" t="str">
        <f t="shared" si="3"/>
        <v>Vanguard S&amp;P 500 UCITS ETF</v>
      </c>
      <c r="L365" s="150">
        <f t="shared" si="4"/>
        <v>4429</v>
      </c>
      <c r="M365" s="150">
        <f t="shared" si="5"/>
        <v>-189831.65</v>
      </c>
      <c r="N365" s="139" t="str">
        <f t="array" ref="N365">IF($P365&lt;&gt;"",IF(MAXIFS(Investment!$L:$L,Investment!$D:$D,LEFT($P365,40)&amp;"*"),MAXIFS(Investment!$L:$L,Investment!$D:$D,LEFT($P365,40)&amp;"*"),IFERROR(INDEX(Selection!$H:$H, MATCH($P365,Selection!$F:$F,0))/IF(OR(INDEX(Selection!$C:$C, MATCH($P365,Selection!$F:$F,0))="LN",INDEX(Selection!$C:$C, MATCH($P365,Selection!$F:$F,0))="US"),Investment!$K$7,1),"")),"")</f>
        <v/>
      </c>
      <c r="O365" s="144" t="str">
        <f>IF($P365&lt;&gt;"",IF(MAXIFS(Investment!$AG:$AG,Investment!$D:$D,LEFT($P365,40)&amp;"*"),MAXIFS(Investment!$AG:$AG,Investment!$D:$D,LEFT($P365,40)&amp;"*"),""),"")</f>
        <v/>
      </c>
      <c r="P365" s="135"/>
      <c r="Q365" s="150"/>
      <c r="R365" s="329"/>
    </row>
    <row r="366">
      <c r="A366" s="125">
        <v>43046.0</v>
      </c>
      <c r="B366" s="127" t="s">
        <v>277</v>
      </c>
      <c r="C366" s="133" t="s">
        <v>860</v>
      </c>
      <c r="D366" s="264" t="s">
        <v>263</v>
      </c>
      <c r="E366" s="264"/>
      <c r="F366" s="218"/>
      <c r="G366" s="132">
        <v>-2.31</v>
      </c>
      <c r="H366" s="344" t="s">
        <v>1430</v>
      </c>
      <c r="I366" s="134">
        <f t="shared" ref="I366:J366" si="370">IFS(AND($B366&lt;&gt;"",$E366&lt;&gt;""),IF(INDEX(N:N,MATCH($C366,$P:$P,0),1)&lt;&gt;"",$E366*INDEX(N:N,MATCH($C366,$P:$P,0),1)+$G366,""),AND($B366&lt;&gt;"",$D366="COST"),$G366,TRUE,)</f>
        <v>-2.31</v>
      </c>
      <c r="J366" s="134">
        <f t="shared" si="370"/>
        <v>-2.31</v>
      </c>
      <c r="K366" s="219" t="str">
        <f t="shared" si="3"/>
        <v>Vanguard Intermediate-Term Treasury ETF</v>
      </c>
      <c r="L366" s="150">
        <f t="shared" si="4"/>
        <v>0</v>
      </c>
      <c r="M366" s="150">
        <f t="shared" si="5"/>
        <v>-1817.48</v>
      </c>
      <c r="N366" s="139" t="str">
        <f t="array" ref="N366">IF($P366&lt;&gt;"",IF(MAXIFS(Investment!$L:$L,Investment!$D:$D,LEFT($P366,40)&amp;"*"),MAXIFS(Investment!$L:$L,Investment!$D:$D,LEFT($P366,40)&amp;"*"),IFERROR(INDEX(Selection!$H:$H, MATCH($P366,Selection!$F:$F,0))/IF(OR(INDEX(Selection!$C:$C, MATCH($P366,Selection!$F:$F,0))="LN",INDEX(Selection!$C:$C, MATCH($P366,Selection!$F:$F,0))="US"),Investment!$K$7,1),"")),"")</f>
        <v/>
      </c>
      <c r="O366" s="144" t="str">
        <f>IF($P366&lt;&gt;"",IF(MAXIFS(Investment!$AG:$AG,Investment!$D:$D,LEFT($P366,40)&amp;"*"),MAXIFS(Investment!$AG:$AG,Investment!$D:$D,LEFT($P366,40)&amp;"*"),""),"")</f>
        <v/>
      </c>
      <c r="P366" s="135"/>
      <c r="Q366" s="150"/>
      <c r="R366" s="329"/>
    </row>
    <row r="367">
      <c r="A367" s="125">
        <v>43046.0</v>
      </c>
      <c r="B367" s="127" t="s">
        <v>217</v>
      </c>
      <c r="C367" s="133" t="s">
        <v>220</v>
      </c>
      <c r="D367" s="264" t="s">
        <v>222</v>
      </c>
      <c r="E367" s="264">
        <v>132.0</v>
      </c>
      <c r="F367" s="218">
        <v>7.675</v>
      </c>
      <c r="G367" s="132">
        <v>-1013.1</v>
      </c>
      <c r="H367" s="344" t="s">
        <v>1431</v>
      </c>
      <c r="I367" s="134">
        <f t="shared" ref="I367:J367" si="371">IFS(AND($B367&lt;&gt;"",$E367&lt;&gt;""),IF(INDEX(N:N,MATCH($C367,$P:$P,0),1)&lt;&gt;"",$E367*INDEX(N:N,MATCH($C367,$P:$P,0),1)+$G367,""),AND($B367&lt;&gt;"",$D367="COST"),$G367,TRUE,)</f>
        <v>-66</v>
      </c>
      <c r="J367" s="134">
        <f t="shared" si="371"/>
        <v>-36.69289412</v>
      </c>
      <c r="K367" s="219" t="str">
        <f t="shared" si="3"/>
        <v>ETFS All Commodities</v>
      </c>
      <c r="L367" s="150">
        <f t="shared" si="4"/>
        <v>8177</v>
      </c>
      <c r="M367" s="150">
        <f t="shared" si="5"/>
        <v>-60085.79</v>
      </c>
      <c r="N367" s="139" t="str">
        <f t="array" ref="N367">IF($P367&lt;&gt;"",IF(MAXIFS(Investment!$L:$L,Investment!$D:$D,LEFT($P367,40)&amp;"*"),MAXIFS(Investment!$L:$L,Investment!$D:$D,LEFT($P367,40)&amp;"*"),IFERROR(INDEX(Selection!$H:$H, MATCH($P367,Selection!$F:$F,0))/IF(OR(INDEX(Selection!$C:$C, MATCH($P367,Selection!$F:$F,0))="LN",INDEX(Selection!$C:$C, MATCH($P367,Selection!$F:$F,0))="US"),Investment!$K$7,1),"")),"")</f>
        <v/>
      </c>
      <c r="O367" s="144" t="str">
        <f>IF($P367&lt;&gt;"",IF(MAXIFS(Investment!$AG:$AG,Investment!$D:$D,LEFT($P367,40)&amp;"*"),MAXIFS(Investment!$AG:$AG,Investment!$D:$D,LEFT($P367,40)&amp;"*"),""),"")</f>
        <v/>
      </c>
      <c r="P367" s="135"/>
      <c r="Q367" s="150"/>
      <c r="R367" s="329"/>
    </row>
    <row r="368">
      <c r="A368" s="125">
        <v>43046.0</v>
      </c>
      <c r="B368" s="127" t="s">
        <v>243</v>
      </c>
      <c r="C368" s="133" t="s">
        <v>588</v>
      </c>
      <c r="D368" s="264" t="s">
        <v>222</v>
      </c>
      <c r="E368" s="264">
        <v>27.0</v>
      </c>
      <c r="F368" s="218">
        <v>103.66</v>
      </c>
      <c r="G368" s="132">
        <v>-2798.71</v>
      </c>
      <c r="H368" s="344" t="s">
        <v>1432</v>
      </c>
      <c r="I368" s="134">
        <f t="shared" ref="I368:J368" si="372">IFS(AND($B368&lt;&gt;"",$E368&lt;&gt;""),IF(INDEX(N:N,MATCH($C368,$P:$P,0),1)&lt;&gt;"",$E368*INDEX(N:N,MATCH($C368,$P:$P,0),1)+$G368,""),AND($B368&lt;&gt;"",$D368="COST"),$G368,TRUE,)</f>
        <v>57.72467426</v>
      </c>
      <c r="J368" s="134" t="str">
        <f t="shared" si="372"/>
        <v/>
      </c>
      <c r="K368" s="219" t="str">
        <f t="shared" si="3"/>
        <v>Vanguard Extended Duration Treasury ETF</v>
      </c>
      <c r="L368" s="150">
        <f t="shared" si="4"/>
        <v>0</v>
      </c>
      <c r="M368" s="150">
        <f t="shared" si="5"/>
        <v>-4941.36</v>
      </c>
      <c r="N368" s="139" t="str">
        <f t="array" ref="N368">IF($P368&lt;&gt;"",IF(MAXIFS(Investment!$L:$L,Investment!$D:$D,LEFT($P368,40)&amp;"*"),MAXIFS(Investment!$L:$L,Investment!$D:$D,LEFT($P368,40)&amp;"*"),IFERROR(INDEX(Selection!$H:$H, MATCH($P368,Selection!$F:$F,0))/IF(OR(INDEX(Selection!$C:$C, MATCH($P368,Selection!$F:$F,0))="LN",INDEX(Selection!$C:$C, MATCH($P368,Selection!$F:$F,0))="US"),Investment!$K$7,1),"")),"")</f>
        <v/>
      </c>
      <c r="O368" s="144" t="str">
        <f>IF($P368&lt;&gt;"",IF(MAXIFS(Investment!$AG:$AG,Investment!$D:$D,LEFT($P368,40)&amp;"*"),MAXIFS(Investment!$AG:$AG,Investment!$D:$D,LEFT($P368,40)&amp;"*"),""),"")</f>
        <v/>
      </c>
      <c r="P368" s="135"/>
      <c r="Q368" s="150"/>
      <c r="R368" s="329"/>
    </row>
    <row r="369">
      <c r="A369" s="125">
        <v>43046.0</v>
      </c>
      <c r="B369" s="127" t="s">
        <v>361</v>
      </c>
      <c r="C369" s="133" t="s">
        <v>989</v>
      </c>
      <c r="D369" s="264" t="s">
        <v>222</v>
      </c>
      <c r="E369" s="264">
        <v>64.0</v>
      </c>
      <c r="F369" s="218">
        <v>10.63</v>
      </c>
      <c r="G369" s="132">
        <v>-680.11</v>
      </c>
      <c r="H369" s="344" t="s">
        <v>1433</v>
      </c>
      <c r="I369" s="134">
        <f t="shared" ref="I369:J369" si="373">IFS(AND($B369&lt;&gt;"",$E369&lt;&gt;""),IF(INDEX(N:N,MATCH($C369,$P:$P,0),1)&lt;&gt;"",$E369*INDEX(N:N,MATCH($C369,$P:$P,0),1)+$G369,""),AND($B369&lt;&gt;"",$D369="COST"),$G369,TRUE,)</f>
        <v>28.46956568</v>
      </c>
      <c r="J369" s="134" t="str">
        <f t="shared" si="373"/>
        <v/>
      </c>
      <c r="K369" s="219" t="str">
        <f t="shared" si="3"/>
        <v>iShares Gold Trust</v>
      </c>
      <c r="L369" s="150">
        <f t="shared" si="4"/>
        <v>0</v>
      </c>
      <c r="M369" s="150">
        <f t="shared" si="5"/>
        <v>140.23</v>
      </c>
      <c r="N369" s="139" t="str">
        <f t="array" ref="N369">IF($P369&lt;&gt;"",IF(MAXIFS(Investment!$L:$L,Investment!$D:$D,LEFT($P369,40)&amp;"*"),MAXIFS(Investment!$L:$L,Investment!$D:$D,LEFT($P369,40)&amp;"*"),IFERROR(INDEX(Selection!$H:$H, MATCH($P369,Selection!$F:$F,0))/IF(OR(INDEX(Selection!$C:$C, MATCH($P369,Selection!$F:$F,0))="LN",INDEX(Selection!$C:$C, MATCH($P369,Selection!$F:$F,0))="US"),Investment!$K$7,1),"")),"")</f>
        <v/>
      </c>
      <c r="O369" s="144" t="str">
        <f>IF($P369&lt;&gt;"",IF(MAXIFS(Investment!$AG:$AG,Investment!$D:$D,LEFT($P369,40)&amp;"*"),MAXIFS(Investment!$AG:$AG,Investment!$D:$D,LEFT($P369,40)&amp;"*"),""),"")</f>
        <v/>
      </c>
      <c r="P369" s="135"/>
      <c r="Q369" s="150"/>
      <c r="R369" s="329"/>
    </row>
    <row r="370">
      <c r="A370" s="125">
        <v>43046.0</v>
      </c>
      <c r="B370" s="127" t="s">
        <v>277</v>
      </c>
      <c r="C370" s="133" t="s">
        <v>860</v>
      </c>
      <c r="D370" s="264" t="s">
        <v>222</v>
      </c>
      <c r="E370" s="264">
        <v>28.0</v>
      </c>
      <c r="F370" s="218">
        <v>55.76</v>
      </c>
      <c r="G370" s="132">
        <v>-1561.34</v>
      </c>
      <c r="H370" s="344" t="s">
        <v>1434</v>
      </c>
      <c r="I370" s="134">
        <f t="shared" ref="I370:J370" si="374">IFS(AND($B370&lt;&gt;"",$E370&lt;&gt;""),IF(INDEX(N:N,MATCH($C370,$P:$P,0),1)&lt;&gt;"",$E370*INDEX(N:N,MATCH($C370,$P:$P,0),1)+$G370,""),AND($B370&lt;&gt;"",$D370="COST"),$G370,TRUE,)</f>
        <v>46.99036668</v>
      </c>
      <c r="J370" s="134" t="str">
        <f t="shared" si="374"/>
        <v/>
      </c>
      <c r="K370" s="219" t="str">
        <f t="shared" si="3"/>
        <v>Vanguard Intermediate-Term Treasury ETF</v>
      </c>
      <c r="L370" s="150">
        <f t="shared" si="4"/>
        <v>0</v>
      </c>
      <c r="M370" s="150">
        <f t="shared" si="5"/>
        <v>-1817.48</v>
      </c>
      <c r="N370" s="139" t="str">
        <f t="array" ref="N370">IF($P370&lt;&gt;"",IF(MAXIFS(Investment!$L:$L,Investment!$D:$D,LEFT($P370,40)&amp;"*"),MAXIFS(Investment!$L:$L,Investment!$D:$D,LEFT($P370,40)&amp;"*"),IFERROR(INDEX(Selection!$H:$H, MATCH($P370,Selection!$F:$F,0))/IF(OR(INDEX(Selection!$C:$C, MATCH($P370,Selection!$F:$F,0))="LN",INDEX(Selection!$C:$C, MATCH($P370,Selection!$F:$F,0))="US"),Investment!$K$7,1),"")),"")</f>
        <v/>
      </c>
      <c r="O370" s="144" t="str">
        <f>IF($P370&lt;&gt;"",IF(MAXIFS(Investment!$AG:$AG,Investment!$D:$D,LEFT($P370,40)&amp;"*"),MAXIFS(Investment!$AG:$AG,Investment!$D:$D,LEFT($P370,40)&amp;"*"),""),"")</f>
        <v/>
      </c>
      <c r="P370" s="135"/>
      <c r="Q370" s="150"/>
      <c r="R370" s="329"/>
    </row>
    <row r="371">
      <c r="A371" s="125">
        <v>43041.0</v>
      </c>
      <c r="B371" s="127"/>
      <c r="C371" s="133"/>
      <c r="D371" s="264" t="s">
        <v>263</v>
      </c>
      <c r="E371" s="264"/>
      <c r="F371" s="218"/>
      <c r="G371" s="132">
        <v>-93.75</v>
      </c>
      <c r="H371" s="344" t="s">
        <v>1435</v>
      </c>
      <c r="I371" s="134" t="str">
        <f t="shared" ref="I371:J371" si="375">IFS(AND($B371&lt;&gt;"",$E371&lt;&gt;""),IF(INDEX(N:N,MATCH($C371,$P:$P,0),1)&lt;&gt;"",$E371*INDEX(N:N,MATCH($C371,$P:$P,0),1)+$G371,""),AND($B371&lt;&gt;"",$D371="COST"),$G371,TRUE,)</f>
        <v/>
      </c>
      <c r="J371" s="134" t="str">
        <f t="shared" si="375"/>
        <v/>
      </c>
      <c r="K371" s="219" t="str">
        <f t="shared" si="3"/>
        <v/>
      </c>
      <c r="L371" s="150" t="str">
        <f t="shared" si="4"/>
        <v/>
      </c>
      <c r="M371" s="150" t="str">
        <f t="shared" si="5"/>
        <v/>
      </c>
      <c r="N371" s="139" t="str">
        <f t="array" ref="N371">IF($P371&lt;&gt;"",IF(MAXIFS(Investment!$L:$L,Investment!$D:$D,LEFT($P371,40)&amp;"*"),MAXIFS(Investment!$L:$L,Investment!$D:$D,LEFT($P371,40)&amp;"*"),IFERROR(INDEX(Selection!$H:$H, MATCH($P371,Selection!$F:$F,0))/IF(OR(INDEX(Selection!$C:$C, MATCH($P371,Selection!$F:$F,0))="LN",INDEX(Selection!$C:$C, MATCH($P371,Selection!$F:$F,0))="US"),Investment!$K$7,1),"")),"")</f>
        <v/>
      </c>
      <c r="O371" s="144" t="str">
        <f>IF($P371&lt;&gt;"",IF(MAXIFS(Investment!$AG:$AG,Investment!$D:$D,LEFT($P371,40)&amp;"*"),MAXIFS(Investment!$AG:$AG,Investment!$D:$D,LEFT($P371,40)&amp;"*"),""),"")</f>
        <v/>
      </c>
      <c r="P371" s="135"/>
      <c r="Q371" s="150"/>
      <c r="R371" s="329"/>
    </row>
    <row r="372">
      <c r="A372" s="125">
        <v>43015.0</v>
      </c>
      <c r="B372" s="127" t="s">
        <v>277</v>
      </c>
      <c r="C372" s="133" t="s">
        <v>860</v>
      </c>
      <c r="D372" s="264" t="s">
        <v>390</v>
      </c>
      <c r="E372" s="264"/>
      <c r="F372" s="218"/>
      <c r="G372" s="132">
        <v>-4.5</v>
      </c>
      <c r="H372" s="344" t="s">
        <v>1436</v>
      </c>
      <c r="I372" s="134" t="str">
        <f t="shared" ref="I372:J372" si="376">IFS(AND($B372&lt;&gt;"",$E372&lt;&gt;""),IF(INDEX(N:N,MATCH($C372,$P:$P,0),1)&lt;&gt;"",$E372*INDEX(N:N,MATCH($C372,$P:$P,0),1)+$G372,""),AND($B372&lt;&gt;"",$D372="COST"),$G372,TRUE,)</f>
        <v/>
      </c>
      <c r="J372" s="134" t="str">
        <f t="shared" si="376"/>
        <v/>
      </c>
      <c r="K372" s="219" t="str">
        <f t="shared" si="3"/>
        <v>Vanguard Intermediate-Term Treasury ETF</v>
      </c>
      <c r="L372" s="150">
        <f t="shared" si="4"/>
        <v>0</v>
      </c>
      <c r="M372" s="150">
        <f t="shared" si="5"/>
        <v>-1817.48</v>
      </c>
      <c r="N372" s="139" t="str">
        <f t="array" ref="N372">IF($P372&lt;&gt;"",IF(MAXIFS(Investment!$L:$L,Investment!$D:$D,LEFT($P372,40)&amp;"*"),MAXIFS(Investment!$L:$L,Investment!$D:$D,LEFT($P372,40)&amp;"*"),IFERROR(INDEX(Selection!$H:$H, MATCH($P372,Selection!$F:$F,0))/IF(OR(INDEX(Selection!$C:$C, MATCH($P372,Selection!$F:$F,0))="LN",INDEX(Selection!$C:$C, MATCH($P372,Selection!$F:$F,0))="US"),Investment!$K$7,1),"")),"")</f>
        <v/>
      </c>
      <c r="O372" s="144" t="str">
        <f>IF($P372&lt;&gt;"",IF(MAXIFS(Investment!$AG:$AG,Investment!$D:$D,LEFT($P372,40)&amp;"*"),MAXIFS(Investment!$AG:$AG,Investment!$D:$D,LEFT($P372,40)&amp;"*"),""),"")</f>
        <v/>
      </c>
      <c r="P372" s="135"/>
      <c r="Q372" s="150"/>
      <c r="R372" s="329"/>
    </row>
    <row r="373">
      <c r="A373" s="125">
        <v>43014.0</v>
      </c>
      <c r="B373" s="127" t="s">
        <v>307</v>
      </c>
      <c r="C373" s="133" t="s">
        <v>308</v>
      </c>
      <c r="D373" s="264" t="s">
        <v>390</v>
      </c>
      <c r="E373" s="264"/>
      <c r="F373" s="218"/>
      <c r="G373" s="132">
        <v>-26.14</v>
      </c>
      <c r="H373" s="344" t="s">
        <v>1437</v>
      </c>
      <c r="I373" s="134" t="str">
        <f t="shared" ref="I373:J373" si="377">IFS(AND($B373&lt;&gt;"",$E373&lt;&gt;""),IF(INDEX(N:N,MATCH($C373,$P:$P,0),1)&lt;&gt;"",$E373*INDEX(N:N,MATCH($C373,$P:$P,0),1)+$G373,""),AND($B373&lt;&gt;"",$D373="COST"),$G373,TRUE,)</f>
        <v/>
      </c>
      <c r="J373" s="134" t="str">
        <f t="shared" si="377"/>
        <v/>
      </c>
      <c r="K373" s="219" t="str">
        <f t="shared" si="3"/>
        <v>Vanguard S&amp;P 500 UCITS ETF</v>
      </c>
      <c r="L373" s="150">
        <f t="shared" si="4"/>
        <v>4429</v>
      </c>
      <c r="M373" s="150">
        <f t="shared" si="5"/>
        <v>-189831.65</v>
      </c>
      <c r="N373" s="139" t="str">
        <f t="array" ref="N373">IF($P373&lt;&gt;"",IF(MAXIFS(Investment!$L:$L,Investment!$D:$D,LEFT($P373,40)&amp;"*"),MAXIFS(Investment!$L:$L,Investment!$D:$D,LEFT($P373,40)&amp;"*"),IFERROR(INDEX(Selection!$H:$H, MATCH($P373,Selection!$F:$F,0))/IF(OR(INDEX(Selection!$C:$C, MATCH($P373,Selection!$F:$F,0))="LN",INDEX(Selection!$C:$C, MATCH($P373,Selection!$F:$F,0))="US"),Investment!$K$7,1),"")),"")</f>
        <v/>
      </c>
      <c r="O373" s="144" t="str">
        <f>IF($P373&lt;&gt;"",IF(MAXIFS(Investment!$AG:$AG,Investment!$D:$D,LEFT($P373,40)&amp;"*"),MAXIFS(Investment!$AG:$AG,Investment!$D:$D,LEFT($P373,40)&amp;"*"),""),"")</f>
        <v/>
      </c>
      <c r="P373" s="135"/>
      <c r="Q373" s="150"/>
      <c r="R373" s="329"/>
    </row>
    <row r="374">
      <c r="A374" s="125">
        <v>43014.0</v>
      </c>
      <c r="B374" s="127" t="s">
        <v>277</v>
      </c>
      <c r="C374" s="133" t="s">
        <v>860</v>
      </c>
      <c r="D374" s="264" t="s">
        <v>390</v>
      </c>
      <c r="E374" s="264"/>
      <c r="F374" s="218"/>
      <c r="G374" s="132">
        <v>30.34</v>
      </c>
      <c r="H374" s="344" t="s">
        <v>1438</v>
      </c>
      <c r="I374" s="134" t="str">
        <f t="shared" ref="I374:J374" si="378">IFS(AND($B374&lt;&gt;"",$E374&lt;&gt;""),IF(INDEX(N:N,MATCH($C374,$P:$P,0),1)&lt;&gt;"",$E374*INDEX(N:N,MATCH($C374,$P:$P,0),1)+$G374,""),AND($B374&lt;&gt;"",$D374="COST"),$G374,TRUE,)</f>
        <v/>
      </c>
      <c r="J374" s="134" t="str">
        <f t="shared" si="378"/>
        <v/>
      </c>
      <c r="K374" s="219" t="str">
        <f t="shared" si="3"/>
        <v>Vanguard Intermediate-Term Treasury ETF</v>
      </c>
      <c r="L374" s="150">
        <f t="shared" si="4"/>
        <v>0</v>
      </c>
      <c r="M374" s="150">
        <f t="shared" si="5"/>
        <v>-1817.48</v>
      </c>
      <c r="N374" s="139" t="str">
        <f t="array" ref="N374">IF($P374&lt;&gt;"",IF(MAXIFS(Investment!$L:$L,Investment!$D:$D,LEFT($P374,40)&amp;"*"),MAXIFS(Investment!$L:$L,Investment!$D:$D,LEFT($P374,40)&amp;"*"),IFERROR(INDEX(Selection!$H:$H, MATCH($P374,Selection!$F:$F,0))/IF(OR(INDEX(Selection!$C:$C, MATCH($P374,Selection!$F:$F,0))="LN",INDEX(Selection!$C:$C, MATCH($P374,Selection!$F:$F,0))="US"),Investment!$K$7,1),"")),"")</f>
        <v/>
      </c>
      <c r="O374" s="144" t="str">
        <f>IF($P374&lt;&gt;"",IF(MAXIFS(Investment!$AG:$AG,Investment!$D:$D,LEFT($P374,40)&amp;"*"),MAXIFS(Investment!$AG:$AG,Investment!$D:$D,LEFT($P374,40)&amp;"*"),""),"")</f>
        <v/>
      </c>
      <c r="P374" s="135"/>
      <c r="Q374" s="150"/>
      <c r="R374" s="329"/>
    </row>
    <row r="375">
      <c r="A375" s="125">
        <v>43013.0</v>
      </c>
      <c r="B375" s="127" t="s">
        <v>307</v>
      </c>
      <c r="C375" s="133" t="s">
        <v>308</v>
      </c>
      <c r="D375" s="264" t="s">
        <v>390</v>
      </c>
      <c r="E375" s="264"/>
      <c r="F375" s="218"/>
      <c r="G375" s="132">
        <v>178.2</v>
      </c>
      <c r="H375" s="344" t="s">
        <v>1439</v>
      </c>
      <c r="I375" s="134" t="str">
        <f t="shared" ref="I375:J375" si="379">IFS(AND($B375&lt;&gt;"",$E375&lt;&gt;""),IF(INDEX(N:N,MATCH($C375,$P:$P,0),1)&lt;&gt;"",$E375*INDEX(N:N,MATCH($C375,$P:$P,0),1)+$G375,""),AND($B375&lt;&gt;"",$D375="COST"),$G375,TRUE,)</f>
        <v/>
      </c>
      <c r="J375" s="134" t="str">
        <f t="shared" si="379"/>
        <v/>
      </c>
      <c r="K375" s="219" t="str">
        <f t="shared" si="3"/>
        <v>Vanguard S&amp;P 500 UCITS ETF</v>
      </c>
      <c r="L375" s="150">
        <f t="shared" si="4"/>
        <v>4429</v>
      </c>
      <c r="M375" s="150">
        <f t="shared" si="5"/>
        <v>-189831.65</v>
      </c>
      <c r="N375" s="139" t="str">
        <f t="array" ref="N375">IF($P375&lt;&gt;"",IF(MAXIFS(Investment!$L:$L,Investment!$D:$D,LEFT($P375,40)&amp;"*"),MAXIFS(Investment!$L:$L,Investment!$D:$D,LEFT($P375,40)&amp;"*"),IFERROR(INDEX(Selection!$H:$H, MATCH($P375,Selection!$F:$F,0))/IF(OR(INDEX(Selection!$C:$C, MATCH($P375,Selection!$F:$F,0))="LN",INDEX(Selection!$C:$C, MATCH($P375,Selection!$F:$F,0))="US"),Investment!$K$7,1),"")),"")</f>
        <v/>
      </c>
      <c r="O375" s="144" t="str">
        <f>IF($P375&lt;&gt;"",IF(MAXIFS(Investment!$AG:$AG,Investment!$D:$D,LEFT($P375,40)&amp;"*"),MAXIFS(Investment!$AG:$AG,Investment!$D:$D,LEFT($P375,40)&amp;"*"),""),"")</f>
        <v/>
      </c>
      <c r="P375" s="135"/>
      <c r="Q375" s="150"/>
      <c r="R375" s="329"/>
    </row>
    <row r="376">
      <c r="A376" s="125">
        <v>43012.0</v>
      </c>
      <c r="B376" s="127" t="s">
        <v>243</v>
      </c>
      <c r="C376" s="133" t="s">
        <v>588</v>
      </c>
      <c r="D376" s="264" t="s">
        <v>390</v>
      </c>
      <c r="E376" s="264"/>
      <c r="F376" s="218"/>
      <c r="G376" s="132">
        <v>-54.04</v>
      </c>
      <c r="H376" s="344" t="s">
        <v>1440</v>
      </c>
      <c r="I376" s="134" t="str">
        <f t="shared" ref="I376:J376" si="380">IFS(AND($B376&lt;&gt;"",$E376&lt;&gt;""),IF(INDEX(N:N,MATCH($C376,$P:$P,0),1)&lt;&gt;"",$E376*INDEX(N:N,MATCH($C376,$P:$P,0),1)+$G376,""),AND($B376&lt;&gt;"",$D376="COST"),$G376,TRUE,)</f>
        <v/>
      </c>
      <c r="J376" s="134" t="str">
        <f t="shared" si="380"/>
        <v/>
      </c>
      <c r="K376" s="219" t="str">
        <f t="shared" si="3"/>
        <v>Vanguard Extended Duration Treasury ETF</v>
      </c>
      <c r="L376" s="150">
        <f t="shared" si="4"/>
        <v>0</v>
      </c>
      <c r="M376" s="150">
        <f t="shared" si="5"/>
        <v>-4941.36</v>
      </c>
      <c r="N376" s="139" t="str">
        <f t="array" ref="N376">IF($P376&lt;&gt;"",IF(MAXIFS(Investment!$L:$L,Investment!$D:$D,LEFT($P376,40)&amp;"*"),MAXIFS(Investment!$L:$L,Investment!$D:$D,LEFT($P376,40)&amp;"*"),IFERROR(INDEX(Selection!$H:$H, MATCH($P376,Selection!$F:$F,0))/IF(OR(INDEX(Selection!$C:$C, MATCH($P376,Selection!$F:$F,0))="LN",INDEX(Selection!$C:$C, MATCH($P376,Selection!$F:$F,0))="US"),Investment!$K$7,1),"")),"")</f>
        <v/>
      </c>
      <c r="O376" s="144" t="str">
        <f>IF($P376&lt;&gt;"",IF(MAXIFS(Investment!$AG:$AG,Investment!$D:$D,LEFT($P376,40)&amp;"*"),MAXIFS(Investment!$AG:$AG,Investment!$D:$D,LEFT($P376,40)&amp;"*"),""),"")</f>
        <v/>
      </c>
      <c r="P376" s="135"/>
      <c r="Q376" s="150"/>
      <c r="R376" s="329"/>
    </row>
    <row r="377">
      <c r="A377" s="125">
        <v>43012.0</v>
      </c>
      <c r="B377" s="127" t="s">
        <v>277</v>
      </c>
      <c r="C377" s="133" t="s">
        <v>860</v>
      </c>
      <c r="D377" s="264" t="s">
        <v>263</v>
      </c>
      <c r="E377" s="264"/>
      <c r="F377" s="218"/>
      <c r="G377" s="132">
        <v>-2.18</v>
      </c>
      <c r="H377" s="344" t="s">
        <v>1441</v>
      </c>
      <c r="I377" s="134">
        <f t="shared" ref="I377:J377" si="381">IFS(AND($B377&lt;&gt;"",$E377&lt;&gt;""),IF(INDEX(N:N,MATCH($C377,$P:$P,0),1)&lt;&gt;"",$E377*INDEX(N:N,MATCH($C377,$P:$P,0),1)+$G377,""),AND($B377&lt;&gt;"",$D377="COST"),$G377,TRUE,)</f>
        <v>-2.18</v>
      </c>
      <c r="J377" s="134">
        <f t="shared" si="381"/>
        <v>-2.18</v>
      </c>
      <c r="K377" s="219" t="str">
        <f t="shared" si="3"/>
        <v>Vanguard Intermediate-Term Treasury ETF</v>
      </c>
      <c r="L377" s="150">
        <f t="shared" si="4"/>
        <v>0</v>
      </c>
      <c r="M377" s="150">
        <f t="shared" si="5"/>
        <v>-1817.48</v>
      </c>
      <c r="N377" s="139" t="str">
        <f t="array" ref="N377">IF($P377&lt;&gt;"",IF(MAXIFS(Investment!$L:$L,Investment!$D:$D,LEFT($P377,40)&amp;"*"),MAXIFS(Investment!$L:$L,Investment!$D:$D,LEFT($P377,40)&amp;"*"),IFERROR(INDEX(Selection!$H:$H, MATCH($P377,Selection!$F:$F,0))/IF(OR(INDEX(Selection!$C:$C, MATCH($P377,Selection!$F:$F,0))="LN",INDEX(Selection!$C:$C, MATCH($P377,Selection!$F:$F,0))="US"),Investment!$K$7,1),"")),"")</f>
        <v/>
      </c>
      <c r="O377" s="144" t="str">
        <f>IF($P377&lt;&gt;"",IF(MAXIFS(Investment!$AG:$AG,Investment!$D:$D,LEFT($P377,40)&amp;"*"),MAXIFS(Investment!$AG:$AG,Investment!$D:$D,LEFT($P377,40)&amp;"*"),""),"")</f>
        <v/>
      </c>
      <c r="P377" s="135"/>
      <c r="Q377" s="150"/>
      <c r="R377" s="329"/>
    </row>
    <row r="378">
      <c r="A378" s="125">
        <v>43012.0</v>
      </c>
      <c r="B378" s="127" t="s">
        <v>307</v>
      </c>
      <c r="C378" s="133" t="s">
        <v>308</v>
      </c>
      <c r="D378" s="264" t="s">
        <v>222</v>
      </c>
      <c r="E378" s="264">
        <v>25.0</v>
      </c>
      <c r="F378" s="218">
        <v>40.857</v>
      </c>
      <c r="G378" s="132">
        <v>-1021.42</v>
      </c>
      <c r="H378" s="344" t="s">
        <v>1442</v>
      </c>
      <c r="I378" s="134">
        <f t="shared" ref="I378:J378" si="382">IFS(AND($B378&lt;&gt;"",$E378&lt;&gt;""),IF(INDEX(N:N,MATCH($C378,$P:$P,0),1)&lt;&gt;"",$E378*INDEX(N:N,MATCH($C378,$P:$P,0),1)+$G378,""),AND($B378&lt;&gt;"",$D378="COST"),$G378,TRUE,)</f>
        <v>179.33</v>
      </c>
      <c r="J378" s="134">
        <f t="shared" si="382"/>
        <v>126.7547059</v>
      </c>
      <c r="K378" s="219" t="str">
        <f t="shared" si="3"/>
        <v>Vanguard S&amp;P 500 UCITS ETF</v>
      </c>
      <c r="L378" s="150">
        <f t="shared" si="4"/>
        <v>4429</v>
      </c>
      <c r="M378" s="150">
        <f t="shared" si="5"/>
        <v>-189831.65</v>
      </c>
      <c r="N378" s="139" t="str">
        <f t="array" ref="N378">IF($P378&lt;&gt;"",IF(MAXIFS(Investment!$L:$L,Investment!$D:$D,LEFT($P378,40)&amp;"*"),MAXIFS(Investment!$L:$L,Investment!$D:$D,LEFT($P378,40)&amp;"*"),IFERROR(INDEX(Selection!$H:$H, MATCH($P378,Selection!$F:$F,0))/IF(OR(INDEX(Selection!$C:$C, MATCH($P378,Selection!$F:$F,0))="LN",INDEX(Selection!$C:$C, MATCH($P378,Selection!$F:$F,0))="US"),Investment!$K$7,1),"")),"")</f>
        <v/>
      </c>
      <c r="O378" s="144" t="str">
        <f>IF($P378&lt;&gt;"",IF(MAXIFS(Investment!$AG:$AG,Investment!$D:$D,LEFT($P378,40)&amp;"*"),MAXIFS(Investment!$AG:$AG,Investment!$D:$D,LEFT($P378,40)&amp;"*"),""),"")</f>
        <v/>
      </c>
      <c r="P378" s="135"/>
      <c r="Q378" s="150"/>
      <c r="R378" s="329"/>
    </row>
    <row r="379">
      <c r="A379" s="125">
        <v>43012.0</v>
      </c>
      <c r="B379" s="127" t="s">
        <v>217</v>
      </c>
      <c r="C379" s="133" t="s">
        <v>220</v>
      </c>
      <c r="D379" s="264" t="s">
        <v>222</v>
      </c>
      <c r="E379" s="264">
        <v>174.0</v>
      </c>
      <c r="F379" s="218">
        <v>7.205</v>
      </c>
      <c r="G379" s="132">
        <v>-1253.67</v>
      </c>
      <c r="H379" s="344" t="s">
        <v>1443</v>
      </c>
      <c r="I379" s="134">
        <f t="shared" ref="I379:J379" si="383">IFS(AND($B379&lt;&gt;"",$E379&lt;&gt;""),IF(INDEX(N:N,MATCH($C379,$P:$P,0),1)&lt;&gt;"",$E379*INDEX(N:N,MATCH($C379,$P:$P,0),1)+$G379,""),AND($B379&lt;&gt;"",$D379="COST"),$G379,TRUE,)</f>
        <v>-5.22</v>
      </c>
      <c r="J379" s="134">
        <f t="shared" si="383"/>
        <v>33.41209412</v>
      </c>
      <c r="K379" s="219" t="str">
        <f t="shared" si="3"/>
        <v>ETFS All Commodities</v>
      </c>
      <c r="L379" s="150">
        <f t="shared" si="4"/>
        <v>8177</v>
      </c>
      <c r="M379" s="150">
        <f t="shared" si="5"/>
        <v>-60085.79</v>
      </c>
      <c r="N379" s="139" t="str">
        <f t="array" ref="N379">IF($P379&lt;&gt;"",IF(MAXIFS(Investment!$L:$L,Investment!$D:$D,LEFT($P379,40)&amp;"*"),MAXIFS(Investment!$L:$L,Investment!$D:$D,LEFT($P379,40)&amp;"*"),IFERROR(INDEX(Selection!$H:$H, MATCH($P379,Selection!$F:$F,0))/IF(OR(INDEX(Selection!$C:$C, MATCH($P379,Selection!$F:$F,0))="LN",INDEX(Selection!$C:$C, MATCH($P379,Selection!$F:$F,0))="US"),Investment!$K$7,1),"")),"")</f>
        <v/>
      </c>
      <c r="O379" s="144" t="str">
        <f>IF($P379&lt;&gt;"",IF(MAXIFS(Investment!$AG:$AG,Investment!$D:$D,LEFT($P379,40)&amp;"*"),MAXIFS(Investment!$AG:$AG,Investment!$D:$D,LEFT($P379,40)&amp;"*"),""),"")</f>
        <v/>
      </c>
      <c r="P379" s="135"/>
      <c r="Q379" s="150"/>
      <c r="R379" s="329"/>
    </row>
    <row r="380">
      <c r="A380" s="125">
        <v>43012.0</v>
      </c>
      <c r="B380" s="127" t="s">
        <v>243</v>
      </c>
      <c r="C380" s="133" t="s">
        <v>588</v>
      </c>
      <c r="D380" s="264" t="s">
        <v>222</v>
      </c>
      <c r="E380" s="264">
        <v>37.0</v>
      </c>
      <c r="F380" s="218">
        <v>99.51</v>
      </c>
      <c r="G380" s="132">
        <v>-3682.04</v>
      </c>
      <c r="H380" s="344" t="s">
        <v>1444</v>
      </c>
      <c r="I380" s="134">
        <f t="shared" ref="I380:J380" si="384">IFS(AND($B380&lt;&gt;"",$E380&lt;&gt;""),IF(INDEX(N:N,MATCH($C380,$P:$P,0),1)&lt;&gt;"",$E380*INDEX(N:N,MATCH($C380,$P:$P,0),1)+$G380,""),AND($B380&lt;&gt;"",$D380="COST"),$G380,TRUE,)</f>
        <v>232.3334425</v>
      </c>
      <c r="J380" s="134" t="str">
        <f t="shared" si="384"/>
        <v/>
      </c>
      <c r="K380" s="219" t="str">
        <f t="shared" si="3"/>
        <v>Vanguard Extended Duration Treasury ETF</v>
      </c>
      <c r="L380" s="150">
        <f t="shared" si="4"/>
        <v>0</v>
      </c>
      <c r="M380" s="150">
        <f t="shared" si="5"/>
        <v>-4941.36</v>
      </c>
      <c r="N380" s="139" t="str">
        <f t="array" ref="N380">IF($P380&lt;&gt;"",IF(MAXIFS(Investment!$L:$L,Investment!$D:$D,LEFT($P380,40)&amp;"*"),MAXIFS(Investment!$L:$L,Investment!$D:$D,LEFT($P380,40)&amp;"*"),IFERROR(INDEX(Selection!$H:$H, MATCH($P380,Selection!$F:$F,0))/IF(OR(INDEX(Selection!$C:$C, MATCH($P380,Selection!$F:$F,0))="LN",INDEX(Selection!$C:$C, MATCH($P380,Selection!$F:$F,0))="US"),Investment!$K$7,1),"")),"")</f>
        <v/>
      </c>
      <c r="O380" s="144" t="str">
        <f>IF($P380&lt;&gt;"",IF(MAXIFS(Investment!$AG:$AG,Investment!$D:$D,LEFT($P380,40)&amp;"*"),MAXIFS(Investment!$AG:$AG,Investment!$D:$D,LEFT($P380,40)&amp;"*"),""),"")</f>
        <v/>
      </c>
      <c r="P380" s="135"/>
      <c r="Q380" s="150"/>
      <c r="R380" s="329"/>
    </row>
    <row r="381">
      <c r="A381" s="125">
        <v>43012.0</v>
      </c>
      <c r="B381" s="127" t="s">
        <v>361</v>
      </c>
      <c r="C381" s="133" t="s">
        <v>989</v>
      </c>
      <c r="D381" s="264" t="s">
        <v>222</v>
      </c>
      <c r="E381" s="264">
        <v>147.0</v>
      </c>
      <c r="F381" s="218">
        <v>10.44</v>
      </c>
      <c r="G381" s="132">
        <v>-1534.32</v>
      </c>
      <c r="H381" s="344" t="s">
        <v>1445</v>
      </c>
      <c r="I381" s="134">
        <f t="shared" ref="I381:J381" si="385">IFS(AND($B381&lt;&gt;"",$E381&lt;&gt;""),IF(INDEX(N:N,MATCH($C381,$P:$P,0),1)&lt;&gt;"",$E381*INDEX(N:N,MATCH($C381,$P:$P,0),1)+$G381,""),AND($B381&lt;&gt;"",$D381="COST"),$G381,TRUE,)</f>
        <v>93.19868993</v>
      </c>
      <c r="J381" s="134" t="str">
        <f t="shared" si="385"/>
        <v/>
      </c>
      <c r="K381" s="219" t="str">
        <f t="shared" si="3"/>
        <v>iShares Gold Trust</v>
      </c>
      <c r="L381" s="150">
        <f t="shared" si="4"/>
        <v>0</v>
      </c>
      <c r="M381" s="150">
        <f t="shared" si="5"/>
        <v>140.23</v>
      </c>
      <c r="N381" s="139" t="str">
        <f t="array" ref="N381">IF($P381&lt;&gt;"",IF(MAXIFS(Investment!$L:$L,Investment!$D:$D,LEFT($P381,40)&amp;"*"),MAXIFS(Investment!$L:$L,Investment!$D:$D,LEFT($P381,40)&amp;"*"),IFERROR(INDEX(Selection!$H:$H, MATCH($P381,Selection!$F:$F,0))/IF(OR(INDEX(Selection!$C:$C, MATCH($P381,Selection!$F:$F,0))="LN",INDEX(Selection!$C:$C, MATCH($P381,Selection!$F:$F,0))="US"),Investment!$K$7,1),"")),"")</f>
        <v/>
      </c>
      <c r="O381" s="144" t="str">
        <f>IF($P381&lt;&gt;"",IF(MAXIFS(Investment!$AG:$AG,Investment!$D:$D,LEFT($P381,40)&amp;"*"),MAXIFS(Investment!$AG:$AG,Investment!$D:$D,LEFT($P381,40)&amp;"*"),""),"")</f>
        <v/>
      </c>
      <c r="P381" s="135"/>
      <c r="Q381" s="150"/>
      <c r="R381" s="329"/>
    </row>
    <row r="382">
      <c r="A382" s="125">
        <v>43012.0</v>
      </c>
      <c r="B382" s="127" t="s">
        <v>277</v>
      </c>
      <c r="C382" s="133" t="s">
        <v>860</v>
      </c>
      <c r="D382" s="264" t="s">
        <v>222</v>
      </c>
      <c r="E382" s="264">
        <v>16.0</v>
      </c>
      <c r="F382" s="218">
        <v>55.01</v>
      </c>
      <c r="G382" s="132">
        <v>-880.09</v>
      </c>
      <c r="H382" s="344" t="s">
        <v>1446</v>
      </c>
      <c r="I382" s="134">
        <f t="shared" ref="I382:J382" si="386">IFS(AND($B382&lt;&gt;"",$E382&lt;&gt;""),IF(INDEX(N:N,MATCH($C382,$P:$P,0),1)&lt;&gt;"",$E382*INDEX(N:N,MATCH($C382,$P:$P,0),1)+$G382,""),AND($B382&lt;&gt;"",$D382="COST"),$G382,TRUE,)</f>
        <v>38.95592382</v>
      </c>
      <c r="J382" s="134" t="str">
        <f t="shared" si="386"/>
        <v/>
      </c>
      <c r="K382" s="219" t="str">
        <f t="shared" si="3"/>
        <v>Vanguard Intermediate-Term Treasury ETF</v>
      </c>
      <c r="L382" s="150">
        <f t="shared" si="4"/>
        <v>0</v>
      </c>
      <c r="M382" s="150">
        <f t="shared" si="5"/>
        <v>-1817.48</v>
      </c>
      <c r="N382" s="139" t="str">
        <f t="array" ref="N382">IF($P382&lt;&gt;"",IF(MAXIFS(Investment!$L:$L,Investment!$D:$D,LEFT($P382,40)&amp;"*"),MAXIFS(Investment!$L:$L,Investment!$D:$D,LEFT($P382,40)&amp;"*"),IFERROR(INDEX(Selection!$H:$H, MATCH($P382,Selection!$F:$F,0))/IF(OR(INDEX(Selection!$C:$C, MATCH($P382,Selection!$F:$F,0))="LN",INDEX(Selection!$C:$C, MATCH($P382,Selection!$F:$F,0))="US"),Investment!$K$7,1),"")),"")</f>
        <v/>
      </c>
      <c r="O382" s="144" t="str">
        <f>IF($P382&lt;&gt;"",IF(MAXIFS(Investment!$AG:$AG,Investment!$D:$D,LEFT($P382,40)&amp;"*"),MAXIFS(Investment!$AG:$AG,Investment!$D:$D,LEFT($P382,40)&amp;"*"),""),"")</f>
        <v/>
      </c>
      <c r="P382" s="135"/>
      <c r="Q382" s="150"/>
      <c r="R382" s="329"/>
    </row>
    <row r="383">
      <c r="A383" s="125">
        <v>43011.0</v>
      </c>
      <c r="B383" s="127" t="s">
        <v>243</v>
      </c>
      <c r="C383" s="133" t="s">
        <v>588</v>
      </c>
      <c r="D383" s="264" t="s">
        <v>390</v>
      </c>
      <c r="E383" s="264"/>
      <c r="F383" s="218"/>
      <c r="G383" s="132">
        <v>359.13</v>
      </c>
      <c r="H383" s="344" t="s">
        <v>1447</v>
      </c>
      <c r="I383" s="134" t="str">
        <f t="shared" ref="I383:J383" si="387">IFS(AND($B383&lt;&gt;"",$E383&lt;&gt;""),IF(INDEX(N:N,MATCH($C383,$P:$P,0),1)&lt;&gt;"",$E383*INDEX(N:N,MATCH($C383,$P:$P,0),1)+$G383,""),AND($B383&lt;&gt;"",$D383="COST"),$G383,TRUE,)</f>
        <v/>
      </c>
      <c r="J383" s="134" t="str">
        <f t="shared" si="387"/>
        <v/>
      </c>
      <c r="K383" s="219" t="str">
        <f t="shared" si="3"/>
        <v>Vanguard Extended Duration Treasury ETF</v>
      </c>
      <c r="L383" s="150">
        <f t="shared" si="4"/>
        <v>0</v>
      </c>
      <c r="M383" s="150">
        <f t="shared" si="5"/>
        <v>-4941.36</v>
      </c>
      <c r="N383" s="139" t="str">
        <f t="array" ref="N383">IF($P383&lt;&gt;"",IF(MAXIFS(Investment!$L:$L,Investment!$D:$D,LEFT($P383,40)&amp;"*"),MAXIFS(Investment!$L:$L,Investment!$D:$D,LEFT($P383,40)&amp;"*"),IFERROR(INDEX(Selection!$H:$H, MATCH($P383,Selection!$F:$F,0))/IF(OR(INDEX(Selection!$C:$C, MATCH($P383,Selection!$F:$F,0))="LN",INDEX(Selection!$C:$C, MATCH($P383,Selection!$F:$F,0))="US"),Investment!$K$7,1),"")),"")</f>
        <v/>
      </c>
      <c r="O383" s="144" t="str">
        <f>IF($P383&lt;&gt;"",IF(MAXIFS(Investment!$AG:$AG,Investment!$D:$D,LEFT($P383,40)&amp;"*"),MAXIFS(Investment!$AG:$AG,Investment!$D:$D,LEFT($P383,40)&amp;"*"),""),"")</f>
        <v/>
      </c>
      <c r="P383" s="135"/>
      <c r="Q383" s="150"/>
      <c r="R383" s="329"/>
    </row>
    <row r="384">
      <c r="A384" s="125">
        <v>43011.0</v>
      </c>
      <c r="B384" s="127"/>
      <c r="C384" s="133"/>
      <c r="D384" s="264" t="s">
        <v>263</v>
      </c>
      <c r="E384" s="264"/>
      <c r="F384" s="218"/>
      <c r="G384" s="132">
        <v>-86.11</v>
      </c>
      <c r="H384" s="344" t="s">
        <v>1448</v>
      </c>
      <c r="I384" s="134" t="str">
        <f t="shared" ref="I384:J384" si="388">IFS(AND($B384&lt;&gt;"",$E384&lt;&gt;""),IF(INDEX(N:N,MATCH($C384,$P:$P,0),1)&lt;&gt;"",$E384*INDEX(N:N,MATCH($C384,$P:$P,0),1)+$G384,""),AND($B384&lt;&gt;"",$D384="COST"),$G384,TRUE,)</f>
        <v/>
      </c>
      <c r="J384" s="134" t="str">
        <f t="shared" si="388"/>
        <v/>
      </c>
      <c r="K384" s="219" t="str">
        <f t="shared" si="3"/>
        <v/>
      </c>
      <c r="L384" s="150" t="str">
        <f t="shared" si="4"/>
        <v/>
      </c>
      <c r="M384" s="150" t="str">
        <f t="shared" si="5"/>
        <v/>
      </c>
      <c r="N384" s="139" t="str">
        <f t="array" ref="N384">IF($P384&lt;&gt;"",IF(MAXIFS(Investment!$L:$L,Investment!$D:$D,LEFT($P384,40)&amp;"*"),MAXIFS(Investment!$L:$L,Investment!$D:$D,LEFT($P384,40)&amp;"*"),IFERROR(INDEX(Selection!$H:$H, MATCH($P384,Selection!$F:$F,0))/IF(OR(INDEX(Selection!$C:$C, MATCH($P384,Selection!$F:$F,0))="LN",INDEX(Selection!$C:$C, MATCH($P384,Selection!$F:$F,0))="US"),Investment!$K$7,1),"")),"")</f>
        <v/>
      </c>
      <c r="O384" s="144" t="str">
        <f>IF($P384&lt;&gt;"",IF(MAXIFS(Investment!$AG:$AG,Investment!$D:$D,LEFT($P384,40)&amp;"*"),MAXIFS(Investment!$AG:$AG,Investment!$D:$D,LEFT($P384,40)&amp;"*"),""),"")</f>
        <v/>
      </c>
      <c r="P384" s="135"/>
      <c r="Q384" s="150"/>
      <c r="R384" s="329"/>
    </row>
    <row r="385">
      <c r="A385" s="125">
        <v>43009.0</v>
      </c>
      <c r="B385" s="150"/>
      <c r="C385" s="151"/>
      <c r="D385" s="339" t="s">
        <v>268</v>
      </c>
      <c r="E385" s="339"/>
      <c r="F385" s="218"/>
      <c r="G385" s="132">
        <v>-2000.0</v>
      </c>
      <c r="H385" s="345" t="s">
        <v>1449</v>
      </c>
      <c r="I385" s="134" t="str">
        <f t="shared" ref="I385:J385" si="389">IFS(AND($B385&lt;&gt;"",$E385&lt;&gt;""),IF(INDEX(N:N,MATCH($C385,$P:$P,0),1)&lt;&gt;"",$E385*INDEX(N:N,MATCH($C385,$P:$P,0),1)+$G385,""),AND($B385&lt;&gt;"",$D385="COST"),$G385,TRUE,)</f>
        <v/>
      </c>
      <c r="J385" s="134" t="str">
        <f t="shared" si="389"/>
        <v/>
      </c>
      <c r="K385" s="219" t="str">
        <f t="shared" si="3"/>
        <v/>
      </c>
      <c r="L385" s="150" t="str">
        <f t="shared" si="4"/>
        <v/>
      </c>
      <c r="M385" s="150" t="str">
        <f t="shared" si="5"/>
        <v/>
      </c>
      <c r="N385" s="139" t="str">
        <f t="array" ref="N385">IF($P385&lt;&gt;"",IF(MAXIFS(Investment!$L:$L,Investment!$D:$D,LEFT($P385,40)&amp;"*"),MAXIFS(Investment!$L:$L,Investment!$D:$D,LEFT($P385,40)&amp;"*"),IFERROR(INDEX(Selection!$H:$H, MATCH($P385,Selection!$F:$F,0))/IF(OR(INDEX(Selection!$C:$C, MATCH($P385,Selection!$F:$F,0))="LN",INDEX(Selection!$C:$C, MATCH($P385,Selection!$F:$F,0))="US"),Investment!$K$7,1),"")),"")</f>
        <v/>
      </c>
      <c r="O385" s="144" t="str">
        <f>IF($P385&lt;&gt;"",IF(MAXIFS(Investment!$AG:$AG,Investment!$D:$D,LEFT($P385,40)&amp;"*"),MAXIFS(Investment!$AG:$AG,Investment!$D:$D,LEFT($P385,40)&amp;"*"),""),"")</f>
        <v/>
      </c>
      <c r="P385" s="135"/>
      <c r="Q385" s="150"/>
      <c r="R385" s="329"/>
    </row>
    <row r="386">
      <c r="A386" s="125">
        <v>42996.0</v>
      </c>
      <c r="B386" s="127" t="s">
        <v>307</v>
      </c>
      <c r="C386" s="133" t="s">
        <v>308</v>
      </c>
      <c r="D386" s="264" t="s">
        <v>222</v>
      </c>
      <c r="E386" s="264">
        <v>72.0</v>
      </c>
      <c r="F386" s="218">
        <v>39.983</v>
      </c>
      <c r="G386" s="132">
        <v>-2878.78</v>
      </c>
      <c r="H386" s="344" t="s">
        <v>1450</v>
      </c>
      <c r="I386" s="134">
        <f t="shared" ref="I386:J386" si="390">IFS(AND($B386&lt;&gt;"",$E386&lt;&gt;""),IF(INDEX(N:N,MATCH($C386,$P:$P,0),1)&lt;&gt;"",$E386*INDEX(N:N,MATCH($C386,$P:$P,0),1)+$G386,""),AND($B386&lt;&gt;"",$D386="COST"),$G386,TRUE,)</f>
        <v>579.38</v>
      </c>
      <c r="J386" s="134">
        <f t="shared" si="390"/>
        <v>427.9631529</v>
      </c>
      <c r="K386" s="219" t="str">
        <f t="shared" si="3"/>
        <v>Vanguard S&amp;P 500 UCITS ETF</v>
      </c>
      <c r="L386" s="150">
        <f t="shared" si="4"/>
        <v>4429</v>
      </c>
      <c r="M386" s="150">
        <f t="shared" si="5"/>
        <v>-189831.65</v>
      </c>
      <c r="N386" s="139" t="str">
        <f t="array" ref="N386">IF($P386&lt;&gt;"",IF(MAXIFS(Investment!$L:$L,Investment!$D:$D,LEFT($P386,40)&amp;"*"),MAXIFS(Investment!$L:$L,Investment!$D:$D,LEFT($P386,40)&amp;"*"),IFERROR(INDEX(Selection!$H:$H, MATCH($P386,Selection!$F:$F,0))/IF(OR(INDEX(Selection!$C:$C, MATCH($P386,Selection!$F:$F,0))="LN",INDEX(Selection!$C:$C, MATCH($P386,Selection!$F:$F,0))="US"),Investment!$K$7,1),"")),"")</f>
        <v/>
      </c>
      <c r="O386" s="144" t="str">
        <f>IF($P386&lt;&gt;"",IF(MAXIFS(Investment!$AG:$AG,Investment!$D:$D,LEFT($P386,40)&amp;"*"),MAXIFS(Investment!$AG:$AG,Investment!$D:$D,LEFT($P386,40)&amp;"*"),""),"")</f>
        <v/>
      </c>
      <c r="P386" s="135"/>
      <c r="Q386" s="150"/>
      <c r="R386" s="329"/>
    </row>
    <row r="387">
      <c r="A387" s="125">
        <v>42993.0</v>
      </c>
      <c r="B387" s="56" t="s">
        <v>243</v>
      </c>
      <c r="C387" s="343" t="s">
        <v>588</v>
      </c>
      <c r="D387" s="51" t="s">
        <v>222</v>
      </c>
      <c r="E387" s="51">
        <v>40.0</v>
      </c>
      <c r="F387" s="218">
        <v>101.03</v>
      </c>
      <c r="G387" s="132">
        <v>-4041.23</v>
      </c>
      <c r="H387" s="346" t="s">
        <v>1451</v>
      </c>
      <c r="I387" s="134">
        <f t="shared" ref="I387:J387" si="391">IFS(AND($B387&lt;&gt;"",$E387&lt;&gt;""),IF(INDEX(N:N,MATCH($C387,$P:$P,0),1)&lt;&gt;"",$E387*INDEX(N:N,MATCH($C387,$P:$P,0),1)+$G387,""),AND($B387&lt;&gt;"",$D387="COST"),$G387,TRUE,)</f>
        <v>190.525073</v>
      </c>
      <c r="J387" s="134" t="str">
        <f t="shared" si="391"/>
        <v/>
      </c>
      <c r="K387" s="219" t="str">
        <f t="shared" si="3"/>
        <v>Vanguard Extended Duration Treasury ETF</v>
      </c>
      <c r="L387" s="150">
        <f t="shared" si="4"/>
        <v>0</v>
      </c>
      <c r="M387" s="150">
        <f t="shared" si="5"/>
        <v>-4941.36</v>
      </c>
      <c r="N387" s="139" t="str">
        <f t="array" ref="N387">IF($P387&lt;&gt;"",IF(MAXIFS(Investment!$L:$L,Investment!$D:$D,LEFT($P387,40)&amp;"*"),MAXIFS(Investment!$L:$L,Investment!$D:$D,LEFT($P387,40)&amp;"*"),IFERROR(INDEX(Selection!$H:$H, MATCH($P387,Selection!$F:$F,0))/IF(OR(INDEX(Selection!$C:$C, MATCH($P387,Selection!$F:$F,0))="LN",INDEX(Selection!$C:$C, MATCH($P387,Selection!$F:$F,0))="US"),Investment!$K$7,1),"")),"")</f>
        <v/>
      </c>
      <c r="O387" s="144" t="str">
        <f>IF($P387&lt;&gt;"",IF(MAXIFS(Investment!$AG:$AG,Investment!$D:$D,LEFT($P387,40)&amp;"*"),MAXIFS(Investment!$AG:$AG,Investment!$D:$D,LEFT($P387,40)&amp;"*"),""),"")</f>
        <v/>
      </c>
      <c r="P387" s="135"/>
      <c r="Q387" s="150"/>
      <c r="R387" s="329"/>
    </row>
    <row r="388">
      <c r="A388" s="125">
        <v>42993.0</v>
      </c>
      <c r="B388" s="56" t="s">
        <v>277</v>
      </c>
      <c r="C388" s="343" t="s">
        <v>860</v>
      </c>
      <c r="D388" s="51" t="s">
        <v>263</v>
      </c>
      <c r="E388" s="51"/>
      <c r="F388" s="218"/>
      <c r="G388" s="132">
        <v>-2.32</v>
      </c>
      <c r="H388" s="346" t="s">
        <v>1452</v>
      </c>
      <c r="I388" s="134">
        <f t="shared" ref="I388:J388" si="392">IFS(AND($B388&lt;&gt;"",$E388&lt;&gt;""),IF(INDEX(N:N,MATCH($C388,$P:$P,0),1)&lt;&gt;"",$E388*INDEX(N:N,MATCH($C388,$P:$P,0),1)+$G388,""),AND($B388&lt;&gt;"",$D388="COST"),$G388,TRUE,)</f>
        <v>-2.32</v>
      </c>
      <c r="J388" s="134">
        <f t="shared" si="392"/>
        <v>-2.32</v>
      </c>
      <c r="K388" s="219" t="str">
        <f t="shared" si="3"/>
        <v>Vanguard Intermediate-Term Treasury ETF</v>
      </c>
      <c r="L388" s="150">
        <f t="shared" si="4"/>
        <v>0</v>
      </c>
      <c r="M388" s="150">
        <f t="shared" si="5"/>
        <v>-1817.48</v>
      </c>
      <c r="N388" s="139" t="str">
        <f t="array" ref="N388">IF($P388&lt;&gt;"",IF(MAXIFS(Investment!$L:$L,Investment!$D:$D,LEFT($P388,40)&amp;"*"),MAXIFS(Investment!$L:$L,Investment!$D:$D,LEFT($P388,40)&amp;"*"),IFERROR(INDEX(Selection!$H:$H, MATCH($P388,Selection!$F:$F,0))/IF(OR(INDEX(Selection!$C:$C, MATCH($P388,Selection!$F:$F,0))="LN",INDEX(Selection!$C:$C, MATCH($P388,Selection!$F:$F,0))="US"),Investment!$K$7,1),"")),"")</f>
        <v/>
      </c>
      <c r="O388" s="144" t="str">
        <f>IF($P388&lt;&gt;"",IF(MAXIFS(Investment!$AG:$AG,Investment!$D:$D,LEFT($P388,40)&amp;"*"),MAXIFS(Investment!$AG:$AG,Investment!$D:$D,LEFT($P388,40)&amp;"*"),""),"")</f>
        <v/>
      </c>
      <c r="P388" s="328"/>
      <c r="R388" s="53"/>
    </row>
    <row r="389">
      <c r="A389" s="125">
        <v>42993.0</v>
      </c>
      <c r="B389" s="56" t="s">
        <v>277</v>
      </c>
      <c r="C389" s="343" t="s">
        <v>860</v>
      </c>
      <c r="D389" s="51" t="s">
        <v>222</v>
      </c>
      <c r="E389" s="51">
        <v>29.0</v>
      </c>
      <c r="F389" s="218">
        <v>54.53</v>
      </c>
      <c r="G389" s="132">
        <v>-1581.45</v>
      </c>
      <c r="H389" s="346" t="s">
        <v>1453</v>
      </c>
      <c r="I389" s="134">
        <f t="shared" ref="I389:J389" si="393">IFS(AND($B389&lt;&gt;"",$E389&lt;&gt;""),IF(INDEX(N:N,MATCH($C389,$P:$P,0),1)&lt;&gt;"",$E389*INDEX(N:N,MATCH($C389,$P:$P,0),1)+$G389,""),AND($B389&lt;&gt;"",$D389="COST"),$G389,TRUE,)</f>
        <v>84.32073692</v>
      </c>
      <c r="J389" s="134" t="str">
        <f t="shared" si="393"/>
        <v/>
      </c>
      <c r="K389" s="219" t="str">
        <f t="shared" si="3"/>
        <v>Vanguard Intermediate-Term Treasury ETF</v>
      </c>
      <c r="L389" s="150">
        <f t="shared" si="4"/>
        <v>0</v>
      </c>
      <c r="M389" s="150">
        <f t="shared" si="5"/>
        <v>-1817.48</v>
      </c>
      <c r="N389" s="139" t="str">
        <f t="array" ref="N389">IF($P389&lt;&gt;"",IF(MAXIFS(Investment!$L:$L,Investment!$D:$D,LEFT($P389,40)&amp;"*"),MAXIFS(Investment!$L:$L,Investment!$D:$D,LEFT($P389,40)&amp;"*"),IFERROR(INDEX(Selection!$H:$H, MATCH($P389,Selection!$F:$F,0))/IF(OR(INDEX(Selection!$C:$C, MATCH($P389,Selection!$F:$F,0))="LN",INDEX(Selection!$C:$C, MATCH($P389,Selection!$F:$F,0))="US"),Investment!$K$7,1),"")),"")</f>
        <v/>
      </c>
      <c r="O389" s="144" t="str">
        <f>IF($P389&lt;&gt;"",IF(MAXIFS(Investment!$AG:$AG,Investment!$D:$D,LEFT($P389,40)&amp;"*"),MAXIFS(Investment!$AG:$AG,Investment!$D:$D,LEFT($P389,40)&amp;"*"),""),"")</f>
        <v/>
      </c>
      <c r="P389" s="328"/>
      <c r="R389" s="53"/>
    </row>
    <row r="390">
      <c r="A390" s="125">
        <v>42993.0</v>
      </c>
      <c r="C390" s="49"/>
      <c r="D390" s="51" t="s">
        <v>268</v>
      </c>
      <c r="E390" s="51"/>
      <c r="F390" s="218"/>
      <c r="G390" s="132">
        <v>8500.0</v>
      </c>
      <c r="H390" s="346" t="s">
        <v>1454</v>
      </c>
      <c r="I390" s="134" t="str">
        <f t="shared" ref="I390:J390" si="394">IFS(AND($B390&lt;&gt;"",$E390&lt;&gt;""),IF(INDEX(N:N,MATCH($C390,$P:$P,0),1)&lt;&gt;"",$E390*INDEX(N:N,MATCH($C390,$P:$P,0),1)+$G390,""),AND($B390&lt;&gt;"",$D390="COST"),$G390,TRUE,)</f>
        <v/>
      </c>
      <c r="J390" s="134" t="str">
        <f t="shared" si="394"/>
        <v/>
      </c>
      <c r="K390" s="219" t="str">
        <f t="shared" si="3"/>
        <v/>
      </c>
      <c r="L390" s="150" t="str">
        <f t="shared" si="4"/>
        <v/>
      </c>
      <c r="M390" s="150" t="str">
        <f t="shared" si="5"/>
        <v/>
      </c>
      <c r="N390" s="139" t="str">
        <f t="array" ref="N390">IF($P390&lt;&gt;"",IF(MAXIFS(Investment!$L:$L,Investment!$D:$D,LEFT($P390,40)&amp;"*"),MAXIFS(Investment!$L:$L,Investment!$D:$D,LEFT($P390,40)&amp;"*"),IFERROR(INDEX(Selection!$H:$H, MATCH($P390,Selection!$F:$F,0))/IF(OR(INDEX(Selection!$C:$C, MATCH($P390,Selection!$F:$F,0))="LN",INDEX(Selection!$C:$C, MATCH($P390,Selection!$F:$F,0))="US"),Investment!$K$7,1),"")),"")</f>
        <v/>
      </c>
      <c r="O390" s="144" t="str">
        <f>IF($P390&lt;&gt;"",IF(MAXIFS(Investment!$AG:$AG,Investment!$D:$D,LEFT($P390,40)&amp;"*"),MAXIFS(Investment!$AG:$AG,Investment!$D:$D,LEFT($P390,40)&amp;"*"),""),"")</f>
        <v/>
      </c>
      <c r="P390" s="328"/>
      <c r="R390" s="53"/>
    </row>
    <row r="391">
      <c r="A391" s="125">
        <v>42992.0</v>
      </c>
      <c r="C391" s="49"/>
      <c r="D391" s="50" t="s">
        <v>268</v>
      </c>
      <c r="E391" s="51" t="s">
        <v>1455</v>
      </c>
      <c r="F391" s="218" t="s">
        <v>1455</v>
      </c>
      <c r="G391" s="132">
        <v>-30.0</v>
      </c>
      <c r="H391" s="347" t="s">
        <v>1456</v>
      </c>
      <c r="I391" s="134" t="str">
        <f t="shared" ref="I391:J391" si="395">IFS(AND($B391&lt;&gt;"",$E391&lt;&gt;""),IF(INDEX(N:N,MATCH($C391,$P:$P,0),1)&lt;&gt;"",$E391*INDEX(N:N,MATCH($C391,$P:$P,0),1)+$G391,""),AND($B391&lt;&gt;"",$D391="COST"),$G391,TRUE,)</f>
        <v/>
      </c>
      <c r="J391" s="134" t="str">
        <f t="shared" si="395"/>
        <v/>
      </c>
      <c r="K391" s="219" t="str">
        <f t="shared" si="3"/>
        <v/>
      </c>
      <c r="L391" s="150" t="str">
        <f t="shared" si="4"/>
        <v/>
      </c>
      <c r="M391" s="150" t="str">
        <f t="shared" si="5"/>
        <v/>
      </c>
      <c r="N391" s="139" t="str">
        <f t="array" ref="N391">IF($P391&lt;&gt;"",IF(MAXIFS(Investment!$L:$L,Investment!$D:$D,LEFT($P391,40)&amp;"*"),MAXIFS(Investment!$L:$L,Investment!$D:$D,LEFT($P391,40)&amp;"*"),IFERROR(INDEX(Selection!$H:$H, MATCH($P391,Selection!$F:$F,0))/IF(OR(INDEX(Selection!$C:$C, MATCH($P391,Selection!$F:$F,0))="LN",INDEX(Selection!$C:$C, MATCH($P391,Selection!$F:$F,0))="US"),Investment!$K$7,1),"")),"")</f>
        <v/>
      </c>
      <c r="O391" s="144" t="str">
        <f>IF($P391&lt;&gt;"",IF(MAXIFS(Investment!$AG:$AG,Investment!$D:$D,LEFT($P391,40)&amp;"*"),MAXIFS(Investment!$AG:$AG,Investment!$D:$D,LEFT($P391,40)&amp;"*"),""),"")</f>
        <v/>
      </c>
      <c r="P391" s="328"/>
      <c r="R391" s="53"/>
    </row>
    <row r="392">
      <c r="A392" s="125">
        <v>42988.0</v>
      </c>
      <c r="B392" s="127" t="s">
        <v>277</v>
      </c>
      <c r="C392" s="133" t="s">
        <v>860</v>
      </c>
      <c r="D392" s="264" t="s">
        <v>390</v>
      </c>
      <c r="E392" s="264"/>
      <c r="F392" s="218"/>
      <c r="G392" s="132">
        <v>-4.0</v>
      </c>
      <c r="H392" s="344" t="s">
        <v>1457</v>
      </c>
      <c r="I392" s="134" t="str">
        <f t="shared" ref="I392:J392" si="396">IFS(AND($B392&lt;&gt;"",$E392&lt;&gt;""),IF(INDEX(N:N,MATCH($C392,$P:$P,0),1)&lt;&gt;"",$E392*INDEX(N:N,MATCH($C392,$P:$P,0),1)+$G392,""),AND($B392&lt;&gt;"",$D392="COST"),$G392,TRUE,)</f>
        <v/>
      </c>
      <c r="J392" s="134" t="str">
        <f t="shared" si="396"/>
        <v/>
      </c>
      <c r="K392" s="219" t="str">
        <f t="shared" si="3"/>
        <v>Vanguard Intermediate-Term Treasury ETF</v>
      </c>
      <c r="L392" s="150">
        <f t="shared" si="4"/>
        <v>0</v>
      </c>
      <c r="M392" s="150">
        <f t="shared" si="5"/>
        <v>-1817.48</v>
      </c>
      <c r="N392" s="139" t="str">
        <f t="array" ref="N392">IF($P392&lt;&gt;"",IF(MAXIFS(Investment!$L:$L,Investment!$D:$D,LEFT($P392,40)&amp;"*"),MAXIFS(Investment!$L:$L,Investment!$D:$D,LEFT($P392,40)&amp;"*"),IFERROR(INDEX(Selection!$H:$H, MATCH($P392,Selection!$F:$F,0))/IF(OR(INDEX(Selection!$C:$C, MATCH($P392,Selection!$F:$F,0))="LN",INDEX(Selection!$C:$C, MATCH($P392,Selection!$F:$F,0))="US"),Investment!$K$7,1),"")),"")</f>
        <v/>
      </c>
      <c r="O392" s="144" t="str">
        <f>IF($P392&lt;&gt;"",IF(MAXIFS(Investment!$AG:$AG,Investment!$D:$D,LEFT($P392,40)&amp;"*"),MAXIFS(Investment!$AG:$AG,Investment!$D:$D,LEFT($P392,40)&amp;"*"),""),"")</f>
        <v/>
      </c>
      <c r="P392" s="328"/>
      <c r="R392" s="53"/>
    </row>
    <row r="393">
      <c r="A393" s="125">
        <v>42987.0</v>
      </c>
      <c r="B393" s="127" t="s">
        <v>277</v>
      </c>
      <c r="C393" s="133" t="s">
        <v>860</v>
      </c>
      <c r="D393" s="264" t="s">
        <v>390</v>
      </c>
      <c r="E393" s="264"/>
      <c r="F393" s="218"/>
      <c r="G393" s="132">
        <v>23.49</v>
      </c>
      <c r="H393" s="344" t="s">
        <v>1458</v>
      </c>
      <c r="I393" s="134" t="str">
        <f t="shared" ref="I393:J393" si="397">IFS(AND($B393&lt;&gt;"",$E393&lt;&gt;""),IF(INDEX(N:N,MATCH($C393,$P:$P,0),1)&lt;&gt;"",$E393*INDEX(N:N,MATCH($C393,$P:$P,0),1)+$G393,""),AND($B393&lt;&gt;"",$D393="COST"),$G393,TRUE,)</f>
        <v/>
      </c>
      <c r="J393" s="134" t="str">
        <f t="shared" si="397"/>
        <v/>
      </c>
      <c r="K393" s="219" t="str">
        <f t="shared" si="3"/>
        <v>Vanguard Intermediate-Term Treasury ETF</v>
      </c>
      <c r="L393" s="150">
        <f t="shared" si="4"/>
        <v>0</v>
      </c>
      <c r="M393" s="150">
        <f t="shared" si="5"/>
        <v>-1817.48</v>
      </c>
      <c r="N393" s="139" t="str">
        <f t="array" ref="N393">IF($P393&lt;&gt;"",IF(MAXIFS(Investment!$L:$L,Investment!$D:$D,LEFT($P393,40)&amp;"*"),MAXIFS(Investment!$L:$L,Investment!$D:$D,LEFT($P393,40)&amp;"*"),IFERROR(INDEX(Selection!$H:$H, MATCH($P393,Selection!$F:$F,0))/IF(OR(INDEX(Selection!$C:$C, MATCH($P393,Selection!$F:$F,0))="LN",INDEX(Selection!$C:$C, MATCH($P393,Selection!$F:$F,0))="US"),Investment!$K$7,1),"")),"")</f>
        <v/>
      </c>
      <c r="O393" s="144" t="str">
        <f>IF($P393&lt;&gt;"",IF(MAXIFS(Investment!$AG:$AG,Investment!$D:$D,LEFT($P393,40)&amp;"*"),MAXIFS(Investment!$AG:$AG,Investment!$D:$D,LEFT($P393,40)&amp;"*"),""),"")</f>
        <v/>
      </c>
      <c r="P393" s="135"/>
      <c r="Q393" s="150"/>
      <c r="R393" s="329"/>
    </row>
    <row r="394">
      <c r="A394" s="125">
        <v>42982.0</v>
      </c>
      <c r="B394" s="127"/>
      <c r="C394" s="133"/>
      <c r="D394" s="264" t="s">
        <v>263</v>
      </c>
      <c r="E394" s="264"/>
      <c r="F394" s="218"/>
      <c r="G394" s="132">
        <v>-78.9</v>
      </c>
      <c r="H394" s="344" t="s">
        <v>1459</v>
      </c>
      <c r="I394" s="134" t="str">
        <f t="shared" ref="I394:J394" si="398">IFS(AND($B394&lt;&gt;"",$E394&lt;&gt;""),IF(INDEX(N:N,MATCH($C394,$P:$P,0),1)&lt;&gt;"",$E394*INDEX(N:N,MATCH($C394,$P:$P,0),1)+$G394,""),AND($B394&lt;&gt;"",$D394="COST"),$G394,TRUE,)</f>
        <v/>
      </c>
      <c r="J394" s="134" t="str">
        <f t="shared" si="398"/>
        <v/>
      </c>
      <c r="K394" s="219" t="str">
        <f t="shared" si="3"/>
        <v/>
      </c>
      <c r="L394" s="150" t="str">
        <f t="shared" si="4"/>
        <v/>
      </c>
      <c r="M394" s="150" t="str">
        <f t="shared" si="5"/>
        <v/>
      </c>
      <c r="N394" s="139" t="str">
        <f t="array" ref="N394">IF($P394&lt;&gt;"",IF(MAXIFS(Investment!$L:$L,Investment!$D:$D,LEFT($P394,40)&amp;"*"),MAXIFS(Investment!$L:$L,Investment!$D:$D,LEFT($P394,40)&amp;"*"),IFERROR(INDEX(Selection!$H:$H, MATCH($P394,Selection!$F:$F,0))/IF(OR(INDEX(Selection!$C:$C, MATCH($P394,Selection!$F:$F,0))="LN",INDEX(Selection!$C:$C, MATCH($P394,Selection!$F:$F,0))="US"),Investment!$K$7,1),"")),"")</f>
        <v/>
      </c>
      <c r="O394" s="144" t="str">
        <f>IF($P394&lt;&gt;"",IF(MAXIFS(Investment!$AG:$AG,Investment!$D:$D,LEFT($P394,40)&amp;"*"),MAXIFS(Investment!$AG:$AG,Investment!$D:$D,LEFT($P394,40)&amp;"*"),""),"")</f>
        <v/>
      </c>
      <c r="P394" s="135"/>
      <c r="Q394" s="150"/>
      <c r="R394" s="329"/>
    </row>
    <row r="395">
      <c r="A395" s="125">
        <v>42979.0</v>
      </c>
      <c r="B395" s="127" t="s">
        <v>307</v>
      </c>
      <c r="C395" s="133" t="s">
        <v>308</v>
      </c>
      <c r="D395" s="264" t="s">
        <v>222</v>
      </c>
      <c r="E395" s="264">
        <v>57.0</v>
      </c>
      <c r="F395" s="218">
        <v>39.711</v>
      </c>
      <c r="G395" s="132">
        <v>-2263.53</v>
      </c>
      <c r="H395" s="344" t="s">
        <v>1460</v>
      </c>
      <c r="I395" s="134">
        <f t="shared" ref="I395:J395" si="399">IFS(AND($B395&lt;&gt;"",$E395&lt;&gt;""),IF(INDEX(N:N,MATCH($C395,$P:$P,0),1)&lt;&gt;"",$E395*INDEX(N:N,MATCH($C395,$P:$P,0),1)+$G395,""),AND($B395&lt;&gt;"",$D395="COST"),$G395,TRUE,)</f>
        <v>474.18</v>
      </c>
      <c r="J395" s="134">
        <f t="shared" si="399"/>
        <v>354.3083294</v>
      </c>
      <c r="K395" s="219" t="str">
        <f t="shared" si="3"/>
        <v>Vanguard S&amp;P 500 UCITS ETF</v>
      </c>
      <c r="L395" s="150">
        <f t="shared" si="4"/>
        <v>4429</v>
      </c>
      <c r="M395" s="150">
        <f t="shared" si="5"/>
        <v>-189831.65</v>
      </c>
      <c r="N395" s="139" t="str">
        <f t="array" ref="N395">IF($P395&lt;&gt;"",IF(MAXIFS(Investment!$L:$L,Investment!$D:$D,LEFT($P395,40)&amp;"*"),MAXIFS(Investment!$L:$L,Investment!$D:$D,LEFT($P395,40)&amp;"*"),IFERROR(INDEX(Selection!$H:$H, MATCH($P395,Selection!$F:$F,0))/IF(OR(INDEX(Selection!$C:$C, MATCH($P395,Selection!$F:$F,0))="LN",INDEX(Selection!$C:$C, MATCH($P395,Selection!$F:$F,0))="US"),Investment!$K$7,1),"")),"")</f>
        <v/>
      </c>
      <c r="O395" s="144" t="str">
        <f>IF($P395&lt;&gt;"",IF(MAXIFS(Investment!$AG:$AG,Investment!$D:$D,LEFT($P395,40)&amp;"*"),MAXIFS(Investment!$AG:$AG,Investment!$D:$D,LEFT($P395,40)&amp;"*"),""),"")</f>
        <v/>
      </c>
      <c r="P395" s="135"/>
      <c r="Q395" s="150"/>
      <c r="R395" s="329"/>
    </row>
    <row r="396">
      <c r="A396" s="125">
        <v>42979.0</v>
      </c>
      <c r="B396" s="56" t="s">
        <v>243</v>
      </c>
      <c r="C396" s="343" t="s">
        <v>588</v>
      </c>
      <c r="D396" s="56" t="s">
        <v>222</v>
      </c>
      <c r="E396" s="56">
        <v>23.0</v>
      </c>
      <c r="F396" s="218">
        <v>101.21</v>
      </c>
      <c r="G396" s="132">
        <v>-2327.77</v>
      </c>
      <c r="H396" s="348" t="s">
        <v>1461</v>
      </c>
      <c r="I396" s="134">
        <f t="shared" ref="I396:J396" si="400">IFS(AND($B396&lt;&gt;"",$E396&lt;&gt;""),IF(INDEX(N:N,MATCH($C396,$P:$P,0),1)&lt;&gt;"",$E396*INDEX(N:N,MATCH($C396,$P:$P,0),1)+$G396,""),AND($B396&lt;&gt;"",$D396="COST"),$G396,TRUE,)</f>
        <v>105.489167</v>
      </c>
      <c r="J396" s="134" t="str">
        <f t="shared" si="400"/>
        <v/>
      </c>
      <c r="K396" s="219" t="str">
        <f t="shared" si="3"/>
        <v>Vanguard Extended Duration Treasury ETF</v>
      </c>
      <c r="L396" s="150">
        <f t="shared" si="4"/>
        <v>0</v>
      </c>
      <c r="M396" s="150">
        <f t="shared" si="5"/>
        <v>-4941.36</v>
      </c>
      <c r="N396" s="139" t="str">
        <f t="array" ref="N396">IF($P396&lt;&gt;"",IF(MAXIFS(Investment!$L:$L,Investment!$D:$D,LEFT($P396,40)&amp;"*"),MAXIFS(Investment!$L:$L,Investment!$D:$D,LEFT($P396,40)&amp;"*"),IFERROR(INDEX(Selection!$H:$H, MATCH($P396,Selection!$F:$F,0))/IF(OR(INDEX(Selection!$C:$C, MATCH($P396,Selection!$F:$F,0))="LN",INDEX(Selection!$C:$C, MATCH($P396,Selection!$F:$F,0))="US"),Investment!$K$7,1),"")),"")</f>
        <v/>
      </c>
      <c r="O396" s="144" t="str">
        <f>IF($P396&lt;&gt;"",IF(MAXIFS(Investment!$AG:$AG,Investment!$D:$D,LEFT($P396,40)&amp;"*"),MAXIFS(Investment!$AG:$AG,Investment!$D:$D,LEFT($P396,40)&amp;"*"),""),"")</f>
        <v/>
      </c>
      <c r="P396" s="135"/>
      <c r="Q396" s="150"/>
      <c r="R396" s="329"/>
    </row>
    <row r="397">
      <c r="A397" s="125">
        <v>42979.0</v>
      </c>
      <c r="B397" s="56" t="s">
        <v>277</v>
      </c>
      <c r="C397" s="343" t="s">
        <v>860</v>
      </c>
      <c r="D397" s="56" t="s">
        <v>263</v>
      </c>
      <c r="E397" s="161"/>
      <c r="F397" s="218"/>
      <c r="G397" s="132">
        <v>-0.8</v>
      </c>
      <c r="H397" s="348" t="s">
        <v>1462</v>
      </c>
      <c r="I397" s="134">
        <f t="shared" ref="I397:J397" si="401">IFS(AND($B397&lt;&gt;"",$E397&lt;&gt;""),IF(INDEX(N:N,MATCH($C397,$P:$P,0),1)&lt;&gt;"",$E397*INDEX(N:N,MATCH($C397,$P:$P,0),1)+$G397,""),AND($B397&lt;&gt;"",$D397="COST"),$G397,TRUE,)</f>
        <v>-0.8</v>
      </c>
      <c r="J397" s="134">
        <f t="shared" si="401"/>
        <v>-0.8</v>
      </c>
      <c r="K397" s="219" t="str">
        <f t="shared" si="3"/>
        <v>Vanguard Intermediate-Term Treasury ETF</v>
      </c>
      <c r="L397" s="150">
        <f t="shared" si="4"/>
        <v>0</v>
      </c>
      <c r="M397" s="150">
        <f t="shared" si="5"/>
        <v>-1817.48</v>
      </c>
      <c r="N397" s="139" t="str">
        <f t="array" ref="N397">IF($P397&lt;&gt;"",IF(MAXIFS(Investment!$L:$L,Investment!$D:$D,LEFT($P397,40)&amp;"*"),MAXIFS(Investment!$L:$L,Investment!$D:$D,LEFT($P397,40)&amp;"*"),IFERROR(INDEX(Selection!$H:$H, MATCH($P397,Selection!$F:$F,0))/IF(OR(INDEX(Selection!$C:$C, MATCH($P397,Selection!$F:$F,0))="LN",INDEX(Selection!$C:$C, MATCH($P397,Selection!$F:$F,0))="US"),Investment!$K$7,1),"")),"")</f>
        <v/>
      </c>
      <c r="O397" s="144" t="str">
        <f>IF($P397&lt;&gt;"",IF(MAXIFS(Investment!$AG:$AG,Investment!$D:$D,LEFT($P397,40)&amp;"*"),MAXIFS(Investment!$AG:$AG,Investment!$D:$D,LEFT($P397,40)&amp;"*"),""),"")</f>
        <v/>
      </c>
      <c r="P397" s="328"/>
      <c r="R397" s="53"/>
    </row>
    <row r="398">
      <c r="A398" s="125">
        <v>42979.0</v>
      </c>
      <c r="B398" s="56" t="s">
        <v>277</v>
      </c>
      <c r="C398" s="343" t="s">
        <v>860</v>
      </c>
      <c r="D398" s="56" t="s">
        <v>222</v>
      </c>
      <c r="E398" s="56">
        <v>21.0</v>
      </c>
      <c r="F398" s="218">
        <v>54.9</v>
      </c>
      <c r="G398" s="132">
        <v>-1152.82</v>
      </c>
      <c r="H398" s="348" t="s">
        <v>1463</v>
      </c>
      <c r="I398" s="134">
        <f t="shared" ref="I398:J398" si="402">IFS(AND($B398&lt;&gt;"",$E398&lt;&gt;""),IF(INDEX(N:N,MATCH($C398,$P:$P,0),1)&lt;&gt;"",$E398*INDEX(N:N,MATCH($C398,$P:$P,0),1)+$G398,""),AND($B398&lt;&gt;"",$D398="COST"),$G398,TRUE,)</f>
        <v>53.42777501</v>
      </c>
      <c r="J398" s="134" t="str">
        <f t="shared" si="402"/>
        <v/>
      </c>
      <c r="K398" s="219" t="str">
        <f t="shared" si="3"/>
        <v>Vanguard Intermediate-Term Treasury ETF</v>
      </c>
      <c r="L398" s="150">
        <f t="shared" si="4"/>
        <v>0</v>
      </c>
      <c r="M398" s="150">
        <f t="shared" si="5"/>
        <v>-1817.48</v>
      </c>
      <c r="N398" s="139" t="str">
        <f t="array" ref="N398">IF($P398&lt;&gt;"",IF(MAXIFS(Investment!$L:$L,Investment!$D:$D,LEFT($P398,40)&amp;"*"),MAXIFS(Investment!$L:$L,Investment!$D:$D,LEFT($P398,40)&amp;"*"),IFERROR(INDEX(Selection!$H:$H, MATCH($P398,Selection!$F:$F,0))/IF(OR(INDEX(Selection!$C:$C, MATCH($P398,Selection!$F:$F,0))="LN",INDEX(Selection!$C:$C, MATCH($P398,Selection!$F:$F,0))="US"),Investment!$K$7,1),"")),"")</f>
        <v/>
      </c>
      <c r="O398" s="144" t="str">
        <f>IF($P398&lt;&gt;"",IF(MAXIFS(Investment!$AG:$AG,Investment!$D:$D,LEFT($P398,40)&amp;"*"),MAXIFS(Investment!$AG:$AG,Investment!$D:$D,LEFT($P398,40)&amp;"*"),""),"")</f>
        <v/>
      </c>
      <c r="P398" s="328"/>
      <c r="R398" s="53"/>
    </row>
    <row r="399">
      <c r="A399" s="125">
        <v>42979.0</v>
      </c>
      <c r="B399" s="56" t="s">
        <v>217</v>
      </c>
      <c r="C399" s="343" t="s">
        <v>220</v>
      </c>
      <c r="D399" s="56" t="s">
        <v>222</v>
      </c>
      <c r="E399" s="56">
        <v>83.0</v>
      </c>
      <c r="F399" s="218">
        <v>7.215</v>
      </c>
      <c r="G399" s="132">
        <v>-598.84</v>
      </c>
      <c r="H399" s="348" t="s">
        <v>1464</v>
      </c>
      <c r="I399" s="134">
        <f t="shared" ref="I399:J399" si="403">IFS(AND($B399&lt;&gt;"",$E399&lt;&gt;""),IF(INDEX(N:N,MATCH($C399,$P:$P,0),1)&lt;&gt;"",$E399*INDEX(N:N,MATCH($C399,$P:$P,0),1)+$G399,""),AND($B399&lt;&gt;"",$D399="COST"),$G399,TRUE,)</f>
        <v>-3.315</v>
      </c>
      <c r="J399" s="134">
        <f t="shared" si="403"/>
        <v>15.11295294</v>
      </c>
      <c r="K399" s="219" t="str">
        <f t="shared" si="3"/>
        <v>ETFS All Commodities</v>
      </c>
      <c r="L399" s="150">
        <f t="shared" si="4"/>
        <v>8177</v>
      </c>
      <c r="M399" s="150">
        <f t="shared" si="5"/>
        <v>-60085.79</v>
      </c>
      <c r="N399" s="139" t="str">
        <f t="array" ref="N399">IF($P399&lt;&gt;"",IF(MAXIFS(Investment!$L:$L,Investment!$D:$D,LEFT($P399,40)&amp;"*"),MAXIFS(Investment!$L:$L,Investment!$D:$D,LEFT($P399,40)&amp;"*"),IFERROR(INDEX(Selection!$H:$H, MATCH($P399,Selection!$F:$F,0))/IF(OR(INDEX(Selection!$C:$C, MATCH($P399,Selection!$F:$F,0))="LN",INDEX(Selection!$C:$C, MATCH($P399,Selection!$F:$F,0))="US"),Investment!$K$7,1),"")),"")</f>
        <v/>
      </c>
      <c r="O399" s="144" t="str">
        <f>IF($P399&lt;&gt;"",IF(MAXIFS(Investment!$AG:$AG,Investment!$D:$D,LEFT($P399,40)&amp;"*"),MAXIFS(Investment!$AG:$AG,Investment!$D:$D,LEFT($P399,40)&amp;"*"),""),"")</f>
        <v/>
      </c>
      <c r="P399" s="328"/>
      <c r="R399" s="53"/>
    </row>
    <row r="400">
      <c r="A400" s="125">
        <v>42979.0</v>
      </c>
      <c r="B400" s="56" t="s">
        <v>361</v>
      </c>
      <c r="C400" s="343" t="s">
        <v>989</v>
      </c>
      <c r="D400" s="56" t="s">
        <v>222</v>
      </c>
      <c r="E400" s="56">
        <v>26.0</v>
      </c>
      <c r="F400" s="218">
        <v>10.7</v>
      </c>
      <c r="G400" s="132">
        <v>-278.32</v>
      </c>
      <c r="H400" s="348" t="s">
        <v>1465</v>
      </c>
      <c r="I400" s="134">
        <f t="shared" ref="I400:J400" si="404">IFS(AND($B400&lt;&gt;"",$E400&lt;&gt;""),IF(INDEX(N:N,MATCH($C400,$P:$P,0),1)&lt;&gt;"",$E400*INDEX(N:N,MATCH($C400,$P:$P,0),1)+$G400,""),AND($B400&lt;&gt;"",$D400="COST"),$G400,TRUE,)</f>
        <v>9.540448558</v>
      </c>
      <c r="J400" s="134" t="str">
        <f t="shared" si="404"/>
        <v/>
      </c>
      <c r="K400" s="219" t="str">
        <f t="shared" si="3"/>
        <v>iShares Gold Trust</v>
      </c>
      <c r="L400" s="150">
        <f t="shared" si="4"/>
        <v>0</v>
      </c>
      <c r="M400" s="150">
        <f t="shared" si="5"/>
        <v>140.23</v>
      </c>
      <c r="N400" s="139" t="str">
        <f t="array" ref="N400">IF($P400&lt;&gt;"",IF(MAXIFS(Investment!$L:$L,Investment!$D:$D,LEFT($P400,40)&amp;"*"),MAXIFS(Investment!$L:$L,Investment!$D:$D,LEFT($P400,40)&amp;"*"),IFERROR(INDEX(Selection!$H:$H, MATCH($P400,Selection!$F:$F,0))/IF(OR(INDEX(Selection!$C:$C, MATCH($P400,Selection!$F:$F,0))="LN",INDEX(Selection!$C:$C, MATCH($P400,Selection!$F:$F,0))="US"),Investment!$K$7,1),"")),"")</f>
        <v/>
      </c>
      <c r="O400" s="144" t="str">
        <f>IF($P400&lt;&gt;"",IF(MAXIFS(Investment!$AG:$AG,Investment!$D:$D,LEFT($P400,40)&amp;"*"),MAXIFS(Investment!$AG:$AG,Investment!$D:$D,LEFT($P400,40)&amp;"*"),""),"")</f>
        <v/>
      </c>
      <c r="P400" s="328"/>
      <c r="R400" s="53"/>
    </row>
    <row r="401">
      <c r="A401" s="125">
        <v>42956.0</v>
      </c>
      <c r="B401" s="127" t="s">
        <v>277</v>
      </c>
      <c r="C401" s="133" t="s">
        <v>860</v>
      </c>
      <c r="D401" s="264" t="s">
        <v>390</v>
      </c>
      <c r="E401" s="264"/>
      <c r="F401" s="218"/>
      <c r="G401" s="132">
        <v>-3.14</v>
      </c>
      <c r="H401" s="344" t="s">
        <v>1466</v>
      </c>
      <c r="I401" s="134" t="str">
        <f t="shared" ref="I401:J401" si="405">IFS(AND($B401&lt;&gt;"",$E401&lt;&gt;""),IF(INDEX(N:N,MATCH($C401,$P:$P,0),1)&lt;&gt;"",$E401*INDEX(N:N,MATCH($C401,$P:$P,0),1)+$G401,""),AND($B401&lt;&gt;"",$D401="COST"),$G401,TRUE,)</f>
        <v/>
      </c>
      <c r="J401" s="134" t="str">
        <f t="shared" si="405"/>
        <v/>
      </c>
      <c r="K401" s="219" t="str">
        <f t="shared" si="3"/>
        <v>Vanguard Intermediate-Term Treasury ETF</v>
      </c>
      <c r="L401" s="150">
        <f t="shared" si="4"/>
        <v>0</v>
      </c>
      <c r="M401" s="150">
        <f t="shared" si="5"/>
        <v>-1817.48</v>
      </c>
      <c r="N401" s="139" t="str">
        <f t="array" ref="N401">IF($P401&lt;&gt;"",IF(MAXIFS(Investment!$L:$L,Investment!$D:$D,LEFT($P401,40)&amp;"*"),MAXIFS(Investment!$L:$L,Investment!$D:$D,LEFT($P401,40)&amp;"*"),IFERROR(INDEX(Selection!$H:$H, MATCH($P401,Selection!$F:$F,0))/IF(OR(INDEX(Selection!$C:$C, MATCH($P401,Selection!$F:$F,0))="LN",INDEX(Selection!$C:$C, MATCH($P401,Selection!$F:$F,0))="US"),Investment!$K$7,1),"")),"")</f>
        <v/>
      </c>
      <c r="O401" s="144" t="str">
        <f>IF($P401&lt;&gt;"",IF(MAXIFS(Investment!$AG:$AG,Investment!$D:$D,LEFT($P401,40)&amp;"*"),MAXIFS(Investment!$AG:$AG,Investment!$D:$D,LEFT($P401,40)&amp;"*"),""),"")</f>
        <v/>
      </c>
      <c r="P401" s="328"/>
      <c r="R401" s="53"/>
    </row>
    <row r="402">
      <c r="A402" s="125">
        <v>42955.0</v>
      </c>
      <c r="B402" s="127" t="s">
        <v>277</v>
      </c>
      <c r="C402" s="133" t="s">
        <v>860</v>
      </c>
      <c r="D402" s="264" t="s">
        <v>390</v>
      </c>
      <c r="E402" s="264"/>
      <c r="F402" s="218"/>
      <c r="G402" s="132">
        <v>20.91</v>
      </c>
      <c r="H402" s="344" t="s">
        <v>1467</v>
      </c>
      <c r="I402" s="134" t="str">
        <f t="shared" ref="I402:J402" si="406">IFS(AND($B402&lt;&gt;"",$E402&lt;&gt;""),IF(INDEX(N:N,MATCH($C402,$P:$P,0),1)&lt;&gt;"",$E402*INDEX(N:N,MATCH($C402,$P:$P,0),1)+$G402,""),AND($B402&lt;&gt;"",$D402="COST"),$G402,TRUE,)</f>
        <v/>
      </c>
      <c r="J402" s="134" t="str">
        <f t="shared" si="406"/>
        <v/>
      </c>
      <c r="K402" s="219" t="str">
        <f t="shared" si="3"/>
        <v>Vanguard Intermediate-Term Treasury ETF</v>
      </c>
      <c r="L402" s="150">
        <f t="shared" si="4"/>
        <v>0</v>
      </c>
      <c r="M402" s="150">
        <f t="shared" si="5"/>
        <v>-1817.48</v>
      </c>
      <c r="N402" s="139" t="str">
        <f t="array" ref="N402">IF($P402&lt;&gt;"",IF(MAXIFS(Investment!$L:$L,Investment!$D:$D,LEFT($P402,40)&amp;"*"),MAXIFS(Investment!$L:$L,Investment!$D:$D,LEFT($P402,40)&amp;"*"),IFERROR(INDEX(Selection!$H:$H, MATCH($P402,Selection!$F:$F,0))/IF(OR(INDEX(Selection!$C:$C, MATCH($P402,Selection!$F:$F,0))="LN",INDEX(Selection!$C:$C, MATCH($P402,Selection!$F:$F,0))="US"),Investment!$K$7,1),"")),"")</f>
        <v/>
      </c>
      <c r="O402" s="144" t="str">
        <f>IF($P402&lt;&gt;"",IF(MAXIFS(Investment!$AG:$AG,Investment!$D:$D,LEFT($P402,40)&amp;"*"),MAXIFS(Investment!$AG:$AG,Investment!$D:$D,LEFT($P402,40)&amp;"*"),""),"")</f>
        <v/>
      </c>
      <c r="P402" s="135"/>
      <c r="Q402" s="150"/>
      <c r="R402" s="329"/>
    </row>
    <row r="403">
      <c r="A403" s="125">
        <v>42950.0</v>
      </c>
      <c r="B403" s="56" t="s">
        <v>217</v>
      </c>
      <c r="C403" s="343" t="s">
        <v>220</v>
      </c>
      <c r="D403" s="56" t="s">
        <v>222</v>
      </c>
      <c r="E403" s="56">
        <v>67.0</v>
      </c>
      <c r="F403" s="218">
        <v>7.1</v>
      </c>
      <c r="G403" s="132">
        <v>-475.7</v>
      </c>
      <c r="H403" s="348" t="s">
        <v>1468</v>
      </c>
      <c r="I403" s="134">
        <f t="shared" ref="I403:J403" si="407">IFS(AND($B403&lt;&gt;"",$E403&lt;&gt;""),IF(INDEX(N:N,MATCH($C403,$P:$P,0),1)&lt;&gt;"",$E403*INDEX(N:N,MATCH($C403,$P:$P,0),1)+$G403,""),AND($B403&lt;&gt;"",$D403="COST"),$G403,TRUE,)</f>
        <v>5.025</v>
      </c>
      <c r="J403" s="134">
        <f t="shared" si="407"/>
        <v>19.90057647</v>
      </c>
      <c r="K403" s="219" t="str">
        <f t="shared" si="3"/>
        <v>ETFS All Commodities</v>
      </c>
      <c r="L403" s="150">
        <f t="shared" si="4"/>
        <v>8177</v>
      </c>
      <c r="M403" s="150">
        <f t="shared" si="5"/>
        <v>-60085.79</v>
      </c>
      <c r="N403" s="139" t="str">
        <f t="array" ref="N403">IF($P403&lt;&gt;"",IF(MAXIFS(Investment!$L:$L,Investment!$D:$D,LEFT($P403,40)&amp;"*"),MAXIFS(Investment!$L:$L,Investment!$D:$D,LEFT($P403,40)&amp;"*"),IFERROR(INDEX(Selection!$H:$H, MATCH($P403,Selection!$F:$F,0))/IF(OR(INDEX(Selection!$C:$C, MATCH($P403,Selection!$F:$F,0))="LN",INDEX(Selection!$C:$C, MATCH($P403,Selection!$F:$F,0))="US"),Investment!$K$7,1),"")),"")</f>
        <v/>
      </c>
      <c r="O403" s="144" t="str">
        <f>IF($P403&lt;&gt;"",IF(MAXIFS(Investment!$AG:$AG,Investment!$D:$D,LEFT($P403,40)&amp;"*"),MAXIFS(Investment!$AG:$AG,Investment!$D:$D,LEFT($P403,40)&amp;"*"),""),"")</f>
        <v/>
      </c>
      <c r="P403" s="135"/>
      <c r="Q403" s="150"/>
      <c r="R403" s="329"/>
    </row>
    <row r="404">
      <c r="A404" s="125">
        <v>42950.0</v>
      </c>
      <c r="B404" s="56" t="s">
        <v>307</v>
      </c>
      <c r="C404" s="343" t="s">
        <v>308</v>
      </c>
      <c r="D404" s="56" t="s">
        <v>222</v>
      </c>
      <c r="E404" s="56">
        <v>45.0</v>
      </c>
      <c r="F404" s="218">
        <v>39.632</v>
      </c>
      <c r="G404" s="132">
        <v>-1783.44</v>
      </c>
      <c r="H404" s="348" t="s">
        <v>1469</v>
      </c>
      <c r="I404" s="134">
        <f t="shared" ref="I404:J404" si="408">IFS(AND($B404&lt;&gt;"",$E404&lt;&gt;""),IF(INDEX(N:N,MATCH($C404,$P:$P,0),1)&lt;&gt;"",$E404*INDEX(N:N,MATCH($C404,$P:$P,0),1)+$G404,""),AND($B404&lt;&gt;"",$D404="COST"),$G404,TRUE,)</f>
        <v>377.91</v>
      </c>
      <c r="J404" s="134">
        <f t="shared" si="408"/>
        <v>283.2744706</v>
      </c>
      <c r="K404" s="219" t="str">
        <f t="shared" si="3"/>
        <v>Vanguard S&amp;P 500 UCITS ETF</v>
      </c>
      <c r="L404" s="150">
        <f t="shared" si="4"/>
        <v>4429</v>
      </c>
      <c r="M404" s="150">
        <f t="shared" si="5"/>
        <v>-189831.65</v>
      </c>
      <c r="N404" s="139" t="str">
        <f t="array" ref="N404">IF($P404&lt;&gt;"",IF(MAXIFS(Investment!$L:$L,Investment!$D:$D,LEFT($P404,40)&amp;"*"),MAXIFS(Investment!$L:$L,Investment!$D:$D,LEFT($P404,40)&amp;"*"),IFERROR(INDEX(Selection!$H:$H, MATCH($P404,Selection!$F:$F,0))/IF(OR(INDEX(Selection!$C:$C, MATCH($P404,Selection!$F:$F,0))="LN",INDEX(Selection!$C:$C, MATCH($P404,Selection!$F:$F,0))="US"),Investment!$K$7,1),"")),"")</f>
        <v/>
      </c>
      <c r="O404" s="144" t="str">
        <f>IF($P404&lt;&gt;"",IF(MAXIFS(Investment!$AG:$AG,Investment!$D:$D,LEFT($P404,40)&amp;"*"),MAXIFS(Investment!$AG:$AG,Investment!$D:$D,LEFT($P404,40)&amp;"*"),""),"")</f>
        <v/>
      </c>
      <c r="P404" s="328"/>
      <c r="R404" s="53"/>
    </row>
    <row r="405">
      <c r="A405" s="125">
        <v>42949.0</v>
      </c>
      <c r="B405" s="127" t="s">
        <v>277</v>
      </c>
      <c r="C405" s="133" t="s">
        <v>860</v>
      </c>
      <c r="D405" s="264" t="s">
        <v>263</v>
      </c>
      <c r="E405" s="264"/>
      <c r="F405" s="218"/>
      <c r="G405" s="132">
        <v>-0.8</v>
      </c>
      <c r="H405" s="344" t="s">
        <v>1462</v>
      </c>
      <c r="I405" s="134">
        <f t="shared" ref="I405:J405" si="409">IFS(AND($B405&lt;&gt;"",$E405&lt;&gt;""),IF(INDEX(N:N,MATCH($C405,$P:$P,0),1)&lt;&gt;"",$E405*INDEX(N:N,MATCH($C405,$P:$P,0),1)+$G405,""),AND($B405&lt;&gt;"",$D405="COST"),$G405,TRUE,)</f>
        <v>-0.8</v>
      </c>
      <c r="J405" s="134">
        <f t="shared" si="409"/>
        <v>-0.8</v>
      </c>
      <c r="K405" s="219" t="str">
        <f t="shared" si="3"/>
        <v>Vanguard Intermediate-Term Treasury ETF</v>
      </c>
      <c r="L405" s="150">
        <f t="shared" si="4"/>
        <v>0</v>
      </c>
      <c r="M405" s="150">
        <f t="shared" si="5"/>
        <v>-1817.48</v>
      </c>
      <c r="N405" s="139" t="str">
        <f t="array" ref="N405">IF($P405&lt;&gt;"",IF(MAXIFS(Investment!$L:$L,Investment!$D:$D,LEFT($P405,40)&amp;"*"),MAXIFS(Investment!$L:$L,Investment!$D:$D,LEFT($P405,40)&amp;"*"),IFERROR(INDEX(Selection!$H:$H, MATCH($P405,Selection!$F:$F,0))/IF(OR(INDEX(Selection!$C:$C, MATCH($P405,Selection!$F:$F,0))="LN",INDEX(Selection!$C:$C, MATCH($P405,Selection!$F:$F,0))="US"),Investment!$K$7,1),"")),"")</f>
        <v/>
      </c>
      <c r="O405" s="144" t="str">
        <f>IF($P405&lt;&gt;"",IF(MAXIFS(Investment!$AG:$AG,Investment!$D:$D,LEFT($P405,40)&amp;"*"),MAXIFS(Investment!$AG:$AG,Investment!$D:$D,LEFT($P405,40)&amp;"*"),""),"")</f>
        <v/>
      </c>
      <c r="P405" s="328"/>
      <c r="R405" s="53"/>
    </row>
    <row r="406">
      <c r="A406" s="125">
        <v>42949.0</v>
      </c>
      <c r="B406" s="127"/>
      <c r="C406" s="133"/>
      <c r="D406" s="264" t="s">
        <v>263</v>
      </c>
      <c r="E406" s="264"/>
      <c r="F406" s="218"/>
      <c r="G406" s="132">
        <v>-5.0</v>
      </c>
      <c r="H406" s="344" t="s">
        <v>489</v>
      </c>
      <c r="I406" s="134" t="str">
        <f t="shared" ref="I406:J406" si="410">IFS(AND($B406&lt;&gt;"",$E406&lt;&gt;""),IF(INDEX(N:N,MATCH($C406,$P:$P,0),1)&lt;&gt;"",$E406*INDEX(N:N,MATCH($C406,$P:$P,0),1)+$G406,""),AND($B406&lt;&gt;"",$D406="COST"),$G406,TRUE,)</f>
        <v/>
      </c>
      <c r="J406" s="134" t="str">
        <f t="shared" si="410"/>
        <v/>
      </c>
      <c r="K406" s="219" t="str">
        <f t="shared" si="3"/>
        <v/>
      </c>
      <c r="L406" s="150" t="str">
        <f t="shared" si="4"/>
        <v/>
      </c>
      <c r="M406" s="150" t="str">
        <f t="shared" si="5"/>
        <v/>
      </c>
      <c r="N406" s="139" t="str">
        <f t="array" ref="N406">IF($P406&lt;&gt;"",IF(MAXIFS(Investment!$L:$L,Investment!$D:$D,LEFT($P406,40)&amp;"*"),MAXIFS(Investment!$L:$L,Investment!$D:$D,LEFT($P406,40)&amp;"*"),IFERROR(INDEX(Selection!$H:$H, MATCH($P406,Selection!$F:$F,0))/IF(OR(INDEX(Selection!$C:$C, MATCH($P406,Selection!$F:$F,0))="LN",INDEX(Selection!$C:$C, MATCH($P406,Selection!$F:$F,0))="US"),Investment!$K$7,1),"")),"")</f>
        <v/>
      </c>
      <c r="O406" s="144" t="str">
        <f>IF($P406&lt;&gt;"",IF(MAXIFS(Investment!$AG:$AG,Investment!$D:$D,LEFT($P406,40)&amp;"*"),MAXIFS(Investment!$AG:$AG,Investment!$D:$D,LEFT($P406,40)&amp;"*"),""),"")</f>
        <v/>
      </c>
      <c r="P406" s="135"/>
      <c r="Q406" s="150"/>
      <c r="R406" s="329"/>
    </row>
    <row r="407">
      <c r="A407" s="125">
        <v>42949.0</v>
      </c>
      <c r="B407" s="127"/>
      <c r="C407" s="133"/>
      <c r="D407" s="264" t="s">
        <v>263</v>
      </c>
      <c r="E407" s="264"/>
      <c r="F407" s="218"/>
      <c r="G407" s="132">
        <v>-66.68</v>
      </c>
      <c r="H407" s="344" t="s">
        <v>1470</v>
      </c>
      <c r="I407" s="134" t="str">
        <f t="shared" ref="I407:J407" si="411">IFS(AND($B407&lt;&gt;"",$E407&lt;&gt;""),IF(INDEX(N:N,MATCH($C407,$P:$P,0),1)&lt;&gt;"",$E407*INDEX(N:N,MATCH($C407,$P:$P,0),1)+$G407,""),AND($B407&lt;&gt;"",$D407="COST"),$G407,TRUE,)</f>
        <v/>
      </c>
      <c r="J407" s="134" t="str">
        <f t="shared" si="411"/>
        <v/>
      </c>
      <c r="K407" s="219" t="str">
        <f t="shared" si="3"/>
        <v/>
      </c>
      <c r="L407" s="150" t="str">
        <f t="shared" si="4"/>
        <v/>
      </c>
      <c r="M407" s="150" t="str">
        <f t="shared" si="5"/>
        <v/>
      </c>
      <c r="N407" s="139" t="str">
        <f t="array" ref="N407">IF($P407&lt;&gt;"",IF(MAXIFS(Investment!$L:$L,Investment!$D:$D,LEFT($P407,40)&amp;"*"),MAXIFS(Investment!$L:$L,Investment!$D:$D,LEFT($P407,40)&amp;"*"),IFERROR(INDEX(Selection!$H:$H, MATCH($P407,Selection!$F:$F,0))/IF(OR(INDEX(Selection!$C:$C, MATCH($P407,Selection!$F:$F,0))="LN",INDEX(Selection!$C:$C, MATCH($P407,Selection!$F:$F,0))="US"),Investment!$K$7,1),"")),"")</f>
        <v/>
      </c>
      <c r="O407" s="144" t="str">
        <f>IF($P407&lt;&gt;"",IF(MAXIFS(Investment!$AG:$AG,Investment!$D:$D,LEFT($P407,40)&amp;"*"),MAXIFS(Investment!$AG:$AG,Investment!$D:$D,LEFT($P407,40)&amp;"*"),""),"")</f>
        <v/>
      </c>
      <c r="P407" s="135"/>
      <c r="Q407" s="150"/>
      <c r="R407" s="329"/>
    </row>
    <row r="408">
      <c r="A408" s="125">
        <v>42949.0</v>
      </c>
      <c r="B408" s="56" t="s">
        <v>243</v>
      </c>
      <c r="C408" s="343" t="s">
        <v>588</v>
      </c>
      <c r="D408" s="56" t="s">
        <v>222</v>
      </c>
      <c r="E408" s="56">
        <v>31.0</v>
      </c>
      <c r="F408" s="218">
        <v>99.37</v>
      </c>
      <c r="G408" s="132">
        <v>-3080.45</v>
      </c>
      <c r="H408" s="348" t="s">
        <v>1471</v>
      </c>
      <c r="I408" s="134">
        <f t="shared" ref="I408:J408" si="412">IFS(AND($B408&lt;&gt;"",$E408&lt;&gt;""),IF(INDEX(N:N,MATCH($C408,$P:$P,0),1)&lt;&gt;"",$E408*INDEX(N:N,MATCH($C408,$P:$P,0),1)+$G408,""),AND($B408&lt;&gt;"",$D408="COST"),$G408,TRUE,)</f>
        <v>199.1601816</v>
      </c>
      <c r="J408" s="134" t="str">
        <f t="shared" si="412"/>
        <v/>
      </c>
      <c r="K408" s="219" t="str">
        <f t="shared" si="3"/>
        <v>Vanguard Extended Duration Treasury ETF</v>
      </c>
      <c r="L408" s="150">
        <f t="shared" si="4"/>
        <v>0</v>
      </c>
      <c r="M408" s="150">
        <f t="shared" si="5"/>
        <v>-4941.36</v>
      </c>
      <c r="N408" s="139" t="str">
        <f t="array" ref="N408">IF($P408&lt;&gt;"",IF(MAXIFS(Investment!$L:$L,Investment!$D:$D,LEFT($P408,40)&amp;"*"),MAXIFS(Investment!$L:$L,Investment!$D:$D,LEFT($P408,40)&amp;"*"),IFERROR(INDEX(Selection!$H:$H, MATCH($P408,Selection!$F:$F,0))/IF(OR(INDEX(Selection!$C:$C, MATCH($P408,Selection!$F:$F,0))="LN",INDEX(Selection!$C:$C, MATCH($P408,Selection!$F:$F,0))="US"),Investment!$K$7,1),"")),"")</f>
        <v/>
      </c>
      <c r="O408" s="144" t="str">
        <f>IF($P408&lt;&gt;"",IF(MAXIFS(Investment!$AG:$AG,Investment!$D:$D,LEFT($P408,40)&amp;"*"),MAXIFS(Investment!$AG:$AG,Investment!$D:$D,LEFT($P408,40)&amp;"*"),""),"")</f>
        <v/>
      </c>
      <c r="P408" s="135"/>
      <c r="Q408" s="150"/>
      <c r="R408" s="329"/>
    </row>
    <row r="409">
      <c r="A409" s="125">
        <v>42949.0</v>
      </c>
      <c r="B409" s="56" t="s">
        <v>277</v>
      </c>
      <c r="C409" s="343" t="s">
        <v>860</v>
      </c>
      <c r="D409" s="56" t="s">
        <v>222</v>
      </c>
      <c r="E409" s="56">
        <v>21.0</v>
      </c>
      <c r="F409" s="218">
        <v>54.7</v>
      </c>
      <c r="G409" s="132">
        <v>-1148.78</v>
      </c>
      <c r="H409" s="348" t="s">
        <v>1472</v>
      </c>
      <c r="I409" s="134">
        <f t="shared" ref="I409:J409" si="413">IFS(AND($B409&lt;&gt;"",$E409&lt;&gt;""),IF(INDEX(N:N,MATCH($C409,$P:$P,0),1)&lt;&gt;"",$E409*INDEX(N:N,MATCH($C409,$P:$P,0),1)+$G409,""),AND($B409&lt;&gt;"",$D409="COST"),$G409,TRUE,)</f>
        <v>57.46777501</v>
      </c>
      <c r="J409" s="134" t="str">
        <f t="shared" si="413"/>
        <v/>
      </c>
      <c r="K409" s="219" t="str">
        <f t="shared" si="3"/>
        <v>Vanguard Intermediate-Term Treasury ETF</v>
      </c>
      <c r="L409" s="150">
        <f t="shared" si="4"/>
        <v>0</v>
      </c>
      <c r="M409" s="150">
        <f t="shared" si="5"/>
        <v>-1817.48</v>
      </c>
      <c r="N409" s="139" t="str">
        <f t="array" ref="N409">IF($P409&lt;&gt;"",IF(MAXIFS(Investment!$L:$L,Investment!$D:$D,LEFT($P409,40)&amp;"*"),MAXIFS(Investment!$L:$L,Investment!$D:$D,LEFT($P409,40)&amp;"*"),IFERROR(INDEX(Selection!$H:$H, MATCH($P409,Selection!$F:$F,0))/IF(OR(INDEX(Selection!$C:$C, MATCH($P409,Selection!$F:$F,0))="LN",INDEX(Selection!$C:$C, MATCH($P409,Selection!$F:$F,0))="US"),Investment!$K$7,1),"")),"")</f>
        <v/>
      </c>
      <c r="O409" s="144" t="str">
        <f>IF($P409&lt;&gt;"",IF(MAXIFS(Investment!$AG:$AG,Investment!$D:$D,LEFT($P409,40)&amp;"*"),MAXIFS(Investment!$AG:$AG,Investment!$D:$D,LEFT($P409,40)&amp;"*"),""),"")</f>
        <v/>
      </c>
      <c r="P409" s="328"/>
      <c r="R409" s="53"/>
    </row>
    <row r="410">
      <c r="A410" s="125">
        <v>42949.0</v>
      </c>
      <c r="B410" s="56" t="s">
        <v>361</v>
      </c>
      <c r="C410" s="343" t="s">
        <v>989</v>
      </c>
      <c r="D410" s="56" t="s">
        <v>222</v>
      </c>
      <c r="E410" s="56">
        <v>41.0</v>
      </c>
      <c r="F410" s="218">
        <v>10.32</v>
      </c>
      <c r="G410" s="132">
        <v>-422.98</v>
      </c>
      <c r="H410" s="348" t="s">
        <v>1473</v>
      </c>
      <c r="I410" s="134">
        <f t="shared" ref="I410:J410" si="414">IFS(AND($B410&lt;&gt;"",$E410&lt;&gt;""),IF(INDEX(N:N,MATCH($C410,$P:$P,0),1)&lt;&gt;"",$E410*INDEX(N:N,MATCH($C410,$P:$P,0),1)+$G410,""),AND($B410&lt;&gt;"",$D410="COST"),$G410,TRUE,)</f>
        <v>30.95378426</v>
      </c>
      <c r="J410" s="134" t="str">
        <f t="shared" si="414"/>
        <v/>
      </c>
      <c r="K410" s="219" t="str">
        <f t="shared" si="3"/>
        <v>iShares Gold Trust</v>
      </c>
      <c r="L410" s="150">
        <f t="shared" si="4"/>
        <v>0</v>
      </c>
      <c r="M410" s="150">
        <f t="shared" si="5"/>
        <v>140.23</v>
      </c>
      <c r="N410" s="139" t="str">
        <f t="array" ref="N410">IF($P410&lt;&gt;"",IF(MAXIFS(Investment!$L:$L,Investment!$D:$D,LEFT($P410,40)&amp;"*"),MAXIFS(Investment!$L:$L,Investment!$D:$D,LEFT($P410,40)&amp;"*"),IFERROR(INDEX(Selection!$H:$H, MATCH($P410,Selection!$F:$F,0))/IF(OR(INDEX(Selection!$C:$C, MATCH($P410,Selection!$F:$F,0))="LN",INDEX(Selection!$C:$C, MATCH($P410,Selection!$F:$F,0))="US"),Investment!$K$7,1),"")),"")</f>
        <v/>
      </c>
      <c r="O410" s="144" t="str">
        <f>IF($P410&lt;&gt;"",IF(MAXIFS(Investment!$AG:$AG,Investment!$D:$D,LEFT($P410,40)&amp;"*"),MAXIFS(Investment!$AG:$AG,Investment!$D:$D,LEFT($P410,40)&amp;"*"),""),"")</f>
        <v/>
      </c>
      <c r="P410" s="328"/>
      <c r="R410" s="53"/>
    </row>
    <row r="411">
      <c r="A411" s="125">
        <v>42928.0</v>
      </c>
      <c r="B411" s="127" t="s">
        <v>277</v>
      </c>
      <c r="C411" s="133" t="s">
        <v>845</v>
      </c>
      <c r="D411" s="264" t="s">
        <v>390</v>
      </c>
      <c r="E411" s="264"/>
      <c r="F411" s="218"/>
      <c r="G411" s="132">
        <v>-2.54</v>
      </c>
      <c r="H411" s="344" t="s">
        <v>1474</v>
      </c>
      <c r="I411" s="134" t="str">
        <f t="shared" ref="I411:J411" si="415">IFS(AND($B411&lt;&gt;"",$E411&lt;&gt;""),IF(INDEX(N:N,MATCH($C411,$P:$P,0),1)&lt;&gt;"",$E411*INDEX(N:N,MATCH($C411,$P:$P,0),1)+$G411,""),AND($B411&lt;&gt;"",$D411="COST"),$G411,TRUE,)</f>
        <v/>
      </c>
      <c r="J411" s="134" t="str">
        <f t="shared" si="415"/>
        <v/>
      </c>
      <c r="K411" s="219" t="str">
        <f t="shared" si="3"/>
        <v>iShares 7-10 Year Treasury Bond ETF</v>
      </c>
      <c r="L411" s="150">
        <f t="shared" si="4"/>
        <v>0</v>
      </c>
      <c r="M411" s="150">
        <f t="shared" si="5"/>
        <v>-345.82</v>
      </c>
      <c r="N411" s="139" t="str">
        <f t="array" ref="N411">IF($P411&lt;&gt;"",IF(MAXIFS(Investment!$L:$L,Investment!$D:$D,LEFT($P411,40)&amp;"*"),MAXIFS(Investment!$L:$L,Investment!$D:$D,LEFT($P411,40)&amp;"*"),IFERROR(INDEX(Selection!$H:$H, MATCH($P411,Selection!$F:$F,0))/IF(OR(INDEX(Selection!$C:$C, MATCH($P411,Selection!$F:$F,0))="LN",INDEX(Selection!$C:$C, MATCH($P411,Selection!$F:$F,0))="US"),Investment!$K$7,1),"")),"")</f>
        <v/>
      </c>
      <c r="O411" s="144" t="str">
        <f>IF($P411&lt;&gt;"",IF(MAXIFS(Investment!$AG:$AG,Investment!$D:$D,LEFT($P411,40)&amp;"*"),MAXIFS(Investment!$AG:$AG,Investment!$D:$D,LEFT($P411,40)&amp;"*"),""),"")</f>
        <v/>
      </c>
      <c r="P411" s="328"/>
      <c r="R411" s="53"/>
    </row>
    <row r="412" ht="1.5" customHeight="1">
      <c r="A412" s="125">
        <v>42927.0</v>
      </c>
      <c r="B412" s="127" t="s">
        <v>277</v>
      </c>
      <c r="C412" s="133" t="s">
        <v>845</v>
      </c>
      <c r="D412" s="264" t="s">
        <v>390</v>
      </c>
      <c r="E412" s="264"/>
      <c r="F412" s="218"/>
      <c r="G412" s="132">
        <v>19.77</v>
      </c>
      <c r="H412" s="344" t="s">
        <v>1475</v>
      </c>
      <c r="I412" s="134" t="str">
        <f t="shared" ref="I412:J412" si="416">IFS(AND($B412&lt;&gt;"",$E412&lt;&gt;""),IF(INDEX(N:N,MATCH($C412,$P:$P,0),1)&lt;&gt;"",$E412*INDEX(N:N,MATCH($C412,$P:$P,0),1)+$G412,""),AND($B412&lt;&gt;"",$D412="COST"),$G412,TRUE,)</f>
        <v/>
      </c>
      <c r="J412" s="134" t="str">
        <f t="shared" si="416"/>
        <v/>
      </c>
      <c r="K412" s="219" t="str">
        <f t="shared" si="3"/>
        <v>iShares 7-10 Year Treasury Bond ETF</v>
      </c>
      <c r="L412" s="150">
        <f t="shared" si="4"/>
        <v>0</v>
      </c>
      <c r="M412" s="150">
        <f t="shared" si="5"/>
        <v>-345.82</v>
      </c>
      <c r="N412" s="139" t="str">
        <f t="array" ref="N412">IF($P412&lt;&gt;"",IF(MAXIFS(Investment!$L:$L,Investment!$D:$D,LEFT($P412,40)&amp;"*"),MAXIFS(Investment!$L:$L,Investment!$D:$D,LEFT($P412,40)&amp;"*"),IFERROR(INDEX(Selection!$H:$H, MATCH($P412,Selection!$F:$F,0))/IF(OR(INDEX(Selection!$C:$C, MATCH($P412,Selection!$F:$F,0))="LN",INDEX(Selection!$C:$C, MATCH($P412,Selection!$F:$F,0))="US"),Investment!$K$7,1),"")),"")</f>
        <v/>
      </c>
      <c r="O412" s="144" t="str">
        <f>IF($P412&lt;&gt;"",IF(MAXIFS(Investment!$AG:$AG,Investment!$D:$D,LEFT($P412,40)&amp;"*"),MAXIFS(Investment!$AG:$AG,Investment!$D:$D,LEFT($P412,40)&amp;"*"),""),"")</f>
        <v/>
      </c>
      <c r="P412" s="135"/>
      <c r="Q412" s="150"/>
      <c r="R412" s="329"/>
    </row>
    <row r="413" ht="1.5" customHeight="1">
      <c r="A413" s="125">
        <v>42923.0</v>
      </c>
      <c r="B413" s="127" t="s">
        <v>243</v>
      </c>
      <c r="C413" s="133" t="s">
        <v>588</v>
      </c>
      <c r="D413" s="264" t="s">
        <v>390</v>
      </c>
      <c r="E413" s="264"/>
      <c r="F413" s="218"/>
      <c r="G413" s="132">
        <v>-31.95</v>
      </c>
      <c r="H413" s="344" t="s">
        <v>1476</v>
      </c>
      <c r="I413" s="134" t="str">
        <f t="shared" ref="I413:J413" si="417">IFS(AND($B413&lt;&gt;"",$E413&lt;&gt;""),IF(INDEX(N:N,MATCH($C413,$P:$P,0),1)&lt;&gt;"",$E413*INDEX(N:N,MATCH($C413,$P:$P,0),1)+$G413,""),AND($B413&lt;&gt;"",$D413="COST"),$G413,TRUE,)</f>
        <v/>
      </c>
      <c r="J413" s="134" t="str">
        <f t="shared" si="417"/>
        <v/>
      </c>
      <c r="K413" s="219" t="str">
        <f t="shared" si="3"/>
        <v>Vanguard Extended Duration Treasury ETF</v>
      </c>
      <c r="L413" s="150">
        <f t="shared" si="4"/>
        <v>0</v>
      </c>
      <c r="M413" s="150">
        <f t="shared" si="5"/>
        <v>-4941.36</v>
      </c>
      <c r="N413" s="139" t="str">
        <f t="array" ref="N413">IF($P413&lt;&gt;"",IF(MAXIFS(Investment!$L:$L,Investment!$D:$D,LEFT($P413,40)&amp;"*"),MAXIFS(Investment!$L:$L,Investment!$D:$D,LEFT($P413,40)&amp;"*"),IFERROR(INDEX(Selection!$H:$H, MATCH($P413,Selection!$F:$F,0))/IF(OR(INDEX(Selection!$C:$C, MATCH($P413,Selection!$F:$F,0))="LN",INDEX(Selection!$C:$C, MATCH($P413,Selection!$F:$F,0))="US"),Investment!$K$7,1),"")),"")</f>
        <v/>
      </c>
      <c r="O413" s="144" t="str">
        <f>IF($P413&lt;&gt;"",IF(MAXIFS(Investment!$AG:$AG,Investment!$D:$D,LEFT($P413,40)&amp;"*"),MAXIFS(Investment!$AG:$AG,Investment!$D:$D,LEFT($P413,40)&amp;"*"),""),"")</f>
        <v/>
      </c>
      <c r="P413" s="135"/>
      <c r="Q413" s="150"/>
      <c r="R413" s="329"/>
    </row>
    <row r="414" ht="1.5" customHeight="1">
      <c r="A414" s="125">
        <v>42922.0</v>
      </c>
      <c r="B414" s="127" t="s">
        <v>243</v>
      </c>
      <c r="C414" s="133" t="s">
        <v>588</v>
      </c>
      <c r="D414" s="264" t="s">
        <v>390</v>
      </c>
      <c r="E414" s="264"/>
      <c r="F414" s="218"/>
      <c r="G414" s="132">
        <v>255.04</v>
      </c>
      <c r="H414" s="344" t="s">
        <v>1477</v>
      </c>
      <c r="I414" s="134" t="str">
        <f t="shared" ref="I414:J414" si="418">IFS(AND($B414&lt;&gt;"",$E414&lt;&gt;""),IF(INDEX(N:N,MATCH($C414,$P:$P,0),1)&lt;&gt;"",$E414*INDEX(N:N,MATCH($C414,$P:$P,0),1)+$G414,""),AND($B414&lt;&gt;"",$D414="COST"),$G414,TRUE,)</f>
        <v/>
      </c>
      <c r="J414" s="134" t="str">
        <f t="shared" si="418"/>
        <v/>
      </c>
      <c r="K414" s="219" t="str">
        <f t="shared" si="3"/>
        <v>Vanguard Extended Duration Treasury ETF</v>
      </c>
      <c r="L414" s="150">
        <f t="shared" si="4"/>
        <v>0</v>
      </c>
      <c r="M414" s="150">
        <f t="shared" si="5"/>
        <v>-4941.36</v>
      </c>
      <c r="N414" s="139" t="str">
        <f t="array" ref="N414">IF($P414&lt;&gt;"",IF(MAXIFS(Investment!$L:$L,Investment!$D:$D,LEFT($P414,40)&amp;"*"),MAXIFS(Investment!$L:$L,Investment!$D:$D,LEFT($P414,40)&amp;"*"),IFERROR(INDEX(Selection!$H:$H, MATCH($P414,Selection!$F:$F,0))/IF(OR(INDEX(Selection!$C:$C, MATCH($P414,Selection!$F:$F,0))="LN",INDEX(Selection!$C:$C, MATCH($P414,Selection!$F:$F,0))="US"),Investment!$K$7,1),"")),"")</f>
        <v/>
      </c>
      <c r="O414" s="144" t="str">
        <f>IF($P414&lt;&gt;"",IF(MAXIFS(Investment!$AG:$AG,Investment!$D:$D,LEFT($P414,40)&amp;"*"),MAXIFS(Investment!$AG:$AG,Investment!$D:$D,LEFT($P414,40)&amp;"*"),""),"")</f>
        <v/>
      </c>
      <c r="P414" s="135"/>
      <c r="Q414" s="150"/>
      <c r="R414" s="329"/>
    </row>
    <row r="415">
      <c r="A415" s="125">
        <v>42921.0</v>
      </c>
      <c r="B415" s="127" t="s">
        <v>277</v>
      </c>
      <c r="C415" s="133" t="s">
        <v>860</v>
      </c>
      <c r="D415" s="264" t="s">
        <v>222</v>
      </c>
      <c r="E415" s="264">
        <v>286.0</v>
      </c>
      <c r="F415" s="218">
        <v>56.941</v>
      </c>
      <c r="G415" s="132">
        <v>-16285.26</v>
      </c>
      <c r="H415" s="344" t="s">
        <v>1478</v>
      </c>
      <c r="I415" s="134">
        <f t="shared" ref="I415:J415" si="419">IFS(AND($B415&lt;&gt;"",$E415&lt;&gt;""),IF(INDEX(N:N,MATCH($C415,$P:$P,0),1)&lt;&gt;"",$E415*INDEX(N:N,MATCH($C415,$P:$P,0),1)+$G415,""),AND($B415&lt;&gt;"",$D415="COST"),$G415,TRUE,)</f>
        <v>142.6858882</v>
      </c>
      <c r="J415" s="134" t="str">
        <f t="shared" si="419"/>
        <v/>
      </c>
      <c r="K415" s="219" t="str">
        <f t="shared" si="3"/>
        <v>Vanguard Intermediate-Term Treasury ETF</v>
      </c>
      <c r="L415" s="150">
        <f t="shared" si="4"/>
        <v>0</v>
      </c>
      <c r="M415" s="150">
        <f t="shared" si="5"/>
        <v>-1817.48</v>
      </c>
      <c r="N415" s="139" t="str">
        <f t="array" ref="N415">IF($P415&lt;&gt;"",IF(MAXIFS(Investment!$L:$L,Investment!$D:$D,LEFT($P415,40)&amp;"*"),MAXIFS(Investment!$L:$L,Investment!$D:$D,LEFT($P415,40)&amp;"*"),IFERROR(INDEX(Selection!$H:$H, MATCH($P415,Selection!$F:$F,0))/IF(OR(INDEX(Selection!$C:$C, MATCH($P415,Selection!$F:$F,0))="LN",INDEX(Selection!$C:$C, MATCH($P415,Selection!$F:$F,0))="US"),Investment!$K$7,1),"")),"")</f>
        <v/>
      </c>
      <c r="O415" s="144" t="str">
        <f>IF($P415&lt;&gt;"",IF(MAXIFS(Investment!$AG:$AG,Investment!$D:$D,LEFT($P415,40)&amp;"*"),MAXIFS(Investment!$AG:$AG,Investment!$D:$D,LEFT($P415,40)&amp;"*"),""),"")</f>
        <v/>
      </c>
      <c r="P415" s="135"/>
      <c r="Q415" s="150"/>
      <c r="R415" s="329"/>
    </row>
    <row r="416" ht="1.5" customHeight="1">
      <c r="A416" s="125">
        <v>42921.0</v>
      </c>
      <c r="B416" s="56" t="s">
        <v>277</v>
      </c>
      <c r="C416" s="343" t="s">
        <v>860</v>
      </c>
      <c r="D416" s="56" t="s">
        <v>263</v>
      </c>
      <c r="E416" s="161"/>
      <c r="F416" s="218"/>
      <c r="G416" s="132">
        <v>-4.77</v>
      </c>
      <c r="H416" s="348" t="s">
        <v>1479</v>
      </c>
      <c r="I416" s="134">
        <f t="shared" ref="I416:J416" si="420">IFS(AND($B416&lt;&gt;"",$E416&lt;&gt;""),IF(INDEX(N:N,MATCH($C416,$P:$P,0),1)&lt;&gt;"",$E416*INDEX(N:N,MATCH($C416,$P:$P,0),1)+$G416,""),AND($B416&lt;&gt;"",$D416="COST"),$G416,TRUE,)</f>
        <v>-4.77</v>
      </c>
      <c r="J416" s="134">
        <f t="shared" si="420"/>
        <v>-4.77</v>
      </c>
      <c r="K416" s="219" t="str">
        <f t="shared" si="3"/>
        <v>Vanguard Intermediate-Term Treasury ETF</v>
      </c>
      <c r="L416" s="150">
        <f t="shared" si="4"/>
        <v>0</v>
      </c>
      <c r="M416" s="150">
        <f t="shared" si="5"/>
        <v>-1817.48</v>
      </c>
      <c r="N416" s="139" t="str">
        <f t="array" ref="N416">IF($P416&lt;&gt;"",IF(MAXIFS(Investment!$L:$L,Investment!$D:$D,LEFT($P416,40)&amp;"*"),MAXIFS(Investment!$L:$L,Investment!$D:$D,LEFT($P416,40)&amp;"*"),IFERROR(INDEX(Selection!$H:$H, MATCH($P416,Selection!$F:$F,0))/IF(OR(INDEX(Selection!$C:$C, MATCH($P416,Selection!$F:$F,0))="LN",INDEX(Selection!$C:$C, MATCH($P416,Selection!$F:$F,0))="US"),Investment!$K$7,1),"")),"")</f>
        <v/>
      </c>
      <c r="O416" s="144" t="str">
        <f>IF($P416&lt;&gt;"",IF(MAXIFS(Investment!$AG:$AG,Investment!$D:$D,LEFT($P416,40)&amp;"*"),MAXIFS(Investment!$AG:$AG,Investment!$D:$D,LEFT($P416,40)&amp;"*"),""),"")</f>
        <v/>
      </c>
      <c r="P416" s="135"/>
      <c r="Q416" s="150"/>
      <c r="R416" s="329"/>
    </row>
    <row r="417" ht="1.5" customHeight="1">
      <c r="A417" s="125">
        <v>42920.0</v>
      </c>
      <c r="B417" s="127"/>
      <c r="C417" s="133"/>
      <c r="D417" s="264" t="s">
        <v>263</v>
      </c>
      <c r="E417" s="264"/>
      <c r="F417" s="218"/>
      <c r="G417" s="132">
        <v>-55.33</v>
      </c>
      <c r="H417" s="344" t="s">
        <v>1480</v>
      </c>
      <c r="I417" s="134" t="str">
        <f t="shared" ref="I417:J417" si="421">IFS(AND($B417&lt;&gt;"",$E417&lt;&gt;""),IF(INDEX(N:N,MATCH($C417,$P:$P,0),1)&lt;&gt;"",$E417*INDEX(N:N,MATCH($C417,$P:$P,0),1)+$G417,""),AND($B417&lt;&gt;"",$D417="COST"),$G417,TRUE,)</f>
        <v/>
      </c>
      <c r="J417" s="134" t="str">
        <f t="shared" si="421"/>
        <v/>
      </c>
      <c r="K417" s="219" t="str">
        <f t="shared" si="3"/>
        <v/>
      </c>
      <c r="L417" s="150" t="str">
        <f t="shared" si="4"/>
        <v/>
      </c>
      <c r="M417" s="150" t="str">
        <f t="shared" si="5"/>
        <v/>
      </c>
      <c r="N417" s="139" t="str">
        <f t="array" ref="N417">IF($P417&lt;&gt;"",IF(MAXIFS(Investment!$L:$L,Investment!$D:$D,LEFT($P417,40)&amp;"*"),MAXIFS(Investment!$L:$L,Investment!$D:$D,LEFT($P417,40)&amp;"*"),IFERROR(INDEX(Selection!$H:$H, MATCH($P417,Selection!$F:$F,0))/IF(OR(INDEX(Selection!$C:$C, MATCH($P417,Selection!$F:$F,0))="LN",INDEX(Selection!$C:$C, MATCH($P417,Selection!$F:$F,0))="US"),Investment!$K$7,1),"")),"")</f>
        <v/>
      </c>
      <c r="O417" s="144" t="str">
        <f>IF($P417&lt;&gt;"",IF(MAXIFS(Investment!$AG:$AG,Investment!$D:$D,LEFT($P417,40)&amp;"*"),MAXIFS(Investment!$AG:$AG,Investment!$D:$D,LEFT($P417,40)&amp;"*"),""),"")</f>
        <v/>
      </c>
      <c r="P417" s="328"/>
      <c r="R417" s="53"/>
    </row>
    <row r="418" ht="1.5" customHeight="1">
      <c r="A418" s="125">
        <v>42920.0</v>
      </c>
      <c r="B418" s="56" t="s">
        <v>217</v>
      </c>
      <c r="C418" s="343" t="s">
        <v>220</v>
      </c>
      <c r="D418" s="56" t="s">
        <v>222</v>
      </c>
      <c r="E418" s="51">
        <v>1096.0</v>
      </c>
      <c r="F418" s="218">
        <v>7.5</v>
      </c>
      <c r="G418" s="132">
        <v>-8220.0</v>
      </c>
      <c r="H418" s="348" t="s">
        <v>1481</v>
      </c>
      <c r="I418" s="134">
        <f t="shared" ref="I418:J418" si="422">IFS(AND($B418&lt;&gt;"",$E418&lt;&gt;""),IF(INDEX(N:N,MATCH($C418,$P:$P,0),1)&lt;&gt;"",$E418*INDEX(N:N,MATCH($C418,$P:$P,0),1)+$G418,""),AND($B418&lt;&gt;"",$D418="COST"),$G418,TRUE,)</f>
        <v>-356.2</v>
      </c>
      <c r="J418" s="134">
        <f t="shared" si="422"/>
        <v>-112.8622118</v>
      </c>
      <c r="K418" s="219" t="str">
        <f t="shared" si="3"/>
        <v>ETFS All Commodities</v>
      </c>
      <c r="L418" s="150">
        <f t="shared" si="4"/>
        <v>8177</v>
      </c>
      <c r="M418" s="150">
        <f t="shared" si="5"/>
        <v>-60085.79</v>
      </c>
      <c r="N418" s="139" t="str">
        <f t="array" ref="N418">IF($P418&lt;&gt;"",IF(MAXIFS(Investment!$L:$L,Investment!$D:$D,LEFT($P418,40)&amp;"*"),MAXIFS(Investment!$L:$L,Investment!$D:$D,LEFT($P418,40)&amp;"*"),IFERROR(INDEX(Selection!$H:$H, MATCH($P418,Selection!$F:$F,0))/IF(OR(INDEX(Selection!$C:$C, MATCH($P418,Selection!$F:$F,0))="LN",INDEX(Selection!$C:$C, MATCH($P418,Selection!$F:$F,0))="US"),Investment!$K$7,1),"")),"")</f>
        <v/>
      </c>
      <c r="O418" s="144" t="str">
        <f>IF($P418&lt;&gt;"",IF(MAXIFS(Investment!$AG:$AG,Investment!$D:$D,LEFT($P418,40)&amp;"*"),MAXIFS(Investment!$AG:$AG,Investment!$D:$D,LEFT($P418,40)&amp;"*"),""),"")</f>
        <v/>
      </c>
      <c r="P418" s="135"/>
      <c r="Q418" s="150"/>
      <c r="R418" s="329"/>
    </row>
    <row r="419">
      <c r="A419" s="125">
        <v>42919.0</v>
      </c>
      <c r="B419" s="127" t="s">
        <v>307</v>
      </c>
      <c r="C419" s="133" t="s">
        <v>308</v>
      </c>
      <c r="D419" s="264" t="s">
        <v>222</v>
      </c>
      <c r="E419" s="264">
        <v>804.0</v>
      </c>
      <c r="F419" s="218">
        <v>40.443</v>
      </c>
      <c r="G419" s="132">
        <v>-32516.18</v>
      </c>
      <c r="H419" s="344" t="s">
        <v>1482</v>
      </c>
      <c r="I419" s="134">
        <f t="shared" ref="I419:J419" si="423">IFS(AND($B419&lt;&gt;"",$E419&lt;&gt;""),IF(INDEX(N:N,MATCH($C419,$P:$P,0),1)&lt;&gt;"",$E419*INDEX(N:N,MATCH($C419,$P:$P,0),1)+$G419,""),AND($B419&lt;&gt;"",$D419="COST"),$G419,TRUE,)</f>
        <v>6099.94</v>
      </c>
      <c r="J419" s="134">
        <f t="shared" si="423"/>
        <v>4409.118541</v>
      </c>
      <c r="K419" s="219" t="str">
        <f t="shared" si="3"/>
        <v>Vanguard S&amp;P 500 UCITS ETF</v>
      </c>
      <c r="L419" s="150">
        <f t="shared" si="4"/>
        <v>4429</v>
      </c>
      <c r="M419" s="150">
        <f t="shared" si="5"/>
        <v>-189831.65</v>
      </c>
      <c r="N419" s="139" t="str">
        <f t="array" ref="N419">IF($P419&lt;&gt;"",IF(MAXIFS(Investment!$L:$L,Investment!$D:$D,LEFT($P419,40)&amp;"*"),MAXIFS(Investment!$L:$L,Investment!$D:$D,LEFT($P419,40)&amp;"*"),IFERROR(INDEX(Selection!$H:$H, MATCH($P419,Selection!$F:$F,0))/IF(OR(INDEX(Selection!$C:$C, MATCH($P419,Selection!$F:$F,0))="LN",INDEX(Selection!$C:$C, MATCH($P419,Selection!$F:$F,0))="US"),Investment!$K$7,1),"")),"")</f>
        <v/>
      </c>
      <c r="O419" s="144" t="str">
        <f>IF($P419&lt;&gt;"",IF(MAXIFS(Investment!$AG:$AG,Investment!$D:$D,LEFT($P419,40)&amp;"*"),MAXIFS(Investment!$AG:$AG,Investment!$D:$D,LEFT($P419,40)&amp;"*"),""),"")</f>
        <v/>
      </c>
      <c r="P419" s="328"/>
      <c r="R419" s="53"/>
    </row>
    <row r="420">
      <c r="A420" s="125">
        <v>42919.0</v>
      </c>
      <c r="B420" s="56" t="s">
        <v>217</v>
      </c>
      <c r="C420" s="343" t="s">
        <v>959</v>
      </c>
      <c r="D420" s="56" t="s">
        <v>245</v>
      </c>
      <c r="E420" s="56">
        <v>-390.0</v>
      </c>
      <c r="F420" s="218">
        <v>18.19</v>
      </c>
      <c r="G420" s="132">
        <v>7094.1</v>
      </c>
      <c r="H420" s="348" t="s">
        <v>1483</v>
      </c>
      <c r="I420" s="134">
        <f t="shared" ref="I420:J420" si="424">IFS(AND($B420&lt;&gt;"",$E420&lt;&gt;""),IF(INDEX(N:N,MATCH($C420,$P:$P,0),1)&lt;&gt;"",$E420*INDEX(N:N,MATCH($C420,$P:$P,0),1)+$G420,""),AND($B420&lt;&gt;"",$D420="COST"),$G420,TRUE,)</f>
        <v>140.79</v>
      </c>
      <c r="J420" s="134" t="str">
        <f t="shared" si="424"/>
        <v/>
      </c>
      <c r="K420" s="219" t="str">
        <f t="shared" si="3"/>
        <v>iShares Diversified Commodity Swap UCITS ETF DE</v>
      </c>
      <c r="L420" s="150">
        <f t="shared" si="4"/>
        <v>0</v>
      </c>
      <c r="M420" s="150">
        <f t="shared" si="5"/>
        <v>-296.42</v>
      </c>
      <c r="N420" s="139" t="str">
        <f t="array" ref="N420">IF($P420&lt;&gt;"",IF(MAXIFS(Investment!$L:$L,Investment!$D:$D,LEFT($P420,40)&amp;"*"),MAXIFS(Investment!$L:$L,Investment!$D:$D,LEFT($P420,40)&amp;"*"),IFERROR(INDEX(Selection!$H:$H, MATCH($P420,Selection!$F:$F,0))/IF(OR(INDEX(Selection!$C:$C, MATCH($P420,Selection!$F:$F,0))="LN",INDEX(Selection!$C:$C, MATCH($P420,Selection!$F:$F,0))="US"),Investment!$K$7,1),"")),"")</f>
        <v/>
      </c>
      <c r="O420" s="144" t="str">
        <f>IF($P420&lt;&gt;"",IF(MAXIFS(Investment!$AG:$AG,Investment!$D:$D,LEFT($P420,40)&amp;"*"),MAXIFS(Investment!$AG:$AG,Investment!$D:$D,LEFT($P420,40)&amp;"*"),""),"")</f>
        <v/>
      </c>
      <c r="P420" s="135"/>
      <c r="Q420" s="150"/>
      <c r="R420" s="329"/>
    </row>
    <row r="421">
      <c r="A421" s="125">
        <v>42919.0</v>
      </c>
      <c r="B421" s="56" t="s">
        <v>277</v>
      </c>
      <c r="C421" s="343" t="s">
        <v>845</v>
      </c>
      <c r="D421" s="56" t="s">
        <v>245</v>
      </c>
      <c r="E421" s="56">
        <v>-146.0</v>
      </c>
      <c r="F421" s="218">
        <v>93.62</v>
      </c>
      <c r="G421" s="132">
        <v>13669.24</v>
      </c>
      <c r="H421" s="348" t="s">
        <v>1484</v>
      </c>
      <c r="I421" s="134">
        <f t="shared" ref="I421:J421" si="425">IFS(AND($B421&lt;&gt;"",$E421&lt;&gt;""),IF(INDEX(N:N,MATCH($C421,$P:$P,0),1)&lt;&gt;"",$E421*INDEX(N:N,MATCH($C421,$P:$P,0),1)+$G421,""),AND($B421&lt;&gt;"",$D421="COST"),$G421,TRUE,)</f>
        <v>-188.8055678</v>
      </c>
      <c r="J421" s="134" t="str">
        <f t="shared" si="425"/>
        <v/>
      </c>
      <c r="K421" s="219" t="str">
        <f t="shared" si="3"/>
        <v>iShares 7-10 Year Treasury Bond ETF</v>
      </c>
      <c r="L421" s="150">
        <f t="shared" si="4"/>
        <v>0</v>
      </c>
      <c r="M421" s="150">
        <f t="shared" si="5"/>
        <v>-345.82</v>
      </c>
      <c r="N421" s="139" t="str">
        <f t="array" ref="N421">IF($P421&lt;&gt;"",IF(MAXIFS(Investment!$L:$L,Investment!$D:$D,LEFT($P421,40)&amp;"*"),MAXIFS(Investment!$L:$L,Investment!$D:$D,LEFT($P421,40)&amp;"*"),IFERROR(INDEX(Selection!$H:$H, MATCH($P421,Selection!$F:$F,0))/IF(OR(INDEX(Selection!$C:$C, MATCH($P421,Selection!$F:$F,0))="LN",INDEX(Selection!$C:$C, MATCH($P421,Selection!$F:$F,0))="US"),Investment!$K$7,1),"")),"")</f>
        <v/>
      </c>
      <c r="O421" s="144" t="str">
        <f>IF($P421&lt;&gt;"",IF(MAXIFS(Investment!$AG:$AG,Investment!$D:$D,LEFT($P421,40)&amp;"*"),MAXIFS(Investment!$AG:$AG,Investment!$D:$D,LEFT($P421,40)&amp;"*"),""),"")</f>
        <v/>
      </c>
      <c r="P421" s="328"/>
      <c r="R421" s="53"/>
    </row>
    <row r="422">
      <c r="A422" s="125">
        <v>42919.0</v>
      </c>
      <c r="B422" s="56" t="s">
        <v>361</v>
      </c>
      <c r="C422" s="343" t="s">
        <v>989</v>
      </c>
      <c r="D422" s="56" t="s">
        <v>222</v>
      </c>
      <c r="E422" s="56">
        <v>122.0</v>
      </c>
      <c r="F422" s="218">
        <v>10.38</v>
      </c>
      <c r="G422" s="132">
        <v>-1266.54</v>
      </c>
      <c r="H422" s="328" t="s">
        <v>1485</v>
      </c>
      <c r="I422" s="134">
        <f t="shared" ref="I422:J422" si="426">IFS(AND($B422&lt;&gt;"",$E422&lt;&gt;""),IF(INDEX(N:N,MATCH($C422,$P:$P,0),1)&lt;&gt;"",$E422*INDEX(N:N,MATCH($C422,$P:$P,0),1)+$G422,""),AND($B422&lt;&gt;"",$D422="COST"),$G422,TRUE,)</f>
        <v>84.18979708</v>
      </c>
      <c r="J422" s="134" t="str">
        <f t="shared" si="426"/>
        <v/>
      </c>
      <c r="K422" s="219" t="str">
        <f t="shared" si="3"/>
        <v>iShares Gold Trust</v>
      </c>
      <c r="L422" s="150">
        <f t="shared" si="4"/>
        <v>0</v>
      </c>
      <c r="M422" s="150">
        <f t="shared" si="5"/>
        <v>140.23</v>
      </c>
      <c r="N422" s="139" t="str">
        <f t="array" ref="N422">IF($P422&lt;&gt;"",IF(MAXIFS(Investment!$L:$L,Investment!$D:$D,LEFT($P422,40)&amp;"*"),MAXIFS(Investment!$L:$L,Investment!$D:$D,LEFT($P422,40)&amp;"*"),IFERROR(INDEX(Selection!$H:$H, MATCH($P422,Selection!$F:$F,0))/IF(OR(INDEX(Selection!$C:$C, MATCH($P422,Selection!$F:$F,0))="LN",INDEX(Selection!$C:$C, MATCH($P422,Selection!$F:$F,0))="US"),Investment!$K$7,1),"")),"")</f>
        <v/>
      </c>
      <c r="O422" s="144" t="str">
        <f>IF($P422&lt;&gt;"",IF(MAXIFS(Investment!$AG:$AG,Investment!$D:$D,LEFT($P422,40)&amp;"*"),MAXIFS(Investment!$AG:$AG,Investment!$D:$D,LEFT($P422,40)&amp;"*"),""),"")</f>
        <v/>
      </c>
      <c r="P422" s="328"/>
      <c r="R422" s="53"/>
    </row>
    <row r="423">
      <c r="A423" s="125">
        <v>42919.0</v>
      </c>
      <c r="B423" s="56" t="s">
        <v>307</v>
      </c>
      <c r="C423" s="343" t="s">
        <v>745</v>
      </c>
      <c r="D423" s="56" t="s">
        <v>245</v>
      </c>
      <c r="E423" s="56">
        <v>-251.0</v>
      </c>
      <c r="F423" s="218">
        <v>109.93</v>
      </c>
      <c r="G423" s="132">
        <v>27592.74</v>
      </c>
      <c r="H423" s="328" t="s">
        <v>1486</v>
      </c>
      <c r="I423" s="134">
        <f t="shared" ref="I423:J423" si="427">IFS(AND($B423&lt;&gt;"",$E423&lt;&gt;""),IF(INDEX(N:N,MATCH($C423,$P:$P,0),1)&lt;&gt;"",$E423*INDEX(N:N,MATCH($C423,$P:$P,0),1)+$G423,""),AND($B423&lt;&gt;"",$D423="COST"),$G423,TRUE,)</f>
        <v>-4530.613507</v>
      </c>
      <c r="J423" s="134" t="str">
        <f t="shared" si="427"/>
        <v/>
      </c>
      <c r="K423" s="219" t="str">
        <f t="shared" si="3"/>
        <v>Vanguard Total Stock Market ETF</v>
      </c>
      <c r="L423" s="150">
        <f t="shared" si="4"/>
        <v>0</v>
      </c>
      <c r="M423" s="150">
        <f t="shared" si="5"/>
        <v>1880.34</v>
      </c>
      <c r="N423" s="139" t="str">
        <f t="array" ref="N423">IF($P423&lt;&gt;"",IF(MAXIFS(Investment!$L:$L,Investment!$D:$D,LEFT($P423,40)&amp;"*"),MAXIFS(Investment!$L:$L,Investment!$D:$D,LEFT($P423,40)&amp;"*"),IFERROR(INDEX(Selection!$H:$H, MATCH($P423,Selection!$F:$F,0))/IF(OR(INDEX(Selection!$C:$C, MATCH($P423,Selection!$F:$F,0))="LN",INDEX(Selection!$C:$C, MATCH($P423,Selection!$F:$F,0))="US"),Investment!$K$7,1),"")),"")</f>
        <v/>
      </c>
      <c r="O423" s="144" t="str">
        <f>IF($P423&lt;&gt;"",IF(MAXIFS(Investment!$AG:$AG,Investment!$D:$D,LEFT($P423,40)&amp;"*"),MAXIFS(Investment!$AG:$AG,Investment!$D:$D,LEFT($P423,40)&amp;"*"),""),"")</f>
        <v/>
      </c>
      <c r="P423" s="328"/>
      <c r="R423" s="53"/>
    </row>
    <row r="424">
      <c r="A424" s="125">
        <v>42919.0</v>
      </c>
      <c r="B424" s="56" t="s">
        <v>243</v>
      </c>
      <c r="C424" s="343" t="s">
        <v>588</v>
      </c>
      <c r="D424" s="56" t="s">
        <v>222</v>
      </c>
      <c r="E424" s="56">
        <v>67.0</v>
      </c>
      <c r="F424" s="218">
        <v>103.88</v>
      </c>
      <c r="G424" s="132">
        <v>-6959.73</v>
      </c>
      <c r="H424" s="328" t="s">
        <v>1487</v>
      </c>
      <c r="I424" s="134">
        <f t="shared" ref="I424:J424" si="428">IFS(AND($B424&lt;&gt;"",$E424&lt;&gt;""),IF(INDEX(N:N,MATCH($C424,$P:$P,0),1)&lt;&gt;"",$E424*INDEX(N:N,MATCH($C424,$P:$P,0),1)+$G424,""),AND($B424&lt;&gt;"",$D424="COST"),$G424,TRUE,)</f>
        <v>128.4597472</v>
      </c>
      <c r="J424" s="134" t="str">
        <f t="shared" si="428"/>
        <v/>
      </c>
      <c r="K424" s="219" t="str">
        <f t="shared" si="3"/>
        <v>Vanguard Extended Duration Treasury ETF</v>
      </c>
      <c r="L424" s="150">
        <f t="shared" si="4"/>
        <v>0</v>
      </c>
      <c r="M424" s="150">
        <f t="shared" si="5"/>
        <v>-4941.36</v>
      </c>
      <c r="N424" s="139" t="str">
        <f t="array" ref="N424">IF($P424&lt;&gt;"",IF(MAXIFS(Investment!$L:$L,Investment!$D:$D,LEFT($P424,40)&amp;"*"),MAXIFS(Investment!$L:$L,Investment!$D:$D,LEFT($P424,40)&amp;"*"),IFERROR(INDEX(Selection!$H:$H, MATCH($P424,Selection!$F:$F,0))/IF(OR(INDEX(Selection!$C:$C, MATCH($P424,Selection!$F:$F,0))="LN",INDEX(Selection!$C:$C, MATCH($P424,Selection!$F:$F,0))="US"),Investment!$K$7,1),"")),"")</f>
        <v/>
      </c>
      <c r="O424" s="144" t="str">
        <f>IF($P424&lt;&gt;"",IF(MAXIFS(Investment!$AG:$AG,Investment!$D:$D,LEFT($P424,40)&amp;"*"),MAXIFS(Investment!$AG:$AG,Investment!$D:$D,LEFT($P424,40)&amp;"*"),""),"")</f>
        <v/>
      </c>
      <c r="P424" s="328"/>
      <c r="R424" s="53"/>
    </row>
    <row r="425">
      <c r="A425" s="125">
        <v>42915.0</v>
      </c>
      <c r="B425" s="127" t="s">
        <v>307</v>
      </c>
      <c r="C425" s="133" t="s">
        <v>745</v>
      </c>
      <c r="D425" s="264" t="s">
        <v>390</v>
      </c>
      <c r="E425" s="264"/>
      <c r="F425" s="218"/>
      <c r="G425" s="132">
        <v>-14.95</v>
      </c>
      <c r="H425" s="133" t="s">
        <v>1488</v>
      </c>
      <c r="I425" s="134" t="str">
        <f t="shared" ref="I425:J425" si="429">IFS(AND($B425&lt;&gt;"",$E425&lt;&gt;""),IF(INDEX(N:N,MATCH($C425,$P:$P,0),1)&lt;&gt;"",$E425*INDEX(N:N,MATCH($C425,$P:$P,0),1)+$G425,""),AND($B425&lt;&gt;"",$D425="COST"),$G425,TRUE,)</f>
        <v/>
      </c>
      <c r="J425" s="134" t="str">
        <f t="shared" si="429"/>
        <v/>
      </c>
      <c r="K425" s="219" t="str">
        <f t="shared" si="3"/>
        <v>Vanguard Total Stock Market ETF</v>
      </c>
      <c r="L425" s="150">
        <f t="shared" si="4"/>
        <v>0</v>
      </c>
      <c r="M425" s="150">
        <f t="shared" si="5"/>
        <v>1880.34</v>
      </c>
      <c r="N425" s="139" t="str">
        <f t="array" ref="N425">IF($P425&lt;&gt;"",IF(MAXIFS(Investment!$L:$L,Investment!$D:$D,LEFT($P425,40)&amp;"*"),MAXIFS(Investment!$L:$L,Investment!$D:$D,LEFT($P425,40)&amp;"*"),IFERROR(INDEX(Selection!$H:$H, MATCH($P425,Selection!$F:$F,0))/IF(OR(INDEX(Selection!$C:$C, MATCH($P425,Selection!$F:$F,0))="LN",INDEX(Selection!$C:$C, MATCH($P425,Selection!$F:$F,0))="US"),Investment!$K$7,1),"")),"")</f>
        <v/>
      </c>
      <c r="O425" s="144" t="str">
        <f>IF($P425&lt;&gt;"",IF(MAXIFS(Investment!$AG:$AG,Investment!$D:$D,LEFT($P425,40)&amp;"*"),MAXIFS(Investment!$AG:$AG,Investment!$D:$D,LEFT($P425,40)&amp;"*"),""),"")</f>
        <v/>
      </c>
      <c r="P425" s="328"/>
      <c r="R425" s="53"/>
    </row>
    <row r="426">
      <c r="A426" s="125">
        <v>42914.0</v>
      </c>
      <c r="B426" s="127" t="s">
        <v>307</v>
      </c>
      <c r="C426" s="133" t="s">
        <v>745</v>
      </c>
      <c r="D426" s="264" t="s">
        <v>390</v>
      </c>
      <c r="E426" s="264"/>
      <c r="F426" s="218"/>
      <c r="G426" s="132">
        <v>122.68</v>
      </c>
      <c r="H426" s="133" t="s">
        <v>1489</v>
      </c>
      <c r="I426" s="134" t="str">
        <f t="shared" ref="I426:J426" si="430">IFS(AND($B426&lt;&gt;"",$E426&lt;&gt;""),IF(INDEX(N:N,MATCH($C426,$P:$P,0),1)&lt;&gt;"",$E426*INDEX(N:N,MATCH($C426,$P:$P,0),1)+$G426,""),AND($B426&lt;&gt;"",$D426="COST"),$G426,TRUE,)</f>
        <v/>
      </c>
      <c r="J426" s="134" t="str">
        <f t="shared" si="430"/>
        <v/>
      </c>
      <c r="K426" s="219" t="str">
        <f t="shared" si="3"/>
        <v>Vanguard Total Stock Market ETF</v>
      </c>
      <c r="L426" s="150">
        <f t="shared" si="4"/>
        <v>0</v>
      </c>
      <c r="M426" s="150">
        <f t="shared" si="5"/>
        <v>1880.34</v>
      </c>
      <c r="N426" s="139" t="str">
        <f t="array" ref="N426">IF($P426&lt;&gt;"",IF(MAXIFS(Investment!$L:$L,Investment!$D:$D,LEFT($P426,40)&amp;"*"),MAXIFS(Investment!$L:$L,Investment!$D:$D,LEFT($P426,40)&amp;"*"),IFERROR(INDEX(Selection!$H:$H, MATCH($P426,Selection!$F:$F,0))/IF(OR(INDEX(Selection!$C:$C, MATCH($P426,Selection!$F:$F,0))="LN",INDEX(Selection!$C:$C, MATCH($P426,Selection!$F:$F,0))="US"),Investment!$K$7,1),"")),"")</f>
        <v/>
      </c>
      <c r="O426" s="144" t="str">
        <f>IF($P426&lt;&gt;"",IF(MAXIFS(Investment!$AG:$AG,Investment!$D:$D,LEFT($P426,40)&amp;"*"),MAXIFS(Investment!$AG:$AG,Investment!$D:$D,LEFT($P426,40)&amp;"*"),""),"")</f>
        <v/>
      </c>
      <c r="P426" s="135"/>
      <c r="Q426" s="150"/>
      <c r="R426" s="329"/>
    </row>
    <row r="427">
      <c r="A427" s="125">
        <v>42901.0</v>
      </c>
      <c r="B427" s="56" t="s">
        <v>217</v>
      </c>
      <c r="C427" s="343" t="s">
        <v>959</v>
      </c>
      <c r="D427" s="56" t="s">
        <v>222</v>
      </c>
      <c r="E427" s="56">
        <v>111.0</v>
      </c>
      <c r="F427" s="218">
        <v>18.09</v>
      </c>
      <c r="G427" s="132">
        <v>-2007.99</v>
      </c>
      <c r="H427" s="328" t="s">
        <v>1490</v>
      </c>
      <c r="I427" s="134">
        <f t="shared" ref="I427:J427" si="431">IFS(AND($B427&lt;&gt;"",$E427&lt;&gt;""),IF(INDEX(N:N,MATCH($C427,$P:$P,0),1)&lt;&gt;"",$E427*INDEX(N:N,MATCH($C427,$P:$P,0),1)+$G427,""),AND($B427&lt;&gt;"",$D427="COST"),$G427,TRUE,)</f>
        <v>-28.971</v>
      </c>
      <c r="J427" s="134" t="str">
        <f t="shared" si="431"/>
        <v/>
      </c>
      <c r="K427" s="219" t="str">
        <f t="shared" si="3"/>
        <v>iShares Diversified Commodity Swap UCITS ETF DE</v>
      </c>
      <c r="L427" s="150">
        <f t="shared" si="4"/>
        <v>0</v>
      </c>
      <c r="M427" s="150">
        <f t="shared" si="5"/>
        <v>-296.42</v>
      </c>
      <c r="N427" s="139" t="str">
        <f t="array" ref="N427">IF($P427&lt;&gt;"",IF(MAXIFS(Investment!$L:$L,Investment!$D:$D,LEFT($P427,40)&amp;"*"),MAXIFS(Investment!$L:$L,Investment!$D:$D,LEFT($P427,40)&amp;"*"),IFERROR(INDEX(Selection!$H:$H, MATCH($P427,Selection!$F:$F,0))/IF(OR(INDEX(Selection!$C:$C, MATCH($P427,Selection!$F:$F,0))="LN",INDEX(Selection!$C:$C, MATCH($P427,Selection!$F:$F,0))="US"),Investment!$K$7,1),"")),"")</f>
        <v/>
      </c>
      <c r="O427" s="144" t="str">
        <f>IF($P427&lt;&gt;"",IF(MAXIFS(Investment!$AG:$AG,Investment!$D:$D,LEFT($P427,40)&amp;"*"),MAXIFS(Investment!$AG:$AG,Investment!$D:$D,LEFT($P427,40)&amp;"*"),""),"")</f>
        <v/>
      </c>
      <c r="P427" s="135"/>
      <c r="Q427" s="150"/>
      <c r="R427" s="329"/>
    </row>
    <row r="428">
      <c r="A428" s="125">
        <v>42901.0</v>
      </c>
      <c r="B428" s="56" t="s">
        <v>307</v>
      </c>
      <c r="C428" s="343" t="s">
        <v>745</v>
      </c>
      <c r="D428" s="56" t="s">
        <v>222</v>
      </c>
      <c r="E428" s="56">
        <v>60.0</v>
      </c>
      <c r="F428" s="218">
        <v>112.02</v>
      </c>
      <c r="G428" s="132">
        <v>-6721.09</v>
      </c>
      <c r="H428" s="328" t="s">
        <v>1491</v>
      </c>
      <c r="I428" s="134">
        <f t="shared" ref="I428:J428" si="432">IFS(AND($B428&lt;&gt;"",$E428&lt;&gt;""),IF(INDEX(N:N,MATCH($C428,$P:$P,0),1)&lt;&gt;"",$E428*INDEX(N:N,MATCH($C428,$P:$P,0),1)+$G428,""),AND($B428&lt;&gt;"",$D428="COST"),$G428,TRUE,)</f>
        <v>957.7992844</v>
      </c>
      <c r="J428" s="134" t="str">
        <f t="shared" si="432"/>
        <v/>
      </c>
      <c r="K428" s="219" t="str">
        <f t="shared" si="3"/>
        <v>Vanguard Total Stock Market ETF</v>
      </c>
      <c r="L428" s="150">
        <f t="shared" si="4"/>
        <v>0</v>
      </c>
      <c r="M428" s="150">
        <f t="shared" si="5"/>
        <v>1880.34</v>
      </c>
      <c r="N428" s="139" t="str">
        <f t="array" ref="N428">IF($P428&lt;&gt;"",IF(MAXIFS(Investment!$L:$L,Investment!$D:$D,LEFT($P428,40)&amp;"*"),MAXIFS(Investment!$L:$L,Investment!$D:$D,LEFT($P428,40)&amp;"*"),IFERROR(INDEX(Selection!$H:$H, MATCH($P428,Selection!$F:$F,0))/IF(OR(INDEX(Selection!$C:$C, MATCH($P428,Selection!$F:$F,0))="LN",INDEX(Selection!$C:$C, MATCH($P428,Selection!$F:$F,0))="US"),Investment!$K$7,1),"")),"")</f>
        <v/>
      </c>
      <c r="O428" s="144" t="str">
        <f>IF($P428&lt;&gt;"",IF(MAXIFS(Investment!$AG:$AG,Investment!$D:$D,LEFT($P428,40)&amp;"*"),MAXIFS(Investment!$AG:$AG,Investment!$D:$D,LEFT($P428,40)&amp;"*"),""),"")</f>
        <v/>
      </c>
      <c r="P428" s="328"/>
      <c r="R428" s="53"/>
    </row>
    <row r="429">
      <c r="A429" s="125">
        <v>42901.0</v>
      </c>
      <c r="B429" s="56" t="s">
        <v>277</v>
      </c>
      <c r="C429" s="343" t="s">
        <v>845</v>
      </c>
      <c r="D429" s="56" t="s">
        <v>222</v>
      </c>
      <c r="E429" s="56">
        <v>36.0</v>
      </c>
      <c r="F429" s="218">
        <v>96.68</v>
      </c>
      <c r="G429" s="132">
        <v>-3480.61</v>
      </c>
      <c r="H429" s="328" t="s">
        <v>1492</v>
      </c>
      <c r="I429" s="134">
        <f t="shared" ref="I429:J429" si="433">IFS(AND($B429&lt;&gt;"",$E429&lt;&gt;""),IF(INDEX(N:N,MATCH($C429,$P:$P,0),1)&lt;&gt;"",$E429*INDEX(N:N,MATCH($C429,$P:$P,0),1)+$G429,""),AND($B429&lt;&gt;"",$D429="COST"),$G429,TRUE,)</f>
        <v>-63.55766821</v>
      </c>
      <c r="J429" s="134" t="str">
        <f t="shared" si="433"/>
        <v/>
      </c>
      <c r="K429" s="219" t="str">
        <f t="shared" si="3"/>
        <v>iShares 7-10 Year Treasury Bond ETF</v>
      </c>
      <c r="L429" s="150">
        <f t="shared" si="4"/>
        <v>0</v>
      </c>
      <c r="M429" s="150">
        <f t="shared" si="5"/>
        <v>-345.82</v>
      </c>
      <c r="N429" s="139" t="str">
        <f t="array" ref="N429">IF($P429&lt;&gt;"",IF(MAXIFS(Investment!$L:$L,Investment!$D:$D,LEFT($P429,40)&amp;"*"),MAXIFS(Investment!$L:$L,Investment!$D:$D,LEFT($P429,40)&amp;"*"),IFERROR(INDEX(Selection!$H:$H, MATCH($P429,Selection!$F:$F,0))/IF(OR(INDEX(Selection!$C:$C, MATCH($P429,Selection!$F:$F,0))="LN",INDEX(Selection!$C:$C, MATCH($P429,Selection!$F:$F,0))="US"),Investment!$K$7,1),"")),"")</f>
        <v/>
      </c>
      <c r="O429" s="144" t="str">
        <f>IF($P429&lt;&gt;"",IF(MAXIFS(Investment!$AG:$AG,Investment!$D:$D,LEFT($P429,40)&amp;"*"),MAXIFS(Investment!$AG:$AG,Investment!$D:$D,LEFT($P429,40)&amp;"*"),""),"")</f>
        <v/>
      </c>
      <c r="P429" s="328"/>
      <c r="R429" s="53"/>
    </row>
    <row r="430">
      <c r="A430" s="125">
        <v>42901.0</v>
      </c>
      <c r="B430" s="56" t="s">
        <v>243</v>
      </c>
      <c r="C430" s="343" t="s">
        <v>588</v>
      </c>
      <c r="D430" s="56" t="s">
        <v>222</v>
      </c>
      <c r="E430" s="56">
        <v>66.0</v>
      </c>
      <c r="F430" s="218">
        <v>107.07</v>
      </c>
      <c r="G430" s="132">
        <v>-7066.71</v>
      </c>
      <c r="H430" s="328" t="s">
        <v>1493</v>
      </c>
      <c r="I430" s="134">
        <f t="shared" ref="I430:J430" si="434">IFS(AND($B430&lt;&gt;"",$E430&lt;&gt;""),IF(INDEX(N:N,MATCH($C430,$P:$P,0),1)&lt;&gt;"",$E430*INDEX(N:N,MATCH($C430,$P:$P,0),1)+$G430,""),AND($B430&lt;&gt;"",$D430="COST"),$G430,TRUE,)</f>
        <v>-84.31412958</v>
      </c>
      <c r="J430" s="134" t="str">
        <f t="shared" si="434"/>
        <v/>
      </c>
      <c r="K430" s="219" t="str">
        <f t="shared" si="3"/>
        <v>Vanguard Extended Duration Treasury ETF</v>
      </c>
      <c r="L430" s="150">
        <f t="shared" si="4"/>
        <v>0</v>
      </c>
      <c r="M430" s="150">
        <f t="shared" si="5"/>
        <v>-4941.36</v>
      </c>
      <c r="N430" s="139" t="str">
        <f t="array" ref="N430">IF($P430&lt;&gt;"",IF(MAXIFS(Investment!$L:$L,Investment!$D:$D,LEFT($P430,40)&amp;"*"),MAXIFS(Investment!$L:$L,Investment!$D:$D,LEFT($P430,40)&amp;"*"),IFERROR(INDEX(Selection!$H:$H, MATCH($P430,Selection!$F:$F,0))/IF(OR(INDEX(Selection!$C:$C, MATCH($P430,Selection!$F:$F,0))="LN",INDEX(Selection!$C:$C, MATCH($P430,Selection!$F:$F,0))="US"),Investment!$K$7,1),"")),"")</f>
        <v/>
      </c>
      <c r="O430" s="144" t="str">
        <f>IF($P430&lt;&gt;"",IF(MAXIFS(Investment!$AG:$AG,Investment!$D:$D,LEFT($P430,40)&amp;"*"),MAXIFS(Investment!$AG:$AG,Investment!$D:$D,LEFT($P430,40)&amp;"*"),""),"")</f>
        <v/>
      </c>
      <c r="P430" s="328"/>
      <c r="R430" s="53"/>
    </row>
    <row r="431">
      <c r="A431" s="125">
        <v>42901.0</v>
      </c>
      <c r="B431" s="56" t="s">
        <v>361</v>
      </c>
      <c r="C431" s="343" t="s">
        <v>989</v>
      </c>
      <c r="D431" s="56" t="s">
        <v>222</v>
      </c>
      <c r="E431" s="56">
        <v>167.0</v>
      </c>
      <c r="F431" s="218">
        <v>10.83</v>
      </c>
      <c r="G431" s="132">
        <v>-1808.18</v>
      </c>
      <c r="H431" s="328" t="s">
        <v>1494</v>
      </c>
      <c r="I431" s="134">
        <f t="shared" ref="I431:J431" si="435">IFS(AND($B431&lt;&gt;"",$E431&lt;&gt;""),IF(INDEX(N:N,MATCH($C431,$P:$P,0),1)&lt;&gt;"",$E431*INDEX(N:N,MATCH($C431,$P:$P,0),1)+$G431,""),AND($B431&lt;&gt;"",$D431="COST"),$G431,TRUE,)</f>
        <v>40.7698042</v>
      </c>
      <c r="J431" s="134" t="str">
        <f t="shared" si="435"/>
        <v/>
      </c>
      <c r="K431" s="219" t="str">
        <f t="shared" si="3"/>
        <v>iShares Gold Trust</v>
      </c>
      <c r="L431" s="150">
        <f t="shared" si="4"/>
        <v>0</v>
      </c>
      <c r="M431" s="150">
        <f t="shared" si="5"/>
        <v>140.23</v>
      </c>
      <c r="N431" s="139" t="str">
        <f t="array" ref="N431">IF($P431&lt;&gt;"",IF(MAXIFS(Investment!$L:$L,Investment!$D:$D,LEFT($P431,40)&amp;"*"),MAXIFS(Investment!$L:$L,Investment!$D:$D,LEFT($P431,40)&amp;"*"),IFERROR(INDEX(Selection!$H:$H, MATCH($P431,Selection!$F:$F,0))/IF(OR(INDEX(Selection!$C:$C, MATCH($P431,Selection!$F:$F,0))="LN",INDEX(Selection!$C:$C, MATCH($P431,Selection!$F:$F,0))="US"),Investment!$K$7,1),"")),"")</f>
        <v/>
      </c>
      <c r="O431" s="144" t="str">
        <f>IF($P431&lt;&gt;"",IF(MAXIFS(Investment!$AG:$AG,Investment!$D:$D,LEFT($P431,40)&amp;"*"),MAXIFS(Investment!$AG:$AG,Investment!$D:$D,LEFT($P431,40)&amp;"*"),""),"")</f>
        <v/>
      </c>
      <c r="P431" s="328"/>
      <c r="R431" s="53"/>
    </row>
    <row r="432">
      <c r="A432" s="125">
        <v>42895.0</v>
      </c>
      <c r="B432" s="127" t="s">
        <v>277</v>
      </c>
      <c r="C432" s="133" t="s">
        <v>845</v>
      </c>
      <c r="D432" s="264" t="s">
        <v>390</v>
      </c>
      <c r="E432" s="264"/>
      <c r="F432" s="218"/>
      <c r="G432" s="132">
        <v>-1.66</v>
      </c>
      <c r="H432" s="133" t="s">
        <v>1495</v>
      </c>
      <c r="I432" s="134" t="str">
        <f t="shared" ref="I432:J432" si="436">IFS(AND($B432&lt;&gt;"",$E432&lt;&gt;""),IF(INDEX(N:N,MATCH($C432,$P:$P,0),1)&lt;&gt;"",$E432*INDEX(N:N,MATCH($C432,$P:$P,0),1)+$G432,""),AND($B432&lt;&gt;"",$D432="COST"),$G432,TRUE,)</f>
        <v/>
      </c>
      <c r="J432" s="134" t="str">
        <f t="shared" si="436"/>
        <v/>
      </c>
      <c r="K432" s="219" t="str">
        <f t="shared" si="3"/>
        <v>iShares 7-10 Year Treasury Bond ETF</v>
      </c>
      <c r="L432" s="150">
        <f t="shared" si="4"/>
        <v>0</v>
      </c>
      <c r="M432" s="150">
        <f t="shared" si="5"/>
        <v>-345.82</v>
      </c>
      <c r="N432" s="139" t="str">
        <f t="array" ref="N432">IF($P432&lt;&gt;"",IF(MAXIFS(Investment!$L:$L,Investment!$D:$D,LEFT($P432,40)&amp;"*"),MAXIFS(Investment!$L:$L,Investment!$D:$D,LEFT($P432,40)&amp;"*"),IFERROR(INDEX(Selection!$H:$H, MATCH($P432,Selection!$F:$F,0))/IF(OR(INDEX(Selection!$C:$C, MATCH($P432,Selection!$F:$F,0))="LN",INDEX(Selection!$C:$C, MATCH($P432,Selection!$F:$F,0))="US"),Investment!$K$7,1),"")),"")</f>
        <v/>
      </c>
      <c r="O432" s="144" t="str">
        <f>IF($P432&lt;&gt;"",IF(MAXIFS(Investment!$AG:$AG,Investment!$D:$D,LEFT($P432,40)&amp;"*"),MAXIFS(Investment!$AG:$AG,Investment!$D:$D,LEFT($P432,40)&amp;"*"),""),"")</f>
        <v/>
      </c>
      <c r="P432" s="328"/>
      <c r="R432" s="53"/>
    </row>
    <row r="433">
      <c r="A433" s="125">
        <v>42894.0</v>
      </c>
      <c r="B433" s="127" t="s">
        <v>277</v>
      </c>
      <c r="C433" s="133" t="s">
        <v>845</v>
      </c>
      <c r="D433" s="264" t="s">
        <v>390</v>
      </c>
      <c r="E433" s="264"/>
      <c r="F433" s="218"/>
      <c r="G433" s="132">
        <v>15.3</v>
      </c>
      <c r="H433" s="133" t="s">
        <v>1496</v>
      </c>
      <c r="I433" s="134" t="str">
        <f t="shared" ref="I433:J433" si="437">IFS(AND($B433&lt;&gt;"",$E433&lt;&gt;""),IF(INDEX(N:N,MATCH($C433,$P:$P,0),1)&lt;&gt;"",$E433*INDEX(N:N,MATCH($C433,$P:$P,0),1)+$G433,""),AND($B433&lt;&gt;"",$D433="COST"),$G433,TRUE,)</f>
        <v/>
      </c>
      <c r="J433" s="134" t="str">
        <f t="shared" si="437"/>
        <v/>
      </c>
      <c r="K433" s="219" t="str">
        <f t="shared" si="3"/>
        <v>iShares 7-10 Year Treasury Bond ETF</v>
      </c>
      <c r="L433" s="150">
        <f t="shared" si="4"/>
        <v>0</v>
      </c>
      <c r="M433" s="150">
        <f t="shared" si="5"/>
        <v>-345.82</v>
      </c>
      <c r="N433" s="139" t="str">
        <f t="array" ref="N433">IF($P433&lt;&gt;"",IF(MAXIFS(Investment!$L:$L,Investment!$D:$D,LEFT($P433,40)&amp;"*"),MAXIFS(Investment!$L:$L,Investment!$D:$D,LEFT($P433,40)&amp;"*"),IFERROR(INDEX(Selection!$H:$H, MATCH($P433,Selection!$F:$F,0))/IF(OR(INDEX(Selection!$C:$C, MATCH($P433,Selection!$F:$F,0))="LN",INDEX(Selection!$C:$C, MATCH($P433,Selection!$F:$F,0))="US"),Investment!$K$7,1),"")),"")</f>
        <v/>
      </c>
      <c r="O433" s="144" t="str">
        <f>IF($P433&lt;&gt;"",IF(MAXIFS(Investment!$AG:$AG,Investment!$D:$D,LEFT($P433,40)&amp;"*"),MAXIFS(Investment!$AG:$AG,Investment!$D:$D,LEFT($P433,40)&amp;"*"),""),"")</f>
        <v/>
      </c>
      <c r="P433" s="135"/>
      <c r="Q433" s="150"/>
      <c r="R433" s="329"/>
    </row>
    <row r="434">
      <c r="A434" s="125">
        <v>42887.0</v>
      </c>
      <c r="B434" s="127"/>
      <c r="C434" s="133"/>
      <c r="D434" s="264" t="s">
        <v>263</v>
      </c>
      <c r="E434" s="264"/>
      <c r="F434" s="218"/>
      <c r="G434" s="132">
        <v>-5.0</v>
      </c>
      <c r="H434" s="133" t="s">
        <v>489</v>
      </c>
      <c r="I434" s="134" t="str">
        <f t="shared" ref="I434:J434" si="438">IFS(AND($B434&lt;&gt;"",$E434&lt;&gt;""),IF(INDEX(N:N,MATCH($C434,$P:$P,0),1)&lt;&gt;"",$E434*INDEX(N:N,MATCH($C434,$P:$P,0),1)+$G434,""),AND($B434&lt;&gt;"",$D434="COST"),$G434,TRUE,)</f>
        <v/>
      </c>
      <c r="J434" s="134" t="str">
        <f t="shared" si="438"/>
        <v/>
      </c>
      <c r="K434" s="219" t="str">
        <f t="shared" si="3"/>
        <v/>
      </c>
      <c r="L434" s="150" t="str">
        <f t="shared" si="4"/>
        <v/>
      </c>
      <c r="M434" s="150" t="str">
        <f t="shared" si="5"/>
        <v/>
      </c>
      <c r="N434" s="139" t="str">
        <f t="array" ref="N434">IF($P434&lt;&gt;"",IF(MAXIFS(Investment!$L:$L,Investment!$D:$D,LEFT($P434,40)&amp;"*"),MAXIFS(Investment!$L:$L,Investment!$D:$D,LEFT($P434,40)&amp;"*"),IFERROR(INDEX(Selection!$H:$H, MATCH($P434,Selection!$F:$F,0))/IF(OR(INDEX(Selection!$C:$C, MATCH($P434,Selection!$F:$F,0))="LN",INDEX(Selection!$C:$C, MATCH($P434,Selection!$F:$F,0))="US"),Investment!$K$7,1),"")),"")</f>
        <v/>
      </c>
      <c r="O434" s="144" t="str">
        <f>IF($P434&lt;&gt;"",IF(MAXIFS(Investment!$AG:$AG,Investment!$D:$D,LEFT($P434,40)&amp;"*"),MAXIFS(Investment!$AG:$AG,Investment!$D:$D,LEFT($P434,40)&amp;"*"),""),"")</f>
        <v/>
      </c>
      <c r="P434" s="135"/>
      <c r="Q434" s="150"/>
      <c r="R434" s="329"/>
    </row>
    <row r="435" ht="1.5" customHeight="1">
      <c r="A435" s="125">
        <v>42887.0</v>
      </c>
      <c r="B435" s="127"/>
      <c r="C435" s="133"/>
      <c r="D435" s="264" t="s">
        <v>263</v>
      </c>
      <c r="E435" s="264"/>
      <c r="F435" s="218"/>
      <c r="G435" s="132">
        <v>-30.68</v>
      </c>
      <c r="H435" s="133" t="s">
        <v>1497</v>
      </c>
      <c r="I435" s="134" t="str">
        <f t="shared" ref="I435:J435" si="439">IFS(AND($B435&lt;&gt;"",$E435&lt;&gt;""),IF(INDEX(N:N,MATCH($C435,$P:$P,0),1)&lt;&gt;"",$E435*INDEX(N:N,MATCH($C435,$P:$P,0),1)+$G435,""),AND($B435&lt;&gt;"",$D435="COST"),$G435,TRUE,)</f>
        <v/>
      </c>
      <c r="J435" s="134" t="str">
        <f t="shared" si="439"/>
        <v/>
      </c>
      <c r="K435" s="219" t="str">
        <f t="shared" si="3"/>
        <v/>
      </c>
      <c r="L435" s="150" t="str">
        <f t="shared" si="4"/>
        <v/>
      </c>
      <c r="M435" s="150" t="str">
        <f t="shared" si="5"/>
        <v/>
      </c>
      <c r="N435" s="139" t="str">
        <f t="array" ref="N435">IF($P435&lt;&gt;"",IF(MAXIFS(Investment!$L:$L,Investment!$D:$D,LEFT($P435,40)&amp;"*"),MAXIFS(Investment!$L:$L,Investment!$D:$D,LEFT($P435,40)&amp;"*"),IFERROR(INDEX(Selection!$H:$H, MATCH($P435,Selection!$F:$F,0))/IF(OR(INDEX(Selection!$C:$C, MATCH($P435,Selection!$F:$F,0))="LN",INDEX(Selection!$C:$C, MATCH($P435,Selection!$F:$F,0))="US"),Investment!$K$7,1),"")),"")</f>
        <v/>
      </c>
      <c r="O435" s="144" t="str">
        <f>IF($P435&lt;&gt;"",IF(MAXIFS(Investment!$AG:$AG,Investment!$D:$D,LEFT($P435,40)&amp;"*"),MAXIFS(Investment!$AG:$AG,Investment!$D:$D,LEFT($P435,40)&amp;"*"),""),"")</f>
        <v/>
      </c>
      <c r="P435" s="135"/>
      <c r="Q435" s="150"/>
      <c r="R435" s="329"/>
    </row>
    <row r="436" ht="1.5" customHeight="1">
      <c r="A436" s="125">
        <v>42871.0</v>
      </c>
      <c r="B436" s="56" t="s">
        <v>243</v>
      </c>
      <c r="C436" s="343" t="s">
        <v>588</v>
      </c>
      <c r="D436" s="56" t="s">
        <v>222</v>
      </c>
      <c r="E436" s="56">
        <v>10.0</v>
      </c>
      <c r="F436" s="218">
        <v>101.51</v>
      </c>
      <c r="G436" s="132">
        <v>-1015.08</v>
      </c>
      <c r="H436" s="328" t="s">
        <v>1498</v>
      </c>
      <c r="I436" s="134">
        <f t="shared" ref="I436:J436" si="440">IFS(AND($B436&lt;&gt;"",$E436&lt;&gt;""),IF(INDEX(N:N,MATCH($C436,$P:$P,0),1)&lt;&gt;"",$E436*INDEX(N:N,MATCH($C436,$P:$P,0),1)+$G436,""),AND($B436&lt;&gt;"",$D436="COST"),$G436,TRUE,)</f>
        <v>42.85876824</v>
      </c>
      <c r="J436" s="134" t="str">
        <f t="shared" si="440"/>
        <v/>
      </c>
      <c r="K436" s="219" t="str">
        <f t="shared" si="3"/>
        <v>Vanguard Extended Duration Treasury ETF</v>
      </c>
      <c r="L436" s="150">
        <f t="shared" si="4"/>
        <v>0</v>
      </c>
      <c r="M436" s="150">
        <f t="shared" si="5"/>
        <v>-4941.36</v>
      </c>
      <c r="N436" s="139" t="str">
        <f t="array" ref="N436">IF($P436&lt;&gt;"",IF(MAXIFS(Investment!$L:$L,Investment!$D:$D,LEFT($P436,40)&amp;"*"),MAXIFS(Investment!$L:$L,Investment!$D:$D,LEFT($P436,40)&amp;"*"),IFERROR(INDEX(Selection!$H:$H, MATCH($P436,Selection!$F:$F,0))/IF(OR(INDEX(Selection!$C:$C, MATCH($P436,Selection!$F:$F,0))="LN",INDEX(Selection!$C:$C, MATCH($P436,Selection!$F:$F,0))="US"),Investment!$K$7,1),"")),"")</f>
        <v/>
      </c>
      <c r="O436" s="144" t="str">
        <f>IF($P436&lt;&gt;"",IF(MAXIFS(Investment!$AG:$AG,Investment!$D:$D,LEFT($P436,40)&amp;"*"),MAXIFS(Investment!$AG:$AG,Investment!$D:$D,LEFT($P436,40)&amp;"*"),""),"")</f>
        <v/>
      </c>
      <c r="P436" s="135"/>
      <c r="Q436" s="150"/>
      <c r="R436" s="329"/>
    </row>
    <row r="437" ht="1.5" customHeight="1">
      <c r="A437" s="125">
        <v>42870.0</v>
      </c>
      <c r="B437" s="161"/>
      <c r="C437" s="228"/>
      <c r="D437" s="56" t="s">
        <v>268</v>
      </c>
      <c r="E437" s="161"/>
      <c r="F437" s="218"/>
      <c r="G437" s="132">
        <v>30.0</v>
      </c>
      <c r="H437" s="328" t="s">
        <v>1499</v>
      </c>
      <c r="I437" s="134" t="str">
        <f t="shared" ref="I437:J437" si="441">IFS(AND($B437&lt;&gt;"",$E437&lt;&gt;""),IF(INDEX(N:N,MATCH($C437,$P:$P,0),1)&lt;&gt;"",$E437*INDEX(N:N,MATCH($C437,$P:$P,0),1)+$G437,""),AND($B437&lt;&gt;"",$D437="COST"),$G437,TRUE,)</f>
        <v/>
      </c>
      <c r="J437" s="134" t="str">
        <f t="shared" si="441"/>
        <v/>
      </c>
      <c r="K437" s="219" t="str">
        <f t="shared" si="3"/>
        <v/>
      </c>
      <c r="L437" s="150" t="str">
        <f t="shared" si="4"/>
        <v/>
      </c>
      <c r="M437" s="150" t="str">
        <f t="shared" si="5"/>
        <v/>
      </c>
      <c r="N437" s="139" t="str">
        <f t="array" ref="N437">IF($P437&lt;&gt;"",IF(MAXIFS(Investment!$L:$L,Investment!$D:$D,LEFT($P437,40)&amp;"*"),MAXIFS(Investment!$L:$L,Investment!$D:$D,LEFT($P437,40)&amp;"*"),IFERROR(INDEX(Selection!$H:$H, MATCH($P437,Selection!$F:$F,0))/IF(OR(INDEX(Selection!$C:$C, MATCH($P437,Selection!$F:$F,0))="LN",INDEX(Selection!$C:$C, MATCH($P437,Selection!$F:$F,0))="US"),Investment!$K$7,1),"")),"")</f>
        <v/>
      </c>
      <c r="O437" s="144" t="str">
        <f>IF($P437&lt;&gt;"",IF(MAXIFS(Investment!$AG:$AG,Investment!$D:$D,LEFT($P437,40)&amp;"*"),MAXIFS(Investment!$AG:$AG,Investment!$D:$D,LEFT($P437,40)&amp;"*"),""),"")</f>
        <v/>
      </c>
      <c r="P437" s="328"/>
      <c r="R437" s="53"/>
    </row>
    <row r="438">
      <c r="A438" s="125">
        <v>42867.0</v>
      </c>
      <c r="B438" s="127"/>
      <c r="C438" s="133"/>
      <c r="D438" s="264" t="s">
        <v>268</v>
      </c>
      <c r="E438" s="264"/>
      <c r="F438" s="218"/>
      <c r="G438" s="132">
        <v>500.0</v>
      </c>
      <c r="H438" s="133" t="s">
        <v>1500</v>
      </c>
      <c r="I438" s="134" t="str">
        <f t="shared" ref="I438:J438" si="442">IFS(AND($B438&lt;&gt;"",$E438&lt;&gt;""),IF(INDEX(N:N,MATCH($C438,$P:$P,0),1)&lt;&gt;"",$E438*INDEX(N:N,MATCH($C438,$P:$P,0),1)+$G438,""),AND($B438&lt;&gt;"",$D438="COST"),$G438,TRUE,)</f>
        <v/>
      </c>
      <c r="J438" s="134" t="str">
        <f t="shared" si="442"/>
        <v/>
      </c>
      <c r="K438" s="219" t="str">
        <f t="shared" si="3"/>
        <v/>
      </c>
      <c r="L438" s="150" t="str">
        <f t="shared" si="4"/>
        <v/>
      </c>
      <c r="M438" s="150" t="str">
        <f t="shared" si="5"/>
        <v/>
      </c>
      <c r="N438" s="139" t="str">
        <f t="array" ref="N438">IF($P438&lt;&gt;"",IF(MAXIFS(Investment!$L:$L,Investment!$D:$D,LEFT($P438,40)&amp;"*"),MAXIFS(Investment!$L:$L,Investment!$D:$D,LEFT($P438,40)&amp;"*"),IFERROR(INDEX(Selection!$H:$H, MATCH($P438,Selection!$F:$F,0))/IF(OR(INDEX(Selection!$C:$C, MATCH($P438,Selection!$F:$F,0))="LN",INDEX(Selection!$C:$C, MATCH($P438,Selection!$F:$F,0))="US"),Investment!$K$7,1),"")),"")</f>
        <v/>
      </c>
      <c r="O438" s="144" t="str">
        <f>IF($P438&lt;&gt;"",IF(MAXIFS(Investment!$AG:$AG,Investment!$D:$D,LEFT($P438,40)&amp;"*"),MAXIFS(Investment!$AG:$AG,Investment!$D:$D,LEFT($P438,40)&amp;"*"),""),"")</f>
        <v/>
      </c>
      <c r="P438" s="328"/>
      <c r="R438" s="53"/>
    </row>
    <row r="439" ht="1.5" customHeight="1">
      <c r="A439" s="125">
        <v>42864.0</v>
      </c>
      <c r="B439" s="127"/>
      <c r="C439" s="133"/>
      <c r="D439" s="264" t="s">
        <v>268</v>
      </c>
      <c r="E439" s="264"/>
      <c r="F439" s="218"/>
      <c r="G439" s="132">
        <v>500.0</v>
      </c>
      <c r="H439" s="133" t="s">
        <v>1500</v>
      </c>
      <c r="I439" s="134" t="str">
        <f t="shared" ref="I439:J439" si="443">IFS(AND($B439&lt;&gt;"",$E439&lt;&gt;""),IF(INDEX(N:N,MATCH($C439,$P:$P,0),1)&lt;&gt;"",$E439*INDEX(N:N,MATCH($C439,$P:$P,0),1)+$G439,""),AND($B439&lt;&gt;"",$D439="COST"),$G439,TRUE,)</f>
        <v/>
      </c>
      <c r="J439" s="134" t="str">
        <f t="shared" si="443"/>
        <v/>
      </c>
      <c r="K439" s="219" t="str">
        <f t="shared" si="3"/>
        <v/>
      </c>
      <c r="L439" s="150" t="str">
        <f t="shared" si="4"/>
        <v/>
      </c>
      <c r="M439" s="150" t="str">
        <f t="shared" si="5"/>
        <v/>
      </c>
      <c r="N439" s="139" t="str">
        <f t="array" ref="N439">IF($P439&lt;&gt;"",IF(MAXIFS(Investment!$L:$L,Investment!$D:$D,LEFT($P439,40)&amp;"*"),MAXIFS(Investment!$L:$L,Investment!$D:$D,LEFT($P439,40)&amp;"*"),IFERROR(INDEX(Selection!$H:$H, MATCH($P439,Selection!$F:$F,0))/IF(OR(INDEX(Selection!$C:$C, MATCH($P439,Selection!$F:$F,0))="LN",INDEX(Selection!$C:$C, MATCH($P439,Selection!$F:$F,0))="US"),Investment!$K$7,1),"")),"")</f>
        <v/>
      </c>
      <c r="O439" s="144" t="str">
        <f>IF($P439&lt;&gt;"",IF(MAXIFS(Investment!$AG:$AG,Investment!$D:$D,LEFT($P439,40)&amp;"*"),MAXIFS(Investment!$AG:$AG,Investment!$D:$D,LEFT($P439,40)&amp;"*"),""),"")</f>
        <v/>
      </c>
      <c r="P439" s="135"/>
      <c r="Q439" s="150"/>
      <c r="R439" s="329"/>
    </row>
    <row r="440" ht="1.5" customHeight="1">
      <c r="A440" s="125">
        <v>42858.0</v>
      </c>
      <c r="B440" s="56" t="s">
        <v>217</v>
      </c>
      <c r="C440" s="343" t="s">
        <v>959</v>
      </c>
      <c r="D440" s="56" t="s">
        <v>222</v>
      </c>
      <c r="E440" s="56">
        <v>98.0</v>
      </c>
      <c r="F440" s="218">
        <v>19.25</v>
      </c>
      <c r="G440" s="132">
        <v>-1886.5</v>
      </c>
      <c r="H440" s="328" t="s">
        <v>1501</v>
      </c>
      <c r="I440" s="134">
        <f t="shared" ref="I440:J440" si="444">IFS(AND($B440&lt;&gt;"",$E440&lt;&gt;""),IF(INDEX(N:N,MATCH($C440,$P:$P,0),1)&lt;&gt;"",$E440*INDEX(N:N,MATCH($C440,$P:$P,0),1)+$G440,""),AND($B440&lt;&gt;"",$D440="COST"),$G440,TRUE,)</f>
        <v>-139.258</v>
      </c>
      <c r="J440" s="134" t="str">
        <f t="shared" si="444"/>
        <v/>
      </c>
      <c r="K440" s="219" t="str">
        <f t="shared" si="3"/>
        <v>iShares Diversified Commodity Swap UCITS ETF DE</v>
      </c>
      <c r="L440" s="150">
        <f t="shared" si="4"/>
        <v>0</v>
      </c>
      <c r="M440" s="150">
        <f t="shared" si="5"/>
        <v>-296.42</v>
      </c>
      <c r="N440" s="139" t="str">
        <f t="array" ref="N440">IF($P440&lt;&gt;"",IF(MAXIFS(Investment!$L:$L,Investment!$D:$D,LEFT($P440,40)&amp;"*"),MAXIFS(Investment!$L:$L,Investment!$D:$D,LEFT($P440,40)&amp;"*"),IFERROR(INDEX(Selection!$H:$H, MATCH($P440,Selection!$F:$F,0))/IF(OR(INDEX(Selection!$C:$C, MATCH($P440,Selection!$F:$F,0))="LN",INDEX(Selection!$C:$C, MATCH($P440,Selection!$F:$F,0))="US"),Investment!$K$7,1),"")),"")</f>
        <v/>
      </c>
      <c r="O440" s="144" t="str">
        <f>IF($P440&lt;&gt;"",IF(MAXIFS(Investment!$AG:$AG,Investment!$D:$D,LEFT($P440,40)&amp;"*"),MAXIFS(Investment!$AG:$AG,Investment!$D:$D,LEFT($P440,40)&amp;"*"),""),"")</f>
        <v/>
      </c>
      <c r="P440" s="135"/>
      <c r="Q440" s="150"/>
      <c r="R440" s="329"/>
    </row>
    <row r="441" ht="1.5" customHeight="1">
      <c r="A441" s="125">
        <v>42858.0</v>
      </c>
      <c r="B441" s="56" t="s">
        <v>361</v>
      </c>
      <c r="C441" s="343" t="s">
        <v>989</v>
      </c>
      <c r="D441" s="56" t="s">
        <v>222</v>
      </c>
      <c r="E441" s="56">
        <v>195.0</v>
      </c>
      <c r="F441" s="218">
        <v>11.05</v>
      </c>
      <c r="G441" s="132">
        <v>-2154.76</v>
      </c>
      <c r="H441" s="328" t="s">
        <v>1502</v>
      </c>
      <c r="I441" s="134">
        <f t="shared" ref="I441:J441" si="445">IFS(AND($B441&lt;&gt;"",$E441&lt;&gt;""),IF(INDEX(N:N,MATCH($C441,$P:$P,0),1)&lt;&gt;"",$E441*INDEX(N:N,MATCH($C441,$P:$P,0),1)+$G441,""),AND($B441&lt;&gt;"",$D441="COST"),$G441,TRUE,)</f>
        <v>4.193364187</v>
      </c>
      <c r="J441" s="134" t="str">
        <f t="shared" si="445"/>
        <v/>
      </c>
      <c r="K441" s="219" t="str">
        <f t="shared" si="3"/>
        <v>iShares Gold Trust</v>
      </c>
      <c r="L441" s="150">
        <f t="shared" si="4"/>
        <v>0</v>
      </c>
      <c r="M441" s="150">
        <f t="shared" si="5"/>
        <v>140.23</v>
      </c>
      <c r="N441" s="139" t="str">
        <f t="array" ref="N441">IF($P441&lt;&gt;"",IF(MAXIFS(Investment!$L:$L,Investment!$D:$D,LEFT($P441,40)&amp;"*"),MAXIFS(Investment!$L:$L,Investment!$D:$D,LEFT($P441,40)&amp;"*"),IFERROR(INDEX(Selection!$H:$H, MATCH($P441,Selection!$F:$F,0))/IF(OR(INDEX(Selection!$C:$C, MATCH($P441,Selection!$F:$F,0))="LN",INDEX(Selection!$C:$C, MATCH($P441,Selection!$F:$F,0))="US"),Investment!$K$7,1),"")),"")</f>
        <v/>
      </c>
      <c r="O441" s="144" t="str">
        <f>IF($P441&lt;&gt;"",IF(MAXIFS(Investment!$AG:$AG,Investment!$D:$D,LEFT($P441,40)&amp;"*"),MAXIFS(Investment!$AG:$AG,Investment!$D:$D,LEFT($P441,40)&amp;"*"),""),"")</f>
        <v/>
      </c>
      <c r="P441" s="328"/>
      <c r="R441" s="53"/>
    </row>
    <row r="442">
      <c r="A442" s="125">
        <v>42858.0</v>
      </c>
      <c r="B442" s="56" t="s">
        <v>277</v>
      </c>
      <c r="C442" s="343" t="s">
        <v>845</v>
      </c>
      <c r="D442" s="56" t="s">
        <v>222</v>
      </c>
      <c r="E442" s="56">
        <v>44.0</v>
      </c>
      <c r="F442" s="218">
        <v>97.62</v>
      </c>
      <c r="G442" s="132">
        <v>-4295.13</v>
      </c>
      <c r="H442" s="328" t="s">
        <v>1503</v>
      </c>
      <c r="I442" s="134">
        <f t="shared" ref="I442:J442" si="446">IFS(AND($B442&lt;&gt;"",$E442&lt;&gt;""),IF(INDEX(N:N,MATCH($C442,$P:$P,0),1)&lt;&gt;"",$E442*INDEX(N:N,MATCH($C442,$P:$P,0),1)+$G442,""),AND($B442&lt;&gt;"",$D442="COST"),$G442,TRUE,)</f>
        <v>-118.7327056</v>
      </c>
      <c r="J442" s="134" t="str">
        <f t="shared" si="446"/>
        <v/>
      </c>
      <c r="K442" s="219" t="str">
        <f t="shared" si="3"/>
        <v>iShares 7-10 Year Treasury Bond ETF</v>
      </c>
      <c r="L442" s="150">
        <f t="shared" si="4"/>
        <v>0</v>
      </c>
      <c r="M442" s="150">
        <f t="shared" si="5"/>
        <v>-345.82</v>
      </c>
      <c r="N442" s="139" t="str">
        <f t="array" ref="N442">IF($P442&lt;&gt;"",IF(MAXIFS(Investment!$L:$L,Investment!$D:$D,LEFT($P442,40)&amp;"*"),MAXIFS(Investment!$L:$L,Investment!$D:$D,LEFT($P442,40)&amp;"*"),IFERROR(INDEX(Selection!$H:$H, MATCH($P442,Selection!$F:$F,0))/IF(OR(INDEX(Selection!$C:$C, MATCH($P442,Selection!$F:$F,0))="LN",INDEX(Selection!$C:$C, MATCH($P442,Selection!$F:$F,0))="US"),Investment!$K$7,1),"")),"")</f>
        <v/>
      </c>
      <c r="O442" s="144" t="str">
        <f>IF($P442&lt;&gt;"",IF(MAXIFS(Investment!$AG:$AG,Investment!$D:$D,LEFT($P442,40)&amp;"*"),MAXIFS(Investment!$AG:$AG,Investment!$D:$D,LEFT($P442,40)&amp;"*"),""),"")</f>
        <v/>
      </c>
      <c r="P442" s="328"/>
      <c r="R442" s="53"/>
    </row>
    <row r="443">
      <c r="A443" s="125">
        <v>42858.0</v>
      </c>
      <c r="B443" s="56" t="s">
        <v>307</v>
      </c>
      <c r="C443" s="343" t="s">
        <v>745</v>
      </c>
      <c r="D443" s="56" t="s">
        <v>222</v>
      </c>
      <c r="E443" s="56">
        <v>76.0</v>
      </c>
      <c r="F443" s="218">
        <v>112.55</v>
      </c>
      <c r="G443" s="132">
        <v>-8554.15</v>
      </c>
      <c r="H443" s="328" t="s">
        <v>1504</v>
      </c>
      <c r="I443" s="134">
        <f t="shared" ref="I443:J443" si="447">IFS(AND($B443&lt;&gt;"",$E443&lt;&gt;""),IF(INDEX(N:N,MATCH($C443,$P:$P,0),1)&lt;&gt;"",$E443*INDEX(N:N,MATCH($C443,$P:$P,0),1)+$G443,""),AND($B443&lt;&gt;"",$D443="COST"),$G443,TRUE,)</f>
        <v>1172.443094</v>
      </c>
      <c r="J443" s="134" t="str">
        <f t="shared" si="447"/>
        <v/>
      </c>
      <c r="K443" s="219" t="str">
        <f t="shared" si="3"/>
        <v>Vanguard Total Stock Market ETF</v>
      </c>
      <c r="L443" s="150">
        <f t="shared" si="4"/>
        <v>0</v>
      </c>
      <c r="M443" s="150">
        <f t="shared" si="5"/>
        <v>1880.34</v>
      </c>
      <c r="N443" s="139" t="str">
        <f t="array" ref="N443">IF($P443&lt;&gt;"",IF(MAXIFS(Investment!$L:$L,Investment!$D:$D,LEFT($P443,40)&amp;"*"),MAXIFS(Investment!$L:$L,Investment!$D:$D,LEFT($P443,40)&amp;"*"),IFERROR(INDEX(Selection!$H:$H, MATCH($P443,Selection!$F:$F,0))/IF(OR(INDEX(Selection!$C:$C, MATCH($P443,Selection!$F:$F,0))="LN",INDEX(Selection!$C:$C, MATCH($P443,Selection!$F:$F,0))="US"),Investment!$K$7,1),"")),"")</f>
        <v/>
      </c>
      <c r="O443" s="144" t="str">
        <f>IF($P443&lt;&gt;"",IF(MAXIFS(Investment!$AG:$AG,Investment!$D:$D,LEFT($P443,40)&amp;"*"),MAXIFS(Investment!$AG:$AG,Investment!$D:$D,LEFT($P443,40)&amp;"*"),""),"")</f>
        <v/>
      </c>
      <c r="P443" s="328"/>
      <c r="R443" s="53"/>
    </row>
    <row r="444">
      <c r="A444" s="125">
        <v>42858.0</v>
      </c>
      <c r="B444" s="56" t="s">
        <v>243</v>
      </c>
      <c r="C444" s="343" t="s">
        <v>588</v>
      </c>
      <c r="D444" s="56" t="s">
        <v>222</v>
      </c>
      <c r="E444" s="56">
        <v>111.0</v>
      </c>
      <c r="F444" s="218">
        <v>104.22</v>
      </c>
      <c r="G444" s="132">
        <v>-11568.3</v>
      </c>
      <c r="H444" s="328" t="s">
        <v>1505</v>
      </c>
      <c r="I444" s="134">
        <f t="shared" ref="I444:J444" si="448">IFS(AND($B444&lt;&gt;"",$E444&lt;&gt;""),IF(INDEX(N:N,MATCH($C444,$P:$P,0),1)&lt;&gt;"",$E444*INDEX(N:N,MATCH($C444,$P:$P,0),1)+$G444,""),AND($B444&lt;&gt;"",$D444="COST"),$G444,TRUE,)</f>
        <v>174.8203275</v>
      </c>
      <c r="J444" s="134" t="str">
        <f t="shared" si="448"/>
        <v/>
      </c>
      <c r="K444" s="219" t="str">
        <f t="shared" si="3"/>
        <v>Vanguard Extended Duration Treasury ETF</v>
      </c>
      <c r="L444" s="150">
        <f t="shared" si="4"/>
        <v>0</v>
      </c>
      <c r="M444" s="150">
        <f t="shared" si="5"/>
        <v>-4941.36</v>
      </c>
      <c r="N444" s="139" t="str">
        <f t="array" ref="N444">IF($P444&lt;&gt;"",IF(MAXIFS(Investment!$L:$L,Investment!$D:$D,LEFT($P444,40)&amp;"*"),MAXIFS(Investment!$L:$L,Investment!$D:$D,LEFT($P444,40)&amp;"*"),IFERROR(INDEX(Selection!$H:$H, MATCH($P444,Selection!$F:$F,0))/IF(OR(INDEX(Selection!$C:$C, MATCH($P444,Selection!$F:$F,0))="LN",INDEX(Selection!$C:$C, MATCH($P444,Selection!$F:$F,0))="US"),Investment!$K$7,1),"")),"")</f>
        <v/>
      </c>
      <c r="O444" s="144" t="str">
        <f>IF($P444&lt;&gt;"",IF(MAXIFS(Investment!$AG:$AG,Investment!$D:$D,LEFT($P444,40)&amp;"*"),MAXIFS(Investment!$AG:$AG,Investment!$D:$D,LEFT($P444,40)&amp;"*"),""),"")</f>
        <v/>
      </c>
      <c r="P444" s="328"/>
      <c r="R444" s="53"/>
    </row>
    <row r="445">
      <c r="A445" s="125">
        <v>42857.0</v>
      </c>
      <c r="B445" s="56" t="s">
        <v>217</v>
      </c>
      <c r="C445" s="343" t="s">
        <v>959</v>
      </c>
      <c r="D445" s="56" t="s">
        <v>222</v>
      </c>
      <c r="E445" s="56">
        <v>181.0</v>
      </c>
      <c r="F445" s="218">
        <v>19.31</v>
      </c>
      <c r="G445" s="132">
        <v>-3495.11</v>
      </c>
      <c r="H445" s="328" t="s">
        <v>1506</v>
      </c>
      <c r="I445" s="134">
        <f t="shared" ref="I445:J445" si="449">IFS(AND($B445&lt;&gt;"",$E445&lt;&gt;""),IF(INDEX(N:N,MATCH($C445,$P:$P,0),1)&lt;&gt;"",$E445*INDEX(N:N,MATCH($C445,$P:$P,0),1)+$G445,""),AND($B445&lt;&gt;"",$D445="COST"),$G445,TRUE,)</f>
        <v>-268.061</v>
      </c>
      <c r="J445" s="134" t="str">
        <f t="shared" si="449"/>
        <v/>
      </c>
      <c r="K445" s="219" t="str">
        <f t="shared" si="3"/>
        <v>iShares Diversified Commodity Swap UCITS ETF DE</v>
      </c>
      <c r="L445" s="150">
        <f t="shared" si="4"/>
        <v>0</v>
      </c>
      <c r="M445" s="150">
        <f t="shared" si="5"/>
        <v>-296.42</v>
      </c>
      <c r="N445" s="139" t="str">
        <f t="array" ref="N445">IF($P445&lt;&gt;"",IF(MAXIFS(Investment!$L:$L,Investment!$D:$D,LEFT($P445,40)&amp;"*"),MAXIFS(Investment!$L:$L,Investment!$D:$D,LEFT($P445,40)&amp;"*"),IFERROR(INDEX(Selection!$H:$H, MATCH($P445,Selection!$F:$F,0))/IF(OR(INDEX(Selection!$C:$C, MATCH($P445,Selection!$F:$F,0))="LN",INDEX(Selection!$C:$C, MATCH($P445,Selection!$F:$F,0))="US"),Investment!$K$7,1),"")),"")</f>
        <v/>
      </c>
      <c r="O445" s="144" t="str">
        <f>IF($P445&lt;&gt;"",IF(MAXIFS(Investment!$AG:$AG,Investment!$D:$D,LEFT($P445,40)&amp;"*"),MAXIFS(Investment!$AG:$AG,Investment!$D:$D,LEFT($P445,40)&amp;"*"),""),"")</f>
        <v/>
      </c>
      <c r="P445" s="328"/>
      <c r="R445" s="53"/>
    </row>
    <row r="446">
      <c r="A446" s="125">
        <v>42856.0</v>
      </c>
      <c r="B446" s="56" t="s">
        <v>277</v>
      </c>
      <c r="C446" s="343" t="s">
        <v>845</v>
      </c>
      <c r="D446" s="56" t="s">
        <v>222</v>
      </c>
      <c r="E446" s="56">
        <v>66.0</v>
      </c>
      <c r="F446" s="218">
        <v>97.56</v>
      </c>
      <c r="G446" s="132">
        <v>-6439.03</v>
      </c>
      <c r="H446" s="328" t="s">
        <v>1507</v>
      </c>
      <c r="I446" s="134">
        <f t="shared" ref="I446:J446" si="450">IFS(AND($B446&lt;&gt;"",$E446&lt;&gt;""),IF(INDEX(N:N,MATCH($C446,$P:$P,0),1)&lt;&gt;"",$E446*INDEX(N:N,MATCH($C446,$P:$P,0),1)+$G446,""),AND($B446&lt;&gt;"",$D446="COST"),$G446,TRUE,)</f>
        <v>-174.4340584</v>
      </c>
      <c r="J446" s="134" t="str">
        <f t="shared" si="450"/>
        <v/>
      </c>
      <c r="K446" s="219" t="str">
        <f t="shared" si="3"/>
        <v>iShares 7-10 Year Treasury Bond ETF</v>
      </c>
      <c r="L446" s="150">
        <f t="shared" si="4"/>
        <v>0</v>
      </c>
      <c r="M446" s="150">
        <f t="shared" si="5"/>
        <v>-345.82</v>
      </c>
      <c r="N446" s="139" t="str">
        <f t="array" ref="N446">IF($P446&lt;&gt;"",IF(MAXIFS(Investment!$L:$L,Investment!$D:$D,LEFT($P446,40)&amp;"*"),MAXIFS(Investment!$L:$L,Investment!$D:$D,LEFT($P446,40)&amp;"*"),IFERROR(INDEX(Selection!$H:$H, MATCH($P446,Selection!$F:$F,0))/IF(OR(INDEX(Selection!$C:$C, MATCH($P446,Selection!$F:$F,0))="LN",INDEX(Selection!$C:$C, MATCH($P446,Selection!$F:$F,0))="US"),Investment!$K$7,1),"")),"")</f>
        <v/>
      </c>
      <c r="O446" s="144" t="str">
        <f>IF($P446&lt;&gt;"",IF(MAXIFS(Investment!$AG:$AG,Investment!$D:$D,LEFT($P446,40)&amp;"*"),MAXIFS(Investment!$AG:$AG,Investment!$D:$D,LEFT($P446,40)&amp;"*"),""),"")</f>
        <v/>
      </c>
      <c r="P446" s="328"/>
      <c r="R446" s="53"/>
    </row>
    <row r="447">
      <c r="A447" s="125">
        <v>42856.0</v>
      </c>
      <c r="B447" s="56" t="s">
        <v>307</v>
      </c>
      <c r="C447" s="343" t="s">
        <v>745</v>
      </c>
      <c r="D447" s="56" t="s">
        <v>222</v>
      </c>
      <c r="E447" s="56">
        <v>115.0</v>
      </c>
      <c r="F447" s="218">
        <v>112.8</v>
      </c>
      <c r="G447" s="132">
        <v>-12972.31</v>
      </c>
      <c r="H447" s="328" t="s">
        <v>1508</v>
      </c>
      <c r="I447" s="134">
        <f t="shared" ref="I447:J447" si="451">IFS(AND($B447&lt;&gt;"",$E447&lt;&gt;""),IF(INDEX(N:N,MATCH($C447,$P:$P,0),1)&lt;&gt;"",$E447*INDEX(N:N,MATCH($C447,$P:$P,0),1)+$G447,""),AND($B447&lt;&gt;"",$D447="COST"),$G447,TRUE,)</f>
        <v>1745.561129</v>
      </c>
      <c r="J447" s="134" t="str">
        <f t="shared" si="451"/>
        <v/>
      </c>
      <c r="K447" s="219" t="str">
        <f t="shared" si="3"/>
        <v>Vanguard Total Stock Market ETF</v>
      </c>
      <c r="L447" s="150">
        <f t="shared" si="4"/>
        <v>0</v>
      </c>
      <c r="M447" s="150">
        <f t="shared" si="5"/>
        <v>1880.34</v>
      </c>
      <c r="N447" s="139" t="str">
        <f t="array" ref="N447">IF($P447&lt;&gt;"",IF(MAXIFS(Investment!$L:$L,Investment!$D:$D,LEFT($P447,40)&amp;"*"),MAXIFS(Investment!$L:$L,Investment!$D:$D,LEFT($P447,40)&amp;"*"),IFERROR(INDEX(Selection!$H:$H, MATCH($P447,Selection!$F:$F,0))/IF(OR(INDEX(Selection!$C:$C, MATCH($P447,Selection!$F:$F,0))="LN",INDEX(Selection!$C:$C, MATCH($P447,Selection!$F:$F,0))="US"),Investment!$K$7,1),"")),"")</f>
        <v/>
      </c>
      <c r="O447" s="144" t="str">
        <f>IF($P447&lt;&gt;"",IF(MAXIFS(Investment!$AG:$AG,Investment!$D:$D,LEFT($P447,40)&amp;"*"),MAXIFS(Investment!$AG:$AG,Investment!$D:$D,LEFT($P447,40)&amp;"*"),""),"")</f>
        <v/>
      </c>
      <c r="P447" s="328"/>
      <c r="R447" s="53"/>
    </row>
    <row r="448">
      <c r="A448" s="125">
        <v>42856.0</v>
      </c>
      <c r="B448" s="56" t="s">
        <v>361</v>
      </c>
      <c r="C448" s="343" t="s">
        <v>989</v>
      </c>
      <c r="D448" s="56" t="s">
        <v>222</v>
      </c>
      <c r="E448" s="56">
        <v>290.0</v>
      </c>
      <c r="F448" s="218">
        <v>11.16</v>
      </c>
      <c r="G448" s="132">
        <v>-3235.89</v>
      </c>
      <c r="H448" s="328" t="s">
        <v>1509</v>
      </c>
      <c r="I448" s="134">
        <f t="shared" ref="I448:J448" si="452">IFS(AND($B448&lt;&gt;"",$E448&lt;&gt;""),IF(INDEX(N:N,MATCH($C448,$P:$P,0),1)&lt;&gt;"",$E448*INDEX(N:N,MATCH($C448,$P:$P,0),1)+$G448,""),AND($B448&lt;&gt;"",$D448="COST"),$G448,TRUE,)</f>
        <v>-25.138843</v>
      </c>
      <c r="J448" s="134" t="str">
        <f t="shared" si="452"/>
        <v/>
      </c>
      <c r="K448" s="219" t="str">
        <f t="shared" si="3"/>
        <v>iShares Gold Trust</v>
      </c>
      <c r="L448" s="150">
        <f t="shared" si="4"/>
        <v>0</v>
      </c>
      <c r="M448" s="150">
        <f t="shared" si="5"/>
        <v>140.23</v>
      </c>
      <c r="N448" s="139" t="str">
        <f t="array" ref="N448">IF($P448&lt;&gt;"",IF(MAXIFS(Investment!$L:$L,Investment!$D:$D,LEFT($P448,40)&amp;"*"),MAXIFS(Investment!$L:$L,Investment!$D:$D,LEFT($P448,40)&amp;"*"),IFERROR(INDEX(Selection!$H:$H, MATCH($P448,Selection!$F:$F,0))/IF(OR(INDEX(Selection!$C:$C, MATCH($P448,Selection!$F:$F,0))="LN",INDEX(Selection!$C:$C, MATCH($P448,Selection!$F:$F,0))="US"),Investment!$K$7,1),"")),"")</f>
        <v/>
      </c>
      <c r="O448" s="144" t="str">
        <f>IF($P448&lt;&gt;"",IF(MAXIFS(Investment!$AG:$AG,Investment!$D:$D,LEFT($P448,40)&amp;"*"),MAXIFS(Investment!$AG:$AG,Investment!$D:$D,LEFT($P448,40)&amp;"*"),""),"")</f>
        <v/>
      </c>
      <c r="P448" s="328"/>
      <c r="R448" s="53"/>
    </row>
    <row r="449">
      <c r="A449" s="125">
        <v>42856.0</v>
      </c>
      <c r="B449" s="56" t="s">
        <v>243</v>
      </c>
      <c r="C449" s="343" t="s">
        <v>588</v>
      </c>
      <c r="D449" s="56" t="s">
        <v>222</v>
      </c>
      <c r="E449" s="56">
        <v>166.0</v>
      </c>
      <c r="F449" s="218">
        <v>103.67</v>
      </c>
      <c r="G449" s="132">
        <v>-17209.62</v>
      </c>
      <c r="H449" s="328" t="s">
        <v>1510</v>
      </c>
      <c r="I449" s="134">
        <f t="shared" ref="I449:J449" si="453">IFS(AND($B449&lt;&gt;"",$E449&lt;&gt;""),IF(INDEX(N:N,MATCH($C449,$P:$P,0),1)&lt;&gt;"",$E449*INDEX(N:N,MATCH($C449,$P:$P,0),1)+$G449,""),AND($B449&lt;&gt;"",$D449="COST"),$G449,TRUE,)</f>
        <v>352.1635529</v>
      </c>
      <c r="J449" s="134" t="str">
        <f t="shared" si="453"/>
        <v/>
      </c>
      <c r="K449" s="219" t="str">
        <f t="shared" si="3"/>
        <v>Vanguard Extended Duration Treasury ETF</v>
      </c>
      <c r="L449" s="150">
        <f t="shared" si="4"/>
        <v>0</v>
      </c>
      <c r="M449" s="150">
        <f t="shared" si="5"/>
        <v>-4941.36</v>
      </c>
      <c r="N449" s="139" t="str">
        <f t="array" ref="N449">IF($P449&lt;&gt;"",IF(MAXIFS(Investment!$L:$L,Investment!$D:$D,LEFT($P449,40)&amp;"*"),MAXIFS(Investment!$L:$L,Investment!$D:$D,LEFT($P449,40)&amp;"*"),IFERROR(INDEX(Selection!$H:$H, MATCH($P449,Selection!$F:$F,0))/IF(OR(INDEX(Selection!$C:$C, MATCH($P449,Selection!$F:$F,0))="LN",INDEX(Selection!$C:$C, MATCH($P449,Selection!$F:$F,0))="US"),Investment!$K$7,1),"")),"")</f>
        <v/>
      </c>
      <c r="O449" s="144" t="str">
        <f>IF($P449&lt;&gt;"",IF(MAXIFS(Investment!$AG:$AG,Investment!$D:$D,LEFT($P449,40)&amp;"*"),MAXIFS(Investment!$AG:$AG,Investment!$D:$D,LEFT($P449,40)&amp;"*"),""),"")</f>
        <v/>
      </c>
      <c r="P449" s="328"/>
      <c r="R449" s="53"/>
    </row>
    <row r="450">
      <c r="A450" s="125">
        <v>42853.0</v>
      </c>
      <c r="B450" s="161"/>
      <c r="C450" s="228"/>
      <c r="D450" s="56" t="s">
        <v>268</v>
      </c>
      <c r="E450" s="161"/>
      <c r="F450" s="218"/>
      <c r="G450" s="132">
        <v>43355.53</v>
      </c>
      <c r="H450" s="328" t="s">
        <v>1511</v>
      </c>
      <c r="I450" s="134" t="str">
        <f t="shared" ref="I450:J450" si="454">IFS(AND($B450&lt;&gt;"",$E450&lt;&gt;""),IF(INDEX(N:N,MATCH($C450,$P:$P,0),1)&lt;&gt;"",$E450*INDEX(N:N,MATCH($C450,$P:$P,0),1)+$G450,""),AND($B450&lt;&gt;"",$D450="COST"),$G450,TRUE,)</f>
        <v/>
      </c>
      <c r="J450" s="134" t="str">
        <f t="shared" si="454"/>
        <v/>
      </c>
      <c r="K450" s="219" t="str">
        <f t="shared" si="3"/>
        <v/>
      </c>
      <c r="L450" s="150" t="str">
        <f t="shared" si="4"/>
        <v/>
      </c>
      <c r="M450" s="150" t="str">
        <f t="shared" si="5"/>
        <v/>
      </c>
      <c r="N450" s="139" t="str">
        <f t="array" ref="N450">IF($P450&lt;&gt;"",IF(MAXIFS(Investment!$L:$L,Investment!$D:$D,LEFT($P450,40)&amp;"*"),MAXIFS(Investment!$L:$L,Investment!$D:$D,LEFT($P450,40)&amp;"*"),IFERROR(INDEX(Selection!$H:$H, MATCH($P450,Selection!$F:$F,0))/IF(OR(INDEX(Selection!$C:$C, MATCH($P450,Selection!$F:$F,0))="LN",INDEX(Selection!$C:$C, MATCH($P450,Selection!$F:$F,0))="US"),Investment!$K$7,1),"")),"")</f>
        <v/>
      </c>
      <c r="O450" s="144" t="str">
        <f>IF($P450&lt;&gt;"",IF(MAXIFS(Investment!$AG:$AG,Investment!$D:$D,LEFT($P450,40)&amp;"*"),MAXIFS(Investment!$AG:$AG,Investment!$D:$D,LEFT($P450,40)&amp;"*"),""),"")</f>
        <v/>
      </c>
      <c r="P450" s="328"/>
      <c r="R450" s="53"/>
    </row>
    <row r="451">
      <c r="A451" s="125">
        <v>42849.0</v>
      </c>
      <c r="B451" s="127"/>
      <c r="C451" s="133"/>
      <c r="D451" s="264" t="s">
        <v>268</v>
      </c>
      <c r="E451" s="264"/>
      <c r="F451" s="218"/>
      <c r="G451" s="132">
        <v>1.0</v>
      </c>
      <c r="H451" s="133" t="s">
        <v>1512</v>
      </c>
      <c r="I451" s="134" t="str">
        <f t="shared" ref="I451:J451" si="455">IFS(AND($B451&lt;&gt;"",$E451&lt;&gt;""),IF(INDEX(N:N,MATCH($C451,$P:$P,0),1)&lt;&gt;"",$E451*INDEX(N:N,MATCH($C451,$P:$P,0),1)+$G451,""),AND($B451&lt;&gt;"",$D451="COST"),$G451,TRUE,)</f>
        <v/>
      </c>
      <c r="J451" s="134" t="str">
        <f t="shared" si="455"/>
        <v/>
      </c>
      <c r="K451" s="219" t="str">
        <f t="shared" si="3"/>
        <v/>
      </c>
      <c r="L451" s="150" t="str">
        <f t="shared" si="4"/>
        <v/>
      </c>
      <c r="M451" s="150" t="str">
        <f t="shared" si="5"/>
        <v/>
      </c>
      <c r="N451" s="139" t="str">
        <f t="array" ref="N451">IF($P451&lt;&gt;"",IF(MAXIFS(Investment!$L:$L,Investment!$D:$D,LEFT($P451,40)&amp;"*"),MAXIFS(Investment!$L:$L,Investment!$D:$D,LEFT($P451,40)&amp;"*"),IFERROR(INDEX(Selection!$H:$H, MATCH($P451,Selection!$F:$F,0))/IF(OR(INDEX(Selection!$C:$C, MATCH($P451,Selection!$F:$F,0))="LN",INDEX(Selection!$C:$C, MATCH($P451,Selection!$F:$F,0))="US"),Investment!$K$7,1),"")),"")</f>
        <v/>
      </c>
      <c r="O451" s="144" t="str">
        <f>IF($P451&lt;&gt;"",IF(MAXIFS(Investment!$AG:$AG,Investment!$D:$D,LEFT($P451,40)&amp;"*"),MAXIFS(Investment!$AG:$AG,Investment!$D:$D,LEFT($P451,40)&amp;"*"),""),"")</f>
        <v/>
      </c>
      <c r="P451" s="328"/>
      <c r="R451" s="53"/>
    </row>
    <row r="452">
      <c r="A452" s="349">
        <v>42845.0</v>
      </c>
      <c r="B452" s="350"/>
      <c r="C452" s="351"/>
      <c r="D452" s="250" t="s">
        <v>263</v>
      </c>
      <c r="E452" s="350"/>
      <c r="F452" s="254"/>
      <c r="G452" s="352">
        <v>-6.0</v>
      </c>
      <c r="H452" s="353" t="str">
        <f t="shared" ref="H452:H489" si="457">IF(D452&lt;&gt;"",C452 &amp; "@" &amp; D452 &amp; "@" &amp; E452 &amp; "@" &amp; G452,"")</f>
        <v>@COST@@-6</v>
      </c>
      <c r="I452" s="134" t="str">
        <f t="shared" ref="I452:J452" si="456">IFS(AND($B452&lt;&gt;"",$E452&lt;&gt;""),IF(INDEX(N:N,MATCH($C452,$P:$P,0),1)&lt;&gt;"",$E452*INDEX(N:N,MATCH($C452,$P:$P,0),1)+$G452,""),AND($B452&lt;&gt;"",$D452="COST"),$G452,TRUE,)</f>
        <v/>
      </c>
      <c r="J452" s="134" t="str">
        <f t="shared" si="456"/>
        <v/>
      </c>
      <c r="K452" s="219" t="str">
        <f t="shared" si="3"/>
        <v/>
      </c>
      <c r="L452" s="150" t="str">
        <f t="shared" si="4"/>
        <v/>
      </c>
      <c r="M452" s="150" t="str">
        <f t="shared" si="5"/>
        <v/>
      </c>
      <c r="N452" s="139" t="str">
        <f t="array" ref="N452">IF($P452&lt;&gt;"",IF(MAXIFS(Investment!$L:$L,Investment!$D:$D,LEFT($P452,40)&amp;"*"),MAXIFS(Investment!$L:$L,Investment!$D:$D,LEFT($P452,40)&amp;"*"),IFERROR(INDEX(Selection!$H:$H, MATCH($P452,Selection!$F:$F,0))/IF(OR(INDEX(Selection!$C:$C, MATCH($P452,Selection!$F:$F,0))="LN",INDEX(Selection!$C:$C, MATCH($P452,Selection!$F:$F,0))="US"),Investment!$K$7,1),"")),"")</f>
        <v/>
      </c>
      <c r="O452" s="144" t="str">
        <f>IF($P452&lt;&gt;"",IF(MAXIFS(Investment!$AG:$AG,Investment!$D:$D,LEFT($P452,40)&amp;"*"),MAXIFS(Investment!$AG:$AG,Investment!$D:$D,LEFT($P452,40)&amp;"*"),""),"")</f>
        <v/>
      </c>
      <c r="P452" s="135"/>
      <c r="Q452" s="150"/>
      <c r="R452" s="329"/>
    </row>
    <row r="453">
      <c r="A453" s="349">
        <v>42845.0</v>
      </c>
      <c r="B453" s="350"/>
      <c r="C453" s="351"/>
      <c r="D453" s="250" t="s">
        <v>268</v>
      </c>
      <c r="E453" s="350"/>
      <c r="F453" s="254"/>
      <c r="G453" s="352">
        <v>-45404.0</v>
      </c>
      <c r="H453" s="353" t="str">
        <f t="shared" si="457"/>
        <v>@APPROVISIONNEMENT@@-45404</v>
      </c>
      <c r="I453" s="134" t="str">
        <f t="shared" ref="I453:J453" si="458">IFS(AND($B453&lt;&gt;"",$E453&lt;&gt;""),IF(INDEX(N:N,MATCH($C453,$P:$P,0),1)&lt;&gt;"",$E453*INDEX(N:N,MATCH($C453,$P:$P,0),1)+$G453,""),AND($B453&lt;&gt;"",$D453="COST"),$G453,TRUE,)</f>
        <v/>
      </c>
      <c r="J453" s="134" t="str">
        <f t="shared" si="458"/>
        <v/>
      </c>
      <c r="K453" s="219" t="str">
        <f t="shared" si="3"/>
        <v/>
      </c>
      <c r="L453" s="150" t="str">
        <f t="shared" si="4"/>
        <v/>
      </c>
      <c r="M453" s="150" t="str">
        <f t="shared" si="5"/>
        <v/>
      </c>
      <c r="N453" s="139" t="str">
        <f t="array" ref="N453">IF($P453&lt;&gt;"",IF(MAXIFS(Investment!$L:$L,Investment!$D:$D,LEFT($P453,40)&amp;"*"),MAXIFS(Investment!$L:$L,Investment!$D:$D,LEFT($P453,40)&amp;"*"),IFERROR(INDEX(Selection!$H:$H, MATCH($P453,Selection!$F:$F,0))/IF(OR(INDEX(Selection!$C:$C, MATCH($P453,Selection!$F:$F,0))="LN",INDEX(Selection!$C:$C, MATCH($P453,Selection!$F:$F,0))="US"),Investment!$K$7,1),"")),"")</f>
        <v/>
      </c>
      <c r="O453" s="144" t="str">
        <f>IF($P453&lt;&gt;"",IF(MAXIFS(Investment!$AG:$AG,Investment!$D:$D,LEFT($P453,40)&amp;"*"),MAXIFS(Investment!$AG:$AG,Investment!$D:$D,LEFT($P453,40)&amp;"*"),""),"")</f>
        <v/>
      </c>
      <c r="P453" s="328"/>
      <c r="R453" s="53"/>
    </row>
    <row r="454">
      <c r="A454" s="349">
        <v>42845.0</v>
      </c>
      <c r="B454" s="350"/>
      <c r="C454" s="351"/>
      <c r="D454" s="250" t="s">
        <v>268</v>
      </c>
      <c r="E454" s="350"/>
      <c r="F454" s="254"/>
      <c r="G454" s="352">
        <v>-452.53</v>
      </c>
      <c r="H454" s="353" t="str">
        <f t="shared" si="457"/>
        <v>@APPROVISIONNEMENT@@-452.53</v>
      </c>
      <c r="I454" s="134" t="str">
        <f t="shared" ref="I454:J454" si="459">IFS(AND($B454&lt;&gt;"",$E454&lt;&gt;""),IF(INDEX(N:N,MATCH($C454,$P:$P,0),1)&lt;&gt;"",$E454*INDEX(N:N,MATCH($C454,$P:$P,0),1)+$G454,""),AND($B454&lt;&gt;"",$D454="COST"),$G454,TRUE,)</f>
        <v/>
      </c>
      <c r="J454" s="134" t="str">
        <f t="shared" si="459"/>
        <v/>
      </c>
      <c r="K454" s="219" t="str">
        <f t="shared" si="3"/>
        <v/>
      </c>
      <c r="L454" s="150" t="str">
        <f t="shared" si="4"/>
        <v/>
      </c>
      <c r="M454" s="150" t="str">
        <f t="shared" si="5"/>
        <v/>
      </c>
      <c r="N454" s="139" t="str">
        <f t="array" ref="N454">IF($P454&lt;&gt;"",IF(MAXIFS(Investment!$L:$L,Investment!$D:$D,LEFT($P454,40)&amp;"*"),MAXIFS(Investment!$L:$L,Investment!$D:$D,LEFT($P454,40)&amp;"*"),IFERROR(INDEX(Selection!$H:$H, MATCH($P454,Selection!$F:$F,0))/IF(OR(INDEX(Selection!$C:$C, MATCH($P454,Selection!$F:$F,0))="LN",INDEX(Selection!$C:$C, MATCH($P454,Selection!$F:$F,0))="US"),Investment!$K$7,1),"")),"")</f>
        <v/>
      </c>
      <c r="O454" s="144" t="str">
        <f>IF($P454&lt;&gt;"",IF(MAXIFS(Investment!$AG:$AG,Investment!$D:$D,LEFT($P454,40)&amp;"*"),MAXIFS(Investment!$AG:$AG,Investment!$D:$D,LEFT($P454,40)&amp;"*"),""),"")</f>
        <v/>
      </c>
      <c r="P454" s="328"/>
      <c r="R454" s="53"/>
    </row>
    <row r="455">
      <c r="A455" s="354">
        <v>42845.0</v>
      </c>
      <c r="B455" s="355" t="s">
        <v>243</v>
      </c>
      <c r="C455" s="356" t="s">
        <v>588</v>
      </c>
      <c r="D455" s="355" t="s">
        <v>245</v>
      </c>
      <c r="E455" s="357">
        <v>-179.0</v>
      </c>
      <c r="F455" s="358">
        <v>107.2757</v>
      </c>
      <c r="G455" s="359">
        <v>19185.08</v>
      </c>
      <c r="H455" s="353" t="str">
        <f t="shared" si="457"/>
        <v>Vanguard Extended Duration Treasury ETF@SELL@-179@19185.08</v>
      </c>
      <c r="I455" s="134">
        <f t="shared" ref="I455:J455" si="460">IFS(AND($B455&lt;&gt;"",$E455&lt;&gt;""),IF(INDEX(N:N,MATCH($C455,$P:$P,0),1)&lt;&gt;"",$E455*INDEX(N:N,MATCH($C455,$P:$P,0),1)+$G455,""),AND($B455&lt;&gt;"",$D455="COST"),$G455,TRUE,)</f>
        <v>247.9760484</v>
      </c>
      <c r="J455" s="134" t="str">
        <f t="shared" si="460"/>
        <v/>
      </c>
      <c r="K455" s="219" t="str">
        <f t="shared" si="3"/>
        <v>Vanguard Extended Duration Treasury ETF</v>
      </c>
      <c r="L455" s="150">
        <f t="shared" si="4"/>
        <v>0</v>
      </c>
      <c r="M455" s="150">
        <f t="shared" si="5"/>
        <v>-4941.36</v>
      </c>
      <c r="N455" s="139" t="str">
        <f t="array" ref="N455">IF($P455&lt;&gt;"",IF(MAXIFS(Investment!$L:$L,Investment!$D:$D,LEFT($P455,40)&amp;"*"),MAXIFS(Investment!$L:$L,Investment!$D:$D,LEFT($P455,40)&amp;"*"),IFERROR(INDEX(Selection!$H:$H, MATCH($P455,Selection!$F:$F,0))/IF(OR(INDEX(Selection!$C:$C, MATCH($P455,Selection!$F:$F,0))="LN",INDEX(Selection!$C:$C, MATCH($P455,Selection!$F:$F,0))="US"),Investment!$K$7,1),"")),"")</f>
        <v/>
      </c>
      <c r="O455" s="144" t="str">
        <f>IF($P455&lt;&gt;"",IF(MAXIFS(Investment!$AG:$AG,Investment!$D:$D,LEFT($P455,40)&amp;"*"),MAXIFS(Investment!$AG:$AG,Investment!$D:$D,LEFT($P455,40)&amp;"*"),""),"")</f>
        <v/>
      </c>
      <c r="P455" s="328"/>
      <c r="R455" s="53"/>
    </row>
    <row r="456">
      <c r="A456" s="354">
        <v>42845.0</v>
      </c>
      <c r="B456" s="355" t="s">
        <v>361</v>
      </c>
      <c r="C456" s="356" t="s">
        <v>989</v>
      </c>
      <c r="D456" s="355" t="s">
        <v>245</v>
      </c>
      <c r="E456" s="357">
        <v>-292.0</v>
      </c>
      <c r="F456" s="358">
        <v>11.4687</v>
      </c>
      <c r="G456" s="359">
        <v>3340.35</v>
      </c>
      <c r="H456" s="353" t="str">
        <f t="shared" si="457"/>
        <v>iShares Gold Trust@SELL@-292@3340.35</v>
      </c>
      <c r="I456" s="134">
        <f t="shared" ref="I456:J456" si="461">IFS(AND($B456&lt;&gt;"",$E456&lt;&gt;""),IF(INDEX(N:N,MATCH($C456,$P:$P,0),1)&lt;&gt;"",$E456*INDEX(N:N,MATCH($C456,$P:$P,0),1)+$G456,""),AND($B456&lt;&gt;"",$D456="COST"),$G456,TRUE,)</f>
        <v>107.4557316</v>
      </c>
      <c r="J456" s="134" t="str">
        <f t="shared" si="461"/>
        <v/>
      </c>
      <c r="K456" s="219" t="str">
        <f t="shared" si="3"/>
        <v>iShares Gold Trust</v>
      </c>
      <c r="L456" s="150">
        <f t="shared" si="4"/>
        <v>0</v>
      </c>
      <c r="M456" s="150">
        <f t="shared" si="5"/>
        <v>140.23</v>
      </c>
      <c r="N456" s="139" t="str">
        <f t="array" ref="N456">IF($P456&lt;&gt;"",IF(MAXIFS(Investment!$L:$L,Investment!$D:$D,LEFT($P456,40)&amp;"*"),MAXIFS(Investment!$L:$L,Investment!$D:$D,LEFT($P456,40)&amp;"*"),IFERROR(INDEX(Selection!$H:$H, MATCH($P456,Selection!$F:$F,0))/IF(OR(INDEX(Selection!$C:$C, MATCH($P456,Selection!$F:$F,0))="LN",INDEX(Selection!$C:$C, MATCH($P456,Selection!$F:$F,0))="US"),Investment!$K$7,1),"")),"")</f>
        <v/>
      </c>
      <c r="O456" s="144" t="str">
        <f>IF($P456&lt;&gt;"",IF(MAXIFS(Investment!$AG:$AG,Investment!$D:$D,LEFT($P456,40)&amp;"*"),MAXIFS(Investment!$AG:$AG,Investment!$D:$D,LEFT($P456,40)&amp;"*"),""),"")</f>
        <v/>
      </c>
      <c r="P456" s="353"/>
      <c r="R456" s="307"/>
    </row>
    <row r="457">
      <c r="A457" s="354">
        <v>42845.0</v>
      </c>
      <c r="B457" s="355" t="s">
        <v>277</v>
      </c>
      <c r="C457" s="356" t="s">
        <v>845</v>
      </c>
      <c r="D457" s="355" t="s">
        <v>245</v>
      </c>
      <c r="E457" s="357">
        <v>-67.0</v>
      </c>
      <c r="F457" s="358">
        <v>99.6126</v>
      </c>
      <c r="G457" s="359">
        <v>6665.55</v>
      </c>
      <c r="H457" s="353" t="str">
        <f t="shared" si="457"/>
        <v>iShares 7-10 Year Treasury Bond ETF@SELL@-67@6665.55</v>
      </c>
      <c r="I457" s="134">
        <f t="shared" ref="I457:J457" si="462">IFS(AND($B457&lt;&gt;"",$E457&lt;&gt;""),IF(INDEX(N:N,MATCH($C457,$P:$P,0),1)&lt;&gt;"",$E457*INDEX(N:N,MATCH($C457,$P:$P,0),1)+$G457,""),AND($B457&lt;&gt;"",$D457="COST"),$G457,TRUE,)</f>
        <v>306.0359381</v>
      </c>
      <c r="J457" s="134" t="str">
        <f t="shared" si="462"/>
        <v/>
      </c>
      <c r="K457" s="219" t="str">
        <f t="shared" si="3"/>
        <v>iShares 7-10 Year Treasury Bond ETF</v>
      </c>
      <c r="L457" s="150">
        <f t="shared" si="4"/>
        <v>0</v>
      </c>
      <c r="M457" s="150">
        <f t="shared" si="5"/>
        <v>-345.82</v>
      </c>
      <c r="N457" s="139" t="str">
        <f t="array" ref="N457">IF($P457&lt;&gt;"",IF(MAXIFS(Investment!$L:$L,Investment!$D:$D,LEFT($P457,40)&amp;"*"),MAXIFS(Investment!$L:$L,Investment!$D:$D,LEFT($P457,40)&amp;"*"),IFERROR(INDEX(Selection!$H:$H, MATCH($P457,Selection!$F:$F,0))/IF(OR(INDEX(Selection!$C:$C, MATCH($P457,Selection!$F:$F,0))="LN",INDEX(Selection!$C:$C, MATCH($P457,Selection!$F:$F,0))="US"),Investment!$K$7,1),"")),"")</f>
        <v/>
      </c>
      <c r="O457" s="144" t="str">
        <f>IF($P457&lt;&gt;"",IF(MAXIFS(Investment!$AG:$AG,Investment!$D:$D,LEFT($P457,40)&amp;"*"),MAXIFS(Investment!$AG:$AG,Investment!$D:$D,LEFT($P457,40)&amp;"*"),""),"")</f>
        <v/>
      </c>
      <c r="P457" s="353"/>
      <c r="R457" s="307"/>
    </row>
    <row r="458" ht="1.5" customHeight="1">
      <c r="A458" s="354">
        <v>42845.0</v>
      </c>
      <c r="B458" s="355" t="s">
        <v>217</v>
      </c>
      <c r="C458" s="356" t="s">
        <v>959</v>
      </c>
      <c r="D458" s="355" t="s">
        <v>245</v>
      </c>
      <c r="E458" s="357">
        <v>-211.0</v>
      </c>
      <c r="F458" s="358">
        <v>14.3195</v>
      </c>
      <c r="G458" s="359">
        <v>3012.92</v>
      </c>
      <c r="H458" s="353" t="str">
        <f t="shared" si="457"/>
        <v>iShares Diversified Commodity Swap UCITS ETF DE@SELL@-211@3012.92</v>
      </c>
      <c r="I458" s="134">
        <f t="shared" ref="I458:J458" si="463">IFS(AND($B458&lt;&gt;"",$E458&lt;&gt;""),IF(INDEX(N:N,MATCH($C458,$P:$P,0),1)&lt;&gt;"",$E458*INDEX(N:N,MATCH($C458,$P:$P,0),1)+$G458,""),AND($B458&lt;&gt;"",$D458="COST"),$G458,TRUE,)</f>
        <v>-748.999</v>
      </c>
      <c r="J458" s="134" t="str">
        <f t="shared" si="463"/>
        <v/>
      </c>
      <c r="K458" s="219" t="str">
        <f t="shared" si="3"/>
        <v>iShares Diversified Commodity Swap UCITS ETF DE</v>
      </c>
      <c r="L458" s="150">
        <f t="shared" si="4"/>
        <v>0</v>
      </c>
      <c r="M458" s="150">
        <f t="shared" si="5"/>
        <v>-296.42</v>
      </c>
      <c r="N458" s="139" t="str">
        <f t="array" ref="N458">IF($P458&lt;&gt;"",IF(MAXIFS(Investment!$L:$L,Investment!$D:$D,LEFT($P458,40)&amp;"*"),MAXIFS(Investment!$L:$L,Investment!$D:$D,LEFT($P458,40)&amp;"*"),IFERROR(INDEX(Selection!$H:$H, MATCH($P458,Selection!$F:$F,0))/IF(OR(INDEX(Selection!$C:$C, MATCH($P458,Selection!$F:$F,0))="LN",INDEX(Selection!$C:$C, MATCH($P458,Selection!$F:$F,0))="US"),Investment!$K$7,1),"")),"")</f>
        <v/>
      </c>
      <c r="O458" s="144" t="str">
        <f>IF($P458&lt;&gt;"",IF(MAXIFS(Investment!$AG:$AG,Investment!$D:$D,LEFT($P458,40)&amp;"*"),MAXIFS(Investment!$AG:$AG,Investment!$D:$D,LEFT($P458,40)&amp;"*"),""),"")</f>
        <v/>
      </c>
      <c r="P458" s="353"/>
      <c r="R458" s="307"/>
    </row>
    <row r="459" ht="1.5" customHeight="1">
      <c r="A459" s="354">
        <v>42845.0</v>
      </c>
      <c r="B459" s="355" t="s">
        <v>307</v>
      </c>
      <c r="C459" s="360" t="s">
        <v>745</v>
      </c>
      <c r="D459" s="355" t="s">
        <v>245</v>
      </c>
      <c r="E459" s="357">
        <v>-120.0</v>
      </c>
      <c r="F459" s="358">
        <v>112.3483</v>
      </c>
      <c r="G459" s="359">
        <v>13469.67</v>
      </c>
      <c r="H459" s="353" t="str">
        <f t="shared" si="457"/>
        <v>Vanguard Total Stock Market ETF@SELL@-120@13469.67</v>
      </c>
      <c r="I459" s="134">
        <f t="shared" ref="I459:J459" si="464">IFS(AND($B459&lt;&gt;"",$E459&lt;&gt;""),IF(INDEX(N:N,MATCH($C459,$P:$P,0),1)&lt;&gt;"",$E459*INDEX(N:N,MATCH($C459,$P:$P,0),1)+$G459,""),AND($B459&lt;&gt;"",$D459="COST"),$G459,TRUE,)</f>
        <v>-1888.108569</v>
      </c>
      <c r="J459" s="134" t="str">
        <f t="shared" si="464"/>
        <v/>
      </c>
      <c r="K459" s="219" t="str">
        <f t="shared" si="3"/>
        <v>Vanguard Total Stock Market ETF</v>
      </c>
      <c r="L459" s="150">
        <f t="shared" si="4"/>
        <v>0</v>
      </c>
      <c r="M459" s="150">
        <f t="shared" si="5"/>
        <v>1880.34</v>
      </c>
      <c r="N459" s="139" t="str">
        <f t="array" ref="N459">IF($P459&lt;&gt;"",IF(MAXIFS(Investment!$L:$L,Investment!$D:$D,LEFT($P459,40)&amp;"*"),MAXIFS(Investment!$L:$L,Investment!$D:$D,LEFT($P459,40)&amp;"*"),IFERROR(INDEX(Selection!$H:$H, MATCH($P459,Selection!$F:$F,0))/IF(OR(INDEX(Selection!$C:$C, MATCH($P459,Selection!$F:$F,0))="LN",INDEX(Selection!$C:$C, MATCH($P459,Selection!$F:$F,0))="US"),Investment!$K$7,1),"")),"")</f>
        <v/>
      </c>
      <c r="O459" s="144" t="str">
        <f>IF($P459&lt;&gt;"",IF(MAXIFS(Investment!$AG:$AG,Investment!$D:$D,LEFT($P459,40)&amp;"*"),MAXIFS(Investment!$AG:$AG,Investment!$D:$D,LEFT($P459,40)&amp;"*"),""),"")</f>
        <v/>
      </c>
      <c r="P459" s="353"/>
      <c r="R459" s="307"/>
    </row>
    <row r="460" ht="1.5" customHeight="1">
      <c r="A460" s="125">
        <v>42845.0</v>
      </c>
      <c r="B460" s="56" t="s">
        <v>277</v>
      </c>
      <c r="C460" s="343" t="s">
        <v>845</v>
      </c>
      <c r="D460" s="56" t="s">
        <v>390</v>
      </c>
      <c r="E460" s="56"/>
      <c r="F460" s="218"/>
      <c r="G460" s="132">
        <v>4.9</v>
      </c>
      <c r="H460" s="353" t="str">
        <f t="shared" si="457"/>
        <v>iShares 7-10 Year Treasury Bond ETF@DIVIDEND@@4.9</v>
      </c>
      <c r="I460" s="134" t="str">
        <f t="shared" ref="I460:J460" si="465">IFS(AND($B460&lt;&gt;"",$E460&lt;&gt;""),IF(INDEX(N:N,MATCH($C460,$P:$P,0),1)&lt;&gt;"",$E460*INDEX(N:N,MATCH($C460,$P:$P,0),1)+$G460,""),AND($B460&lt;&gt;"",$D460="COST"),$G460,TRUE,)</f>
        <v/>
      </c>
      <c r="J460" s="134" t="str">
        <f t="shared" si="465"/>
        <v/>
      </c>
      <c r="K460" s="219" t="str">
        <f t="shared" si="3"/>
        <v>iShares 7-10 Year Treasury Bond ETF</v>
      </c>
      <c r="L460" s="150">
        <f t="shared" si="4"/>
        <v>0</v>
      </c>
      <c r="M460" s="150">
        <f t="shared" si="5"/>
        <v>-345.82</v>
      </c>
      <c r="N460" s="139" t="str">
        <f t="array" ref="N460">IF($P460&lt;&gt;"",IF(MAXIFS(Investment!$L:$L,Investment!$D:$D,LEFT($P460,40)&amp;"*"),MAXIFS(Investment!$L:$L,Investment!$D:$D,LEFT($P460,40)&amp;"*"),IFERROR(INDEX(Selection!$H:$H, MATCH($P460,Selection!$F:$F,0))/IF(OR(INDEX(Selection!$C:$C, MATCH($P460,Selection!$F:$F,0))="LN",INDEX(Selection!$C:$C, MATCH($P460,Selection!$F:$F,0))="US"),Investment!$K$7,1),"")),"")</f>
        <v/>
      </c>
      <c r="O460" s="144" t="str">
        <f>IF($P460&lt;&gt;"",IF(MAXIFS(Investment!$AG:$AG,Investment!$D:$D,LEFT($P460,40)&amp;"*"),MAXIFS(Investment!$AG:$AG,Investment!$D:$D,LEFT($P460,40)&amp;"*"),""),"")</f>
        <v/>
      </c>
      <c r="P460" s="353"/>
      <c r="R460" s="307"/>
    </row>
    <row r="461">
      <c r="A461" s="125">
        <v>42836.0</v>
      </c>
      <c r="B461" s="56" t="s">
        <v>243</v>
      </c>
      <c r="C461" s="343" t="s">
        <v>588</v>
      </c>
      <c r="D461" s="56" t="s">
        <v>390</v>
      </c>
      <c r="E461" s="56"/>
      <c r="F461" s="218"/>
      <c r="G461" s="132">
        <v>56.77</v>
      </c>
      <c r="H461" s="353" t="str">
        <f t="shared" si="457"/>
        <v>Vanguard Extended Duration Treasury ETF@DIVIDEND@@56.77</v>
      </c>
      <c r="I461" s="134" t="str">
        <f t="shared" ref="I461:J461" si="466">IFS(AND($B461&lt;&gt;"",$E461&lt;&gt;""),IF(INDEX(N:N,MATCH($C461,$P:$P,0),1)&lt;&gt;"",$E461*INDEX(N:N,MATCH($C461,$P:$P,0),1)+$G461,""),AND($B461&lt;&gt;"",$D461="COST"),$G461,TRUE,)</f>
        <v/>
      </c>
      <c r="J461" s="134" t="str">
        <f t="shared" si="466"/>
        <v/>
      </c>
      <c r="K461" s="219" t="str">
        <f t="shared" si="3"/>
        <v>Vanguard Extended Duration Treasury ETF</v>
      </c>
      <c r="L461" s="150">
        <f t="shared" si="4"/>
        <v>0</v>
      </c>
      <c r="M461" s="150">
        <f t="shared" si="5"/>
        <v>-4941.36</v>
      </c>
      <c r="N461" s="139" t="str">
        <f t="array" ref="N461">IF($P461&lt;&gt;"",IF(MAXIFS(Investment!$L:$L,Investment!$D:$D,LEFT($P461,40)&amp;"*"),MAXIFS(Investment!$L:$L,Investment!$D:$D,LEFT($P461,40)&amp;"*"),IFERROR(INDEX(Selection!$H:$H, MATCH($P461,Selection!$F:$F,0))/IF(OR(INDEX(Selection!$C:$C, MATCH($P461,Selection!$F:$F,0))="LN",INDEX(Selection!$C:$C, MATCH($P461,Selection!$F:$F,0))="US"),Investment!$K$7,1),"")),"")</f>
        <v/>
      </c>
      <c r="O461" s="144" t="str">
        <f>IF($P461&lt;&gt;"",IF(MAXIFS(Investment!$AG:$AG,Investment!$D:$D,LEFT($P461,40)&amp;"*"),MAXIFS(Investment!$AG:$AG,Investment!$D:$D,LEFT($P461,40)&amp;"*"),""),"")</f>
        <v/>
      </c>
      <c r="P461" s="328"/>
      <c r="R461" s="53"/>
    </row>
    <row r="462" ht="1.5" customHeight="1">
      <c r="A462" s="125">
        <v>42835.0</v>
      </c>
      <c r="B462" s="56" t="s">
        <v>307</v>
      </c>
      <c r="C462" s="343" t="s">
        <v>745</v>
      </c>
      <c r="D462" s="56" t="s">
        <v>390</v>
      </c>
      <c r="E462" s="56"/>
      <c r="F462" s="218"/>
      <c r="G462" s="132">
        <v>29.55</v>
      </c>
      <c r="H462" s="353" t="str">
        <f t="shared" si="457"/>
        <v>Vanguard Total Stock Market ETF@DIVIDEND@@29.55</v>
      </c>
      <c r="I462" s="134" t="str">
        <f t="shared" ref="I462:J462" si="467">IFS(AND($B462&lt;&gt;"",$E462&lt;&gt;""),IF(INDEX(N:N,MATCH($C462,$P:$P,0),1)&lt;&gt;"",$E462*INDEX(N:N,MATCH($C462,$P:$P,0),1)+$G462,""),AND($B462&lt;&gt;"",$D462="COST"),$G462,TRUE,)</f>
        <v/>
      </c>
      <c r="J462" s="134" t="str">
        <f t="shared" si="467"/>
        <v/>
      </c>
      <c r="K462" s="219" t="str">
        <f t="shared" si="3"/>
        <v>Vanguard Total Stock Market ETF</v>
      </c>
      <c r="L462" s="150">
        <f t="shared" si="4"/>
        <v>0</v>
      </c>
      <c r="M462" s="150">
        <f t="shared" si="5"/>
        <v>1880.34</v>
      </c>
      <c r="N462" s="139" t="str">
        <f t="array" ref="N462">IF($P462&lt;&gt;"",IF(MAXIFS(Investment!$L:$L,Investment!$D:$D,LEFT($P462,40)&amp;"*"),MAXIFS(Investment!$L:$L,Investment!$D:$D,LEFT($P462,40)&amp;"*"),IFERROR(INDEX(Selection!$H:$H, MATCH($P462,Selection!$F:$F,0))/IF(OR(INDEX(Selection!$C:$C, MATCH($P462,Selection!$F:$F,0))="LN",INDEX(Selection!$C:$C, MATCH($P462,Selection!$F:$F,0))="US"),Investment!$K$7,1),"")),"")</f>
        <v/>
      </c>
      <c r="O462" s="144" t="str">
        <f>IF($P462&lt;&gt;"",IF(MAXIFS(Investment!$AG:$AG,Investment!$D:$D,LEFT($P462,40)&amp;"*"),MAXIFS(Investment!$AG:$AG,Investment!$D:$D,LEFT($P462,40)&amp;"*"),""),"")</f>
        <v/>
      </c>
      <c r="P462" s="328"/>
      <c r="R462" s="53"/>
    </row>
    <row r="463" ht="1.5" customHeight="1">
      <c r="A463" s="125">
        <v>42829.0</v>
      </c>
      <c r="B463" s="161"/>
      <c r="C463" s="228"/>
      <c r="D463" s="56" t="s">
        <v>263</v>
      </c>
      <c r="E463" s="161"/>
      <c r="F463" s="218"/>
      <c r="G463" s="132">
        <v>-0.16</v>
      </c>
      <c r="H463" s="353" t="str">
        <f t="shared" si="457"/>
        <v>@COST@@-0.16</v>
      </c>
      <c r="I463" s="134" t="str">
        <f t="shared" ref="I463:J463" si="468">IFS(AND($B463&lt;&gt;"",$E463&lt;&gt;""),IF(INDEX(N:N,MATCH($C463,$P:$P,0),1)&lt;&gt;"",$E463*INDEX(N:N,MATCH($C463,$P:$P,0),1)+$G463,""),AND($B463&lt;&gt;"",$D463="COST"),$G463,TRUE,)</f>
        <v/>
      </c>
      <c r="J463" s="134" t="str">
        <f t="shared" si="468"/>
        <v/>
      </c>
      <c r="K463" s="219" t="str">
        <f t="shared" si="3"/>
        <v/>
      </c>
      <c r="L463" s="150" t="str">
        <f t="shared" si="4"/>
        <v/>
      </c>
      <c r="M463" s="150" t="str">
        <f t="shared" si="5"/>
        <v/>
      </c>
      <c r="N463" s="139" t="str">
        <f t="array" ref="N463">IF($P463&lt;&gt;"",IF(MAXIFS(Investment!$L:$L,Investment!$D:$D,LEFT($P463,40)&amp;"*"),MAXIFS(Investment!$L:$L,Investment!$D:$D,LEFT($P463,40)&amp;"*"),IFERROR(INDEX(Selection!$H:$H, MATCH($P463,Selection!$F:$F,0))/IF(OR(INDEX(Selection!$C:$C, MATCH($P463,Selection!$F:$F,0))="LN",INDEX(Selection!$C:$C, MATCH($P463,Selection!$F:$F,0))="US"),Investment!$K$7,1),"")),"")</f>
        <v/>
      </c>
      <c r="O463" s="144" t="str">
        <f>IF($P463&lt;&gt;"",IF(MAXIFS(Investment!$AG:$AG,Investment!$D:$D,LEFT($P463,40)&amp;"*"),MAXIFS(Investment!$AG:$AG,Investment!$D:$D,LEFT($P463,40)&amp;"*"),""),"")</f>
        <v/>
      </c>
      <c r="P463" s="328"/>
      <c r="R463" s="53"/>
    </row>
    <row r="464" ht="1.5" customHeight="1">
      <c r="A464" s="125">
        <v>42803.0</v>
      </c>
      <c r="B464" s="56" t="s">
        <v>277</v>
      </c>
      <c r="C464" s="343" t="s">
        <v>845</v>
      </c>
      <c r="D464" s="56" t="s">
        <v>390</v>
      </c>
      <c r="E464" s="56"/>
      <c r="F464" s="218"/>
      <c r="G464" s="132">
        <v>4.5</v>
      </c>
      <c r="H464" s="353" t="str">
        <f t="shared" si="457"/>
        <v>iShares 7-10 Year Treasury Bond ETF@DIVIDEND@@4.5</v>
      </c>
      <c r="I464" s="134" t="str">
        <f t="shared" ref="I464:J464" si="469">IFS(AND($B464&lt;&gt;"",$E464&lt;&gt;""),IF(INDEX(N:N,MATCH($C464,$P:$P,0),1)&lt;&gt;"",$E464*INDEX(N:N,MATCH($C464,$P:$P,0),1)+$G464,""),AND($B464&lt;&gt;"",$D464="COST"),$G464,TRUE,)</f>
        <v/>
      </c>
      <c r="J464" s="134" t="str">
        <f t="shared" si="469"/>
        <v/>
      </c>
      <c r="K464" s="219" t="str">
        <f t="shared" si="3"/>
        <v>iShares 7-10 Year Treasury Bond ETF</v>
      </c>
      <c r="L464" s="150">
        <f t="shared" si="4"/>
        <v>0</v>
      </c>
      <c r="M464" s="150">
        <f t="shared" si="5"/>
        <v>-345.82</v>
      </c>
      <c r="N464" s="139" t="str">
        <f t="array" ref="N464">IF($P464&lt;&gt;"",IF(MAXIFS(Investment!$L:$L,Investment!$D:$D,LEFT($P464,40)&amp;"*"),MAXIFS(Investment!$L:$L,Investment!$D:$D,LEFT($P464,40)&amp;"*"),IFERROR(INDEX(Selection!$H:$H, MATCH($P464,Selection!$F:$F,0))/IF(OR(INDEX(Selection!$C:$C, MATCH($P464,Selection!$F:$F,0))="LN",INDEX(Selection!$C:$C, MATCH($P464,Selection!$F:$F,0))="US"),Investment!$K$7,1),"")),"")</f>
        <v/>
      </c>
      <c r="O464" s="144" t="str">
        <f>IF($P464&lt;&gt;"",IF(MAXIFS(Investment!$AG:$AG,Investment!$D:$D,LEFT($P464,40)&amp;"*"),MAXIFS(Investment!$AG:$AG,Investment!$D:$D,LEFT($P464,40)&amp;"*"),""),"")</f>
        <v/>
      </c>
      <c r="P464" s="328"/>
      <c r="R464" s="53"/>
    </row>
    <row r="465">
      <c r="A465" s="125">
        <v>42787.0</v>
      </c>
      <c r="B465" s="56" t="s">
        <v>243</v>
      </c>
      <c r="C465" s="343" t="s">
        <v>588</v>
      </c>
      <c r="D465" s="56" t="s">
        <v>222</v>
      </c>
      <c r="E465" s="56">
        <v>23.0</v>
      </c>
      <c r="F465" s="218">
        <v>105.6173</v>
      </c>
      <c r="G465" s="132">
        <v>-2437.7</v>
      </c>
      <c r="H465" s="353" t="str">
        <f t="shared" si="457"/>
        <v>Vanguard Extended Duration Treasury ETF@BUY@23@-2437.7</v>
      </c>
      <c r="I465" s="134">
        <f t="shared" ref="I465:J465" si="470">IFS(AND($B465&lt;&gt;"",$E465&lt;&gt;""),IF(INDEX(N:N,MATCH($C465,$P:$P,0),1)&lt;&gt;"",$E465*INDEX(N:N,MATCH($C465,$P:$P,0),1)+$G465,""),AND($B465&lt;&gt;"",$D465="COST"),$G465,TRUE,)</f>
        <v>-4.440833037</v>
      </c>
      <c r="J465" s="134" t="str">
        <f t="shared" si="470"/>
        <v/>
      </c>
      <c r="K465" s="219" t="str">
        <f t="shared" si="3"/>
        <v>Vanguard Extended Duration Treasury ETF</v>
      </c>
      <c r="L465" s="150">
        <f t="shared" si="4"/>
        <v>0</v>
      </c>
      <c r="M465" s="150">
        <f t="shared" si="5"/>
        <v>-4941.36</v>
      </c>
      <c r="N465" s="139" t="str">
        <f t="array" ref="N465">IF($P465&lt;&gt;"",IF(MAXIFS(Investment!$L:$L,Investment!$D:$D,LEFT($P465,40)&amp;"*"),MAXIFS(Investment!$L:$L,Investment!$D:$D,LEFT($P465,40)&amp;"*"),IFERROR(INDEX(Selection!$H:$H, MATCH($P465,Selection!$F:$F,0))/IF(OR(INDEX(Selection!$C:$C, MATCH($P465,Selection!$F:$F,0))="LN",INDEX(Selection!$C:$C, MATCH($P465,Selection!$F:$F,0))="US"),Investment!$K$7,1),"")),"")</f>
        <v/>
      </c>
      <c r="O465" s="144" t="str">
        <f>IF($P465&lt;&gt;"",IF(MAXIFS(Investment!$AG:$AG,Investment!$D:$D,LEFT($P465,40)&amp;"*"),MAXIFS(Investment!$AG:$AG,Investment!$D:$D,LEFT($P465,40)&amp;"*"),""),"")</f>
        <v/>
      </c>
      <c r="P465" s="328"/>
      <c r="R465" s="53"/>
    </row>
    <row r="466">
      <c r="A466" s="125">
        <v>42787.0</v>
      </c>
      <c r="B466" s="56" t="s">
        <v>307</v>
      </c>
      <c r="C466" s="343" t="s">
        <v>745</v>
      </c>
      <c r="D466" s="56" t="s">
        <v>245</v>
      </c>
      <c r="E466" s="56">
        <v>-16.0</v>
      </c>
      <c r="F466" s="218">
        <v>114.4055</v>
      </c>
      <c r="G466" s="132">
        <v>1821.99</v>
      </c>
      <c r="H466" s="353" t="str">
        <f t="shared" si="457"/>
        <v>Vanguard Total Stock Market ETF@SELL@-16@1821.99</v>
      </c>
      <c r="I466" s="134">
        <f t="shared" ref="I466:J466" si="471">IFS(AND($B466&lt;&gt;"",$E466&lt;&gt;""),IF(INDEX(N:N,MATCH($C466,$P:$P,0),1)&lt;&gt;"",$E466*INDEX(N:N,MATCH($C466,$P:$P,0),1)+$G466,""),AND($B466&lt;&gt;"",$D466="COST"),$G466,TRUE,)</f>
        <v>-225.7138092</v>
      </c>
      <c r="J466" s="134" t="str">
        <f t="shared" si="471"/>
        <v/>
      </c>
      <c r="K466" s="219" t="str">
        <f t="shared" si="3"/>
        <v>Vanguard Total Stock Market ETF</v>
      </c>
      <c r="L466" s="150">
        <f t="shared" si="4"/>
        <v>0</v>
      </c>
      <c r="M466" s="150">
        <f t="shared" si="5"/>
        <v>1880.34</v>
      </c>
      <c r="N466" s="139" t="str">
        <f t="array" ref="N466">IF($P466&lt;&gt;"",IF(MAXIFS(Investment!$L:$L,Investment!$D:$D,LEFT($P466,40)&amp;"*"),MAXIFS(Investment!$L:$L,Investment!$D:$D,LEFT($P466,40)&amp;"*"),IFERROR(INDEX(Selection!$H:$H, MATCH($P466,Selection!$F:$F,0))/IF(OR(INDEX(Selection!$C:$C, MATCH($P466,Selection!$F:$F,0))="LN",INDEX(Selection!$C:$C, MATCH($P466,Selection!$F:$F,0))="US"),Investment!$K$7,1),"")),"")</f>
        <v/>
      </c>
      <c r="O466" s="144" t="str">
        <f>IF($P466&lt;&gt;"",IF(MAXIFS(Investment!$AG:$AG,Investment!$D:$D,LEFT($P466,40)&amp;"*"),MAXIFS(Investment!$AG:$AG,Investment!$D:$D,LEFT($P466,40)&amp;"*"),""),"")</f>
        <v/>
      </c>
      <c r="P466" s="328"/>
      <c r="R466" s="53"/>
    </row>
    <row r="467">
      <c r="A467" s="125">
        <v>42776.0</v>
      </c>
      <c r="B467" s="56" t="s">
        <v>277</v>
      </c>
      <c r="C467" s="343" t="s">
        <v>845</v>
      </c>
      <c r="D467" s="56" t="s">
        <v>390</v>
      </c>
      <c r="E467" s="56"/>
      <c r="F467" s="218"/>
      <c r="G467" s="132">
        <v>4.87</v>
      </c>
      <c r="H467" s="353" t="str">
        <f t="shared" si="457"/>
        <v>iShares 7-10 Year Treasury Bond ETF@DIVIDEND@@4.87</v>
      </c>
      <c r="I467" s="134" t="str">
        <f t="shared" ref="I467:J467" si="472">IFS(AND($B467&lt;&gt;"",$E467&lt;&gt;""),IF(INDEX(N:N,MATCH($C467,$P:$P,0),1)&lt;&gt;"",$E467*INDEX(N:N,MATCH($C467,$P:$P,0),1)+$G467,""),AND($B467&lt;&gt;"",$D467="COST"),$G467,TRUE,)</f>
        <v/>
      </c>
      <c r="J467" s="134" t="str">
        <f t="shared" si="472"/>
        <v/>
      </c>
      <c r="K467" s="219" t="str">
        <f t="shared" si="3"/>
        <v>iShares 7-10 Year Treasury Bond ETF</v>
      </c>
      <c r="L467" s="150">
        <f t="shared" si="4"/>
        <v>0</v>
      </c>
      <c r="M467" s="150">
        <f t="shared" si="5"/>
        <v>-345.82</v>
      </c>
      <c r="N467" s="139" t="str">
        <f t="array" ref="N467">IF($P467&lt;&gt;"",IF(MAXIFS(Investment!$L:$L,Investment!$D:$D,LEFT($P467,40)&amp;"*"),MAXIFS(Investment!$L:$L,Investment!$D:$D,LEFT($P467,40)&amp;"*"),IFERROR(INDEX(Selection!$H:$H, MATCH($P467,Selection!$F:$F,0))/IF(OR(INDEX(Selection!$C:$C, MATCH($P467,Selection!$F:$F,0))="LN",INDEX(Selection!$C:$C, MATCH($P467,Selection!$F:$F,0))="US"),Investment!$K$7,1),"")),"")</f>
        <v/>
      </c>
      <c r="O467" s="144" t="str">
        <f>IF($P467&lt;&gt;"",IF(MAXIFS(Investment!$AG:$AG,Investment!$D:$D,LEFT($P467,40)&amp;"*"),MAXIFS(Investment!$AG:$AG,Investment!$D:$D,LEFT($P467,40)&amp;"*"),""),"")</f>
        <v/>
      </c>
      <c r="P467" s="328"/>
      <c r="R467" s="53"/>
    </row>
    <row r="468">
      <c r="A468" s="125">
        <v>42739.0</v>
      </c>
      <c r="B468" s="161"/>
      <c r="C468" s="228"/>
      <c r="D468" s="56" t="s">
        <v>263</v>
      </c>
      <c r="E468" s="161"/>
      <c r="F468" s="218"/>
      <c r="G468" s="132">
        <v>-0.18</v>
      </c>
      <c r="H468" s="353" t="str">
        <f t="shared" si="457"/>
        <v>@COST@@-0.18</v>
      </c>
      <c r="I468" s="134" t="str">
        <f t="shared" ref="I468:J468" si="473">IFS(AND($B468&lt;&gt;"",$E468&lt;&gt;""),IF(INDEX(N:N,MATCH($C468,$P:$P,0),1)&lt;&gt;"",$E468*INDEX(N:N,MATCH($C468,$P:$P,0),1)+$G468,""),AND($B468&lt;&gt;"",$D468="COST"),$G468,TRUE,)</f>
        <v/>
      </c>
      <c r="J468" s="134" t="str">
        <f t="shared" si="473"/>
        <v/>
      </c>
      <c r="K468" s="219" t="str">
        <f t="shared" si="3"/>
        <v/>
      </c>
      <c r="L468" s="150" t="str">
        <f t="shared" si="4"/>
        <v/>
      </c>
      <c r="M468" s="150" t="str">
        <f t="shared" si="5"/>
        <v/>
      </c>
      <c r="N468" s="139" t="str">
        <f t="array" ref="N468">IF($P468&lt;&gt;"",IF(MAXIFS(Investment!$L:$L,Investment!$D:$D,LEFT($P468,40)&amp;"*"),MAXIFS(Investment!$L:$L,Investment!$D:$D,LEFT($P468,40)&amp;"*"),IFERROR(INDEX(Selection!$H:$H, MATCH($P468,Selection!$F:$F,0))/IF(OR(INDEX(Selection!$C:$C, MATCH($P468,Selection!$F:$F,0))="LN",INDEX(Selection!$C:$C, MATCH($P468,Selection!$F:$F,0))="US"),Investment!$K$7,1),"")),"")</f>
        <v/>
      </c>
      <c r="O468" s="144" t="str">
        <f>IF($P468&lt;&gt;"",IF(MAXIFS(Investment!$AG:$AG,Investment!$D:$D,LEFT($P468,40)&amp;"*"),MAXIFS(Investment!$AG:$AG,Investment!$D:$D,LEFT($P468,40)&amp;"*"),""),"")</f>
        <v/>
      </c>
      <c r="P468" s="328"/>
      <c r="R468" s="53"/>
    </row>
    <row r="469">
      <c r="A469" s="125">
        <v>42738.0</v>
      </c>
      <c r="B469" s="56" t="s">
        <v>277</v>
      </c>
      <c r="C469" s="343" t="s">
        <v>845</v>
      </c>
      <c r="D469" s="56" t="s">
        <v>390</v>
      </c>
      <c r="E469" s="56"/>
      <c r="F469" s="218"/>
      <c r="G469" s="132">
        <v>5.12</v>
      </c>
      <c r="H469" s="353" t="str">
        <f t="shared" si="457"/>
        <v>iShares 7-10 Year Treasury Bond ETF@DIVIDEND@@5.12</v>
      </c>
      <c r="I469" s="134" t="str">
        <f t="shared" ref="I469:J469" si="474">IFS(AND($B469&lt;&gt;"",$E469&lt;&gt;""),IF(INDEX(N:N,MATCH($C469,$P:$P,0),1)&lt;&gt;"",$E469*INDEX(N:N,MATCH($C469,$P:$P,0),1)+$G469,""),AND($B469&lt;&gt;"",$D469="COST"),$G469,TRUE,)</f>
        <v/>
      </c>
      <c r="J469" s="134" t="str">
        <f t="shared" si="474"/>
        <v/>
      </c>
      <c r="K469" s="219" t="str">
        <f t="shared" si="3"/>
        <v>iShares 7-10 Year Treasury Bond ETF</v>
      </c>
      <c r="L469" s="150">
        <f t="shared" si="4"/>
        <v>0</v>
      </c>
      <c r="M469" s="150">
        <f t="shared" si="5"/>
        <v>-345.82</v>
      </c>
      <c r="N469" s="139" t="str">
        <f t="array" ref="N469">IF($P469&lt;&gt;"",IF(MAXIFS(Investment!$L:$L,Investment!$D:$D,LEFT($P469,40)&amp;"*"),MAXIFS(Investment!$L:$L,Investment!$D:$D,LEFT($P469,40)&amp;"*"),IFERROR(INDEX(Selection!$H:$H, MATCH($P469,Selection!$F:$F,0))/IF(OR(INDEX(Selection!$C:$C, MATCH($P469,Selection!$F:$F,0))="LN",INDEX(Selection!$C:$C, MATCH($P469,Selection!$F:$F,0))="US"),Investment!$K$7,1),"")),"")</f>
        <v/>
      </c>
      <c r="O469" s="144" t="str">
        <f>IF($P469&lt;&gt;"",IF(MAXIFS(Investment!$AG:$AG,Investment!$D:$D,LEFT($P469,40)&amp;"*"),MAXIFS(Investment!$AG:$AG,Investment!$D:$D,LEFT($P469,40)&amp;"*"),""),"")</f>
        <v/>
      </c>
      <c r="P469" s="328"/>
      <c r="R469" s="53"/>
    </row>
    <row r="470">
      <c r="A470" s="125">
        <v>42737.0</v>
      </c>
      <c r="B470" s="56" t="s">
        <v>243</v>
      </c>
      <c r="C470" s="343" t="s">
        <v>588</v>
      </c>
      <c r="D470" s="56" t="s">
        <v>390</v>
      </c>
      <c r="E470" s="56"/>
      <c r="F470" s="218"/>
      <c r="G470" s="132">
        <v>2.51</v>
      </c>
      <c r="H470" s="353" t="str">
        <f t="shared" si="457"/>
        <v>Vanguard Extended Duration Treasury ETF@DIVIDEND@@2.51</v>
      </c>
      <c r="I470" s="134" t="str">
        <f t="shared" ref="I470:J470" si="475">IFS(AND($B470&lt;&gt;"",$E470&lt;&gt;""),IF(INDEX(N:N,MATCH($C470,$P:$P,0),1)&lt;&gt;"",$E470*INDEX(N:N,MATCH($C470,$P:$P,0),1)+$G470,""),AND($B470&lt;&gt;"",$D470="COST"),$G470,TRUE,)</f>
        <v/>
      </c>
      <c r="J470" s="134" t="str">
        <f t="shared" si="475"/>
        <v/>
      </c>
      <c r="K470" s="219" t="str">
        <f t="shared" si="3"/>
        <v>Vanguard Extended Duration Treasury ETF</v>
      </c>
      <c r="L470" s="150">
        <f t="shared" si="4"/>
        <v>0</v>
      </c>
      <c r="M470" s="150">
        <f t="shared" si="5"/>
        <v>-4941.36</v>
      </c>
      <c r="N470" s="139" t="str">
        <f t="array" ref="N470">IF($P470&lt;&gt;"",IF(MAXIFS(Investment!$L:$L,Investment!$D:$D,LEFT($P470,40)&amp;"*"),MAXIFS(Investment!$L:$L,Investment!$D:$D,LEFT($P470,40)&amp;"*"),IFERROR(INDEX(Selection!$H:$H, MATCH($P470,Selection!$F:$F,0))/IF(OR(INDEX(Selection!$C:$C, MATCH($P470,Selection!$F:$F,0))="LN",INDEX(Selection!$C:$C, MATCH($P470,Selection!$F:$F,0))="US"),Investment!$K$7,1),"")),"")</f>
        <v/>
      </c>
      <c r="O470" s="144" t="str">
        <f>IF($P470&lt;&gt;"",IF(MAXIFS(Investment!$AG:$AG,Investment!$D:$D,LEFT($P470,40)&amp;"*"),MAXIFS(Investment!$AG:$AG,Investment!$D:$D,LEFT($P470,40)&amp;"*"),""),"")</f>
        <v/>
      </c>
      <c r="P470" s="328"/>
      <c r="R470" s="53"/>
    </row>
    <row r="471">
      <c r="A471" s="125">
        <v>42737.0</v>
      </c>
      <c r="B471" s="56" t="s">
        <v>243</v>
      </c>
      <c r="C471" s="343" t="s">
        <v>588</v>
      </c>
      <c r="D471" s="56" t="s">
        <v>390</v>
      </c>
      <c r="E471" s="56"/>
      <c r="F471" s="218"/>
      <c r="G471" s="132">
        <v>230.23</v>
      </c>
      <c r="H471" s="353" t="str">
        <f t="shared" si="457"/>
        <v>Vanguard Extended Duration Treasury ETF@DIVIDEND@@230.23</v>
      </c>
      <c r="I471" s="134" t="str">
        <f t="shared" ref="I471:J471" si="476">IFS(AND($B471&lt;&gt;"",$E471&lt;&gt;""),IF(INDEX(N:N,MATCH($C471,$P:$P,0),1)&lt;&gt;"",$E471*INDEX(N:N,MATCH($C471,$P:$P,0),1)+$G471,""),AND($B471&lt;&gt;"",$D471="COST"),$G471,TRUE,)</f>
        <v/>
      </c>
      <c r="J471" s="134" t="str">
        <f t="shared" si="476"/>
        <v/>
      </c>
      <c r="K471" s="219" t="str">
        <f t="shared" si="3"/>
        <v>Vanguard Extended Duration Treasury ETF</v>
      </c>
      <c r="L471" s="150">
        <f t="shared" si="4"/>
        <v>0</v>
      </c>
      <c r="M471" s="150">
        <f t="shared" si="5"/>
        <v>-4941.36</v>
      </c>
      <c r="N471" s="139" t="str">
        <f t="array" ref="N471">IF($P471&lt;&gt;"",IF(MAXIFS(Investment!$L:$L,Investment!$D:$D,LEFT($P471,40)&amp;"*"),MAXIFS(Investment!$L:$L,Investment!$D:$D,LEFT($P471,40)&amp;"*"),IFERROR(INDEX(Selection!$H:$H, MATCH($P471,Selection!$F:$F,0))/IF(OR(INDEX(Selection!$C:$C, MATCH($P471,Selection!$F:$F,0))="LN",INDEX(Selection!$C:$C, MATCH($P471,Selection!$F:$F,0))="US"),Investment!$K$7,1),"")),"")</f>
        <v/>
      </c>
      <c r="O471" s="144" t="str">
        <f>IF($P471&lt;&gt;"",IF(MAXIFS(Investment!$AG:$AG,Investment!$D:$D,LEFT($P471,40)&amp;"*"),MAXIFS(Investment!$AG:$AG,Investment!$D:$D,LEFT($P471,40)&amp;"*"),""),"")</f>
        <v/>
      </c>
      <c r="P471" s="328"/>
      <c r="R471" s="53"/>
    </row>
    <row r="472">
      <c r="A472" s="125">
        <v>42733.0</v>
      </c>
      <c r="B472" s="56" t="s">
        <v>243</v>
      </c>
      <c r="C472" s="343" t="s">
        <v>588</v>
      </c>
      <c r="D472" s="56" t="s">
        <v>390</v>
      </c>
      <c r="E472" s="56"/>
      <c r="F472" s="218"/>
      <c r="G472" s="132">
        <v>71.1</v>
      </c>
      <c r="H472" s="353" t="str">
        <f t="shared" si="457"/>
        <v>Vanguard Extended Duration Treasury ETF@DIVIDEND@@71.1</v>
      </c>
      <c r="I472" s="134" t="str">
        <f t="shared" ref="I472:J472" si="477">IFS(AND($B472&lt;&gt;"",$E472&lt;&gt;""),IF(INDEX(N:N,MATCH($C472,$P:$P,0),1)&lt;&gt;"",$E472*INDEX(N:N,MATCH($C472,$P:$P,0),1)+$G472,""),AND($B472&lt;&gt;"",$D472="COST"),$G472,TRUE,)</f>
        <v/>
      </c>
      <c r="J472" s="134" t="str">
        <f t="shared" si="477"/>
        <v/>
      </c>
      <c r="K472" s="219" t="str">
        <f t="shared" si="3"/>
        <v>Vanguard Extended Duration Treasury ETF</v>
      </c>
      <c r="L472" s="150">
        <f t="shared" si="4"/>
        <v>0</v>
      </c>
      <c r="M472" s="150">
        <f t="shared" si="5"/>
        <v>-4941.36</v>
      </c>
      <c r="N472" s="139" t="str">
        <f t="array" ref="N472">IF($P472&lt;&gt;"",IF(MAXIFS(Investment!$L:$L,Investment!$D:$D,LEFT($P472,40)&amp;"*"),MAXIFS(Investment!$L:$L,Investment!$D:$D,LEFT($P472,40)&amp;"*"),IFERROR(INDEX(Selection!$H:$H, MATCH($P472,Selection!$F:$F,0))/IF(OR(INDEX(Selection!$C:$C, MATCH($P472,Selection!$F:$F,0))="LN",INDEX(Selection!$C:$C, MATCH($P472,Selection!$F:$F,0))="US"),Investment!$K$7,1),"")),"")</f>
        <v/>
      </c>
      <c r="O472" s="144" t="str">
        <f>IF($P472&lt;&gt;"",IF(MAXIFS(Investment!$AG:$AG,Investment!$D:$D,LEFT($P472,40)&amp;"*"),MAXIFS(Investment!$AG:$AG,Investment!$D:$D,LEFT($P472,40)&amp;"*"),""),"")</f>
        <v/>
      </c>
      <c r="P472" s="328"/>
      <c r="R472" s="53"/>
    </row>
    <row r="473">
      <c r="A473" s="125">
        <v>42733.0</v>
      </c>
      <c r="B473" s="56" t="s">
        <v>307</v>
      </c>
      <c r="C473" s="343" t="s">
        <v>745</v>
      </c>
      <c r="D473" s="56" t="s">
        <v>390</v>
      </c>
      <c r="E473" s="56"/>
      <c r="F473" s="218"/>
      <c r="G473" s="132">
        <v>46.16</v>
      </c>
      <c r="H473" s="353" t="str">
        <f t="shared" si="457"/>
        <v>Vanguard Total Stock Market ETF@DIVIDEND@@46.16</v>
      </c>
      <c r="I473" s="134" t="str">
        <f t="shared" ref="I473:J473" si="478">IFS(AND($B473&lt;&gt;"",$E473&lt;&gt;""),IF(INDEX(N:N,MATCH($C473,$P:$P,0),1)&lt;&gt;"",$E473*INDEX(N:N,MATCH($C473,$P:$P,0),1)+$G473,""),AND($B473&lt;&gt;"",$D473="COST"),$G473,TRUE,)</f>
        <v/>
      </c>
      <c r="J473" s="134" t="str">
        <f t="shared" si="478"/>
        <v/>
      </c>
      <c r="K473" s="219" t="str">
        <f t="shared" si="3"/>
        <v>Vanguard Total Stock Market ETF</v>
      </c>
      <c r="L473" s="150">
        <f t="shared" si="4"/>
        <v>0</v>
      </c>
      <c r="M473" s="150">
        <f t="shared" si="5"/>
        <v>1880.34</v>
      </c>
      <c r="N473" s="139" t="str">
        <f t="array" ref="N473">IF($P473&lt;&gt;"",IF(MAXIFS(Investment!$L:$L,Investment!$D:$D,LEFT($P473,40)&amp;"*"),MAXIFS(Investment!$L:$L,Investment!$D:$D,LEFT($P473,40)&amp;"*"),IFERROR(INDEX(Selection!$H:$H, MATCH($P473,Selection!$F:$F,0))/IF(OR(INDEX(Selection!$C:$C, MATCH($P473,Selection!$F:$F,0))="LN",INDEX(Selection!$C:$C, MATCH($P473,Selection!$F:$F,0))="US"),Investment!$K$7,1),"")),"")</f>
        <v/>
      </c>
      <c r="O473" s="144" t="str">
        <f>IF($P473&lt;&gt;"",IF(MAXIFS(Investment!$AG:$AG,Investment!$D:$D,LEFT($P473,40)&amp;"*"),MAXIFS(Investment!$AG:$AG,Investment!$D:$D,LEFT($P473,40)&amp;"*"),""),"")</f>
        <v/>
      </c>
      <c r="P473" s="328"/>
      <c r="R473" s="53"/>
    </row>
    <row r="474">
      <c r="A474" s="125">
        <v>42713.0</v>
      </c>
      <c r="B474" s="56" t="s">
        <v>277</v>
      </c>
      <c r="C474" s="343" t="s">
        <v>845</v>
      </c>
      <c r="D474" s="56" t="s">
        <v>390</v>
      </c>
      <c r="E474" s="56"/>
      <c r="F474" s="218"/>
      <c r="G474" s="132">
        <v>4.57</v>
      </c>
      <c r="H474" s="353" t="str">
        <f t="shared" si="457"/>
        <v>iShares 7-10 Year Treasury Bond ETF@DIVIDEND@@4.57</v>
      </c>
      <c r="I474" s="134" t="str">
        <f t="shared" ref="I474:J474" si="479">IFS(AND($B474&lt;&gt;"",$E474&lt;&gt;""),IF(INDEX(N:N,MATCH($C474,$P:$P,0),1)&lt;&gt;"",$E474*INDEX(N:N,MATCH($C474,$P:$P,0),1)+$G474,""),AND($B474&lt;&gt;"",$D474="COST"),$G474,TRUE,)</f>
        <v/>
      </c>
      <c r="J474" s="134" t="str">
        <f t="shared" si="479"/>
        <v/>
      </c>
      <c r="K474" s="219" t="str">
        <f t="shared" si="3"/>
        <v>iShares 7-10 Year Treasury Bond ETF</v>
      </c>
      <c r="L474" s="150">
        <f t="shared" si="4"/>
        <v>0</v>
      </c>
      <c r="M474" s="150">
        <f t="shared" si="5"/>
        <v>-345.82</v>
      </c>
      <c r="N474" s="139" t="str">
        <f t="array" ref="N474">IF($P474&lt;&gt;"",IF(MAXIFS(Investment!$L:$L,Investment!$D:$D,LEFT($P474,40)&amp;"*"),MAXIFS(Investment!$L:$L,Investment!$D:$D,LEFT($P474,40)&amp;"*"),IFERROR(INDEX(Selection!$H:$H, MATCH($P474,Selection!$F:$F,0))/IF(OR(INDEX(Selection!$C:$C, MATCH($P474,Selection!$F:$F,0))="LN",INDEX(Selection!$C:$C, MATCH($P474,Selection!$F:$F,0))="US"),Investment!$K$7,1),"")),"")</f>
        <v/>
      </c>
      <c r="O474" s="144" t="str">
        <f>IF($P474&lt;&gt;"",IF(MAXIFS(Investment!$AG:$AG,Investment!$D:$D,LEFT($P474,40)&amp;"*"),MAXIFS(Investment!$AG:$AG,Investment!$D:$D,LEFT($P474,40)&amp;"*"),""),"")</f>
        <v/>
      </c>
      <c r="P474" s="328"/>
      <c r="R474" s="53"/>
    </row>
    <row r="475">
      <c r="A475" s="125">
        <v>42683.0</v>
      </c>
      <c r="B475" s="56" t="s">
        <v>277</v>
      </c>
      <c r="C475" s="343" t="s">
        <v>845</v>
      </c>
      <c r="D475" s="56" t="s">
        <v>390</v>
      </c>
      <c r="E475" s="56"/>
      <c r="F475" s="218"/>
      <c r="G475" s="132">
        <v>4.57</v>
      </c>
      <c r="H475" s="353" t="str">
        <f t="shared" si="457"/>
        <v>iShares 7-10 Year Treasury Bond ETF@DIVIDEND@@4.57</v>
      </c>
      <c r="I475" s="134" t="str">
        <f t="shared" ref="I475:J475" si="480">IFS(AND($B475&lt;&gt;"",$E475&lt;&gt;""),IF(INDEX(N:N,MATCH($C475,$P:$P,0),1)&lt;&gt;"",$E475*INDEX(N:N,MATCH($C475,$P:$P,0),1)+$G475,""),AND($B475&lt;&gt;"",$D475="COST"),$G475,TRUE,)</f>
        <v/>
      </c>
      <c r="J475" s="134" t="str">
        <f t="shared" si="480"/>
        <v/>
      </c>
      <c r="K475" s="219" t="str">
        <f t="shared" si="3"/>
        <v>iShares 7-10 Year Treasury Bond ETF</v>
      </c>
      <c r="L475" s="150">
        <f t="shared" si="4"/>
        <v>0</v>
      </c>
      <c r="M475" s="150">
        <f t="shared" si="5"/>
        <v>-345.82</v>
      </c>
      <c r="N475" s="139" t="str">
        <f t="array" ref="N475">IF($P475&lt;&gt;"",IF(MAXIFS(Investment!$L:$L,Investment!$D:$D,LEFT($P475,40)&amp;"*"),MAXIFS(Investment!$L:$L,Investment!$D:$D,LEFT($P475,40)&amp;"*"),IFERROR(INDEX(Selection!$H:$H, MATCH($P475,Selection!$F:$F,0))/IF(OR(INDEX(Selection!$C:$C, MATCH($P475,Selection!$F:$F,0))="LN",INDEX(Selection!$C:$C, MATCH($P475,Selection!$F:$F,0))="US"),Investment!$K$7,1),"")),"")</f>
        <v/>
      </c>
      <c r="O475" s="144" t="str">
        <f>IF($P475&lt;&gt;"",IF(MAXIFS(Investment!$AG:$AG,Investment!$D:$D,LEFT($P475,40)&amp;"*"),MAXIFS(Investment!$AG:$AG,Investment!$D:$D,LEFT($P475,40)&amp;"*"),""),"")</f>
        <v/>
      </c>
      <c r="P475" s="328"/>
      <c r="R475" s="53"/>
    </row>
    <row r="476">
      <c r="A476" s="125">
        <v>42653.0</v>
      </c>
      <c r="B476" s="161"/>
      <c r="C476" s="228"/>
      <c r="D476" s="361" t="s">
        <v>263</v>
      </c>
      <c r="E476" s="161"/>
      <c r="F476" s="218"/>
      <c r="G476" s="132">
        <v>-0.16</v>
      </c>
      <c r="H476" s="353" t="str">
        <f t="shared" si="457"/>
        <v>@COST@@-0.16</v>
      </c>
      <c r="I476" s="134" t="str">
        <f t="shared" ref="I476:J476" si="481">IFS(AND($B476&lt;&gt;"",$E476&lt;&gt;""),IF(INDEX(N:N,MATCH($C476,$P:$P,0),1)&lt;&gt;"",$E476*INDEX(N:N,MATCH($C476,$P:$P,0),1)+$G476,""),AND($B476&lt;&gt;"",$D476="COST"),$G476,TRUE,)</f>
        <v/>
      </c>
      <c r="J476" s="134" t="str">
        <f t="shared" si="481"/>
        <v/>
      </c>
      <c r="K476" s="219" t="str">
        <f t="shared" si="3"/>
        <v/>
      </c>
      <c r="L476" s="150" t="str">
        <f t="shared" si="4"/>
        <v/>
      </c>
      <c r="M476" s="150" t="str">
        <f t="shared" si="5"/>
        <v/>
      </c>
      <c r="N476" s="139" t="str">
        <f t="array" ref="N476">IF($P476&lt;&gt;"",IF(MAXIFS(Investment!$L:$L,Investment!$D:$D,LEFT($P476,40)&amp;"*"),MAXIFS(Investment!$L:$L,Investment!$D:$D,LEFT($P476,40)&amp;"*"),IFERROR(INDEX(Selection!$H:$H, MATCH($P476,Selection!$F:$F,0))/IF(OR(INDEX(Selection!$C:$C, MATCH($P476,Selection!$F:$F,0))="LN",INDEX(Selection!$C:$C, MATCH($P476,Selection!$F:$F,0))="US"),Investment!$K$7,1),"")),"")</f>
        <v/>
      </c>
      <c r="O476" s="144" t="str">
        <f>IF($P476&lt;&gt;"",IF(MAXIFS(Investment!$AG:$AG,Investment!$D:$D,LEFT($P476,40)&amp;"*"),MAXIFS(Investment!$AG:$AG,Investment!$D:$D,LEFT($P476,40)&amp;"*"),""),"")</f>
        <v/>
      </c>
      <c r="P476" s="328"/>
      <c r="R476" s="53"/>
    </row>
    <row r="477">
      <c r="A477" s="125">
        <v>42644.0</v>
      </c>
      <c r="B477" s="56" t="s">
        <v>277</v>
      </c>
      <c r="C477" s="343" t="s">
        <v>845</v>
      </c>
      <c r="D477" s="56" t="s">
        <v>390</v>
      </c>
      <c r="E477" s="56"/>
      <c r="F477" s="218"/>
      <c r="G477" s="132">
        <v>4.4</v>
      </c>
      <c r="H477" s="353" t="str">
        <f t="shared" si="457"/>
        <v>iShares 7-10 Year Treasury Bond ETF@DIVIDEND@@4.4</v>
      </c>
      <c r="I477" s="134" t="str">
        <f t="shared" ref="I477:J477" si="482">IFS(AND($B477&lt;&gt;"",$E477&lt;&gt;""),IF(INDEX(N:N,MATCH($C477,$P:$P,0),1)&lt;&gt;"",$E477*INDEX(N:N,MATCH($C477,$P:$P,0),1)+$G477,""),AND($B477&lt;&gt;"",$D477="COST"),$G477,TRUE,)</f>
        <v/>
      </c>
      <c r="J477" s="134" t="str">
        <f t="shared" si="482"/>
        <v/>
      </c>
      <c r="K477" s="219" t="str">
        <f t="shared" si="3"/>
        <v>iShares 7-10 Year Treasury Bond ETF</v>
      </c>
      <c r="L477" s="150">
        <f t="shared" si="4"/>
        <v>0</v>
      </c>
      <c r="M477" s="150">
        <f t="shared" si="5"/>
        <v>-345.82</v>
      </c>
      <c r="N477" s="139" t="str">
        <f t="array" ref="N477">IF($P477&lt;&gt;"",IF(MAXIFS(Investment!$L:$L,Investment!$D:$D,LEFT($P477,40)&amp;"*"),MAXIFS(Investment!$L:$L,Investment!$D:$D,LEFT($P477,40)&amp;"*"),IFERROR(INDEX(Selection!$H:$H, MATCH($P477,Selection!$F:$F,0))/IF(OR(INDEX(Selection!$C:$C, MATCH($P477,Selection!$F:$F,0))="LN",INDEX(Selection!$C:$C, MATCH($P477,Selection!$F:$F,0))="US"),Investment!$K$7,1),"")),"")</f>
        <v/>
      </c>
      <c r="O477" s="144" t="str">
        <f>IF($P477&lt;&gt;"",IF(MAXIFS(Investment!$AG:$AG,Investment!$D:$D,LEFT($P477,40)&amp;"*"),MAXIFS(Investment!$AG:$AG,Investment!$D:$D,LEFT($P477,40)&amp;"*"),""),"")</f>
        <v/>
      </c>
      <c r="P477" s="328"/>
      <c r="R477" s="53"/>
    </row>
    <row r="478">
      <c r="A478" s="125">
        <v>42641.0</v>
      </c>
      <c r="B478" s="56" t="s">
        <v>243</v>
      </c>
      <c r="C478" s="343" t="s">
        <v>588</v>
      </c>
      <c r="D478" s="56" t="s">
        <v>390</v>
      </c>
      <c r="E478" s="56"/>
      <c r="F478" s="218"/>
      <c r="G478" s="132">
        <v>58.66</v>
      </c>
      <c r="H478" s="353" t="str">
        <f t="shared" si="457"/>
        <v>Vanguard Extended Duration Treasury ETF@DIVIDEND@@58.66</v>
      </c>
      <c r="I478" s="134" t="str">
        <f t="shared" ref="I478:J478" si="483">IFS(AND($B478&lt;&gt;"",$E478&lt;&gt;""),IF(INDEX(N:N,MATCH($C478,$P:$P,0),1)&lt;&gt;"",$E478*INDEX(N:N,MATCH($C478,$P:$P,0),1)+$G478,""),AND($B478&lt;&gt;"",$D478="COST"),$G478,TRUE,)</f>
        <v/>
      </c>
      <c r="J478" s="134" t="str">
        <f t="shared" si="483"/>
        <v/>
      </c>
      <c r="K478" s="219" t="str">
        <f t="shared" si="3"/>
        <v>Vanguard Extended Duration Treasury ETF</v>
      </c>
      <c r="L478" s="150">
        <f t="shared" si="4"/>
        <v>0</v>
      </c>
      <c r="M478" s="150">
        <f t="shared" si="5"/>
        <v>-4941.36</v>
      </c>
      <c r="N478" s="139" t="str">
        <f t="array" ref="N478">IF($P478&lt;&gt;"",IF(MAXIFS(Investment!$L:$L,Investment!$D:$D,LEFT($P478,40)&amp;"*"),MAXIFS(Investment!$L:$L,Investment!$D:$D,LEFT($P478,40)&amp;"*"),IFERROR(INDEX(Selection!$H:$H, MATCH($P478,Selection!$F:$F,0))/IF(OR(INDEX(Selection!$C:$C, MATCH($P478,Selection!$F:$F,0))="LN",INDEX(Selection!$C:$C, MATCH($P478,Selection!$F:$F,0))="US"),Investment!$K$7,1),"")),"")</f>
        <v/>
      </c>
      <c r="O478" s="144" t="str">
        <f>IF($P478&lt;&gt;"",IF(MAXIFS(Investment!$AG:$AG,Investment!$D:$D,LEFT($P478,40)&amp;"*"),MAXIFS(Investment!$AG:$AG,Investment!$D:$D,LEFT($P478,40)&amp;"*"),""),"")</f>
        <v/>
      </c>
      <c r="P478" s="328"/>
      <c r="R478" s="53"/>
    </row>
    <row r="479">
      <c r="A479" s="125">
        <v>42634.0</v>
      </c>
      <c r="B479" s="56" t="s">
        <v>307</v>
      </c>
      <c r="C479" s="343" t="s">
        <v>745</v>
      </c>
      <c r="D479" s="56" t="s">
        <v>390</v>
      </c>
      <c r="E479" s="56"/>
      <c r="F479" s="218"/>
      <c r="G479" s="132">
        <v>31.85</v>
      </c>
      <c r="H479" s="353" t="str">
        <f t="shared" si="457"/>
        <v>Vanguard Total Stock Market ETF@DIVIDEND@@31.85</v>
      </c>
      <c r="I479" s="134" t="str">
        <f t="shared" ref="I479:J479" si="484">IFS(AND($B479&lt;&gt;"",$E479&lt;&gt;""),IF(INDEX(N:N,MATCH($C479,$P:$P,0),1)&lt;&gt;"",$E479*INDEX(N:N,MATCH($C479,$P:$P,0),1)+$G479,""),AND($B479&lt;&gt;"",$D479="COST"),$G479,TRUE,)</f>
        <v/>
      </c>
      <c r="J479" s="134" t="str">
        <f t="shared" si="484"/>
        <v/>
      </c>
      <c r="K479" s="219" t="str">
        <f t="shared" si="3"/>
        <v>Vanguard Total Stock Market ETF</v>
      </c>
      <c r="L479" s="150">
        <f t="shared" si="4"/>
        <v>0</v>
      </c>
      <c r="M479" s="150">
        <f t="shared" si="5"/>
        <v>1880.34</v>
      </c>
      <c r="N479" s="139" t="str">
        <f t="array" ref="N479">IF($P479&lt;&gt;"",IF(MAXIFS(Investment!$L:$L,Investment!$D:$D,LEFT($P479,40)&amp;"*"),MAXIFS(Investment!$L:$L,Investment!$D:$D,LEFT($P479,40)&amp;"*"),IFERROR(INDEX(Selection!$H:$H, MATCH($P479,Selection!$F:$F,0))/IF(OR(INDEX(Selection!$C:$C, MATCH($P479,Selection!$F:$F,0))="LN",INDEX(Selection!$C:$C, MATCH($P479,Selection!$F:$F,0))="US"),Investment!$K$7,1),"")),"")</f>
        <v/>
      </c>
      <c r="O479" s="144" t="str">
        <f>IF($P479&lt;&gt;"",IF(MAXIFS(Investment!$AG:$AG,Investment!$D:$D,LEFT($P479,40)&amp;"*"),MAXIFS(Investment!$AG:$AG,Investment!$D:$D,LEFT($P479,40)&amp;"*"),""),"")</f>
        <v/>
      </c>
      <c r="P479" s="328"/>
      <c r="R479" s="53"/>
    </row>
    <row r="480">
      <c r="A480" s="125">
        <v>42632.0</v>
      </c>
      <c r="B480" s="56" t="s">
        <v>277</v>
      </c>
      <c r="C480" s="343" t="s">
        <v>845</v>
      </c>
      <c r="D480" s="56" t="s">
        <v>390</v>
      </c>
      <c r="E480" s="56"/>
      <c r="F480" s="218"/>
      <c r="G480" s="132">
        <v>3.31</v>
      </c>
      <c r="H480" s="353" t="str">
        <f t="shared" si="457"/>
        <v>iShares 7-10 Year Treasury Bond ETF@DIVIDEND@@3.31</v>
      </c>
      <c r="I480" s="134" t="str">
        <f t="shared" ref="I480:J480" si="485">IFS(AND($B480&lt;&gt;"",$E480&lt;&gt;""),IF(INDEX(N:N,MATCH($C480,$P:$P,0),1)&lt;&gt;"",$E480*INDEX(N:N,MATCH($C480,$P:$P,0),1)+$G480,""),AND($B480&lt;&gt;"",$D480="COST"),$G480,TRUE,)</f>
        <v/>
      </c>
      <c r="J480" s="134" t="str">
        <f t="shared" si="485"/>
        <v/>
      </c>
      <c r="K480" s="219" t="str">
        <f t="shared" si="3"/>
        <v>iShares 7-10 Year Treasury Bond ETF</v>
      </c>
      <c r="L480" s="150">
        <f t="shared" si="4"/>
        <v>0</v>
      </c>
      <c r="M480" s="150">
        <f t="shared" si="5"/>
        <v>-345.82</v>
      </c>
      <c r="N480" s="139" t="str">
        <f t="array" ref="N480">IF($P480&lt;&gt;"",IF(MAXIFS(Investment!$L:$L,Investment!$D:$D,LEFT($P480,40)&amp;"*"),MAXIFS(Investment!$L:$L,Investment!$D:$D,LEFT($P480,40)&amp;"*"),IFERROR(INDEX(Selection!$H:$H, MATCH($P480,Selection!$F:$F,0))/IF(OR(INDEX(Selection!$C:$C, MATCH($P480,Selection!$F:$F,0))="LN",INDEX(Selection!$C:$C, MATCH($P480,Selection!$F:$F,0))="US"),Investment!$K$7,1),"")),"")</f>
        <v/>
      </c>
      <c r="O480" s="144" t="str">
        <f>IF($P480&lt;&gt;"",IF(MAXIFS(Investment!$AG:$AG,Investment!$D:$D,LEFT($P480,40)&amp;"*"),MAXIFS(Investment!$AG:$AG,Investment!$D:$D,LEFT($P480,40)&amp;"*"),""),"")</f>
        <v/>
      </c>
      <c r="P480" s="328"/>
      <c r="R480" s="53"/>
    </row>
    <row r="481">
      <c r="A481" s="125">
        <v>42632.0</v>
      </c>
      <c r="B481" s="56" t="s">
        <v>243</v>
      </c>
      <c r="C481" s="343" t="s">
        <v>588</v>
      </c>
      <c r="D481" s="56" t="s">
        <v>390</v>
      </c>
      <c r="E481" s="56"/>
      <c r="F481" s="218"/>
      <c r="G481" s="132">
        <v>21.31</v>
      </c>
      <c r="H481" s="353" t="str">
        <f t="shared" si="457"/>
        <v>Vanguard Extended Duration Treasury ETF@DIVIDEND@@21.31</v>
      </c>
      <c r="I481" s="134" t="str">
        <f t="shared" ref="I481:J481" si="486">IFS(AND($B481&lt;&gt;"",$E481&lt;&gt;""),IF(INDEX(N:N,MATCH($C481,$P:$P,0),1)&lt;&gt;"",$E481*INDEX(N:N,MATCH($C481,$P:$P,0),1)+$G481,""),AND($B481&lt;&gt;"",$D481="COST"),$G481,TRUE,)</f>
        <v/>
      </c>
      <c r="J481" s="134" t="str">
        <f t="shared" si="486"/>
        <v/>
      </c>
      <c r="K481" s="219" t="str">
        <f t="shared" si="3"/>
        <v>Vanguard Extended Duration Treasury ETF</v>
      </c>
      <c r="L481" s="150">
        <f t="shared" si="4"/>
        <v>0</v>
      </c>
      <c r="M481" s="150">
        <f t="shared" si="5"/>
        <v>-4941.36</v>
      </c>
      <c r="N481" s="139" t="str">
        <f t="array" ref="N481">IF($P481&lt;&gt;"",IF(MAXIFS(Investment!$L:$L,Investment!$D:$D,LEFT($P481,40)&amp;"*"),MAXIFS(Investment!$L:$L,Investment!$D:$D,LEFT($P481,40)&amp;"*"),IFERROR(INDEX(Selection!$H:$H, MATCH($P481,Selection!$F:$F,0))/IF(OR(INDEX(Selection!$C:$C, MATCH($P481,Selection!$F:$F,0))="LN",INDEX(Selection!$C:$C, MATCH($P481,Selection!$F:$F,0))="US"),Investment!$K$7,1),"")),"")</f>
        <v/>
      </c>
      <c r="O481" s="144" t="str">
        <f>IF($P481&lt;&gt;"",IF(MAXIFS(Investment!$AG:$AG,Investment!$D:$D,LEFT($P481,40)&amp;"*"),MAXIFS(Investment!$AG:$AG,Investment!$D:$D,LEFT($P481,40)&amp;"*"),""),"")</f>
        <v/>
      </c>
      <c r="P481" s="328"/>
      <c r="R481" s="53"/>
    </row>
    <row r="482">
      <c r="A482" s="125">
        <v>42625.0</v>
      </c>
      <c r="B482" s="56" t="s">
        <v>277</v>
      </c>
      <c r="C482" s="343" t="s">
        <v>845</v>
      </c>
      <c r="D482" s="56" t="s">
        <v>390</v>
      </c>
      <c r="E482" s="56"/>
      <c r="F482" s="218"/>
      <c r="G482" s="132">
        <v>4.53</v>
      </c>
      <c r="H482" s="353" t="str">
        <f t="shared" si="457"/>
        <v>iShares 7-10 Year Treasury Bond ETF@DIVIDEND@@4.53</v>
      </c>
      <c r="I482" s="134" t="str">
        <f t="shared" ref="I482:J482" si="487">IFS(AND($B482&lt;&gt;"",$E482&lt;&gt;""),IF(INDEX(N:N,MATCH($C482,$P:$P,0),1)&lt;&gt;"",$E482*INDEX(N:N,MATCH($C482,$P:$P,0),1)+$G482,""),AND($B482&lt;&gt;"",$D482="COST"),$G482,TRUE,)</f>
        <v/>
      </c>
      <c r="J482" s="134" t="str">
        <f t="shared" si="487"/>
        <v/>
      </c>
      <c r="K482" s="219" t="str">
        <f t="shared" si="3"/>
        <v>iShares 7-10 Year Treasury Bond ETF</v>
      </c>
      <c r="L482" s="150">
        <f t="shared" si="4"/>
        <v>0</v>
      </c>
      <c r="M482" s="150">
        <f t="shared" si="5"/>
        <v>-345.82</v>
      </c>
      <c r="N482" s="139" t="str">
        <f t="array" ref="N482">IF($P482&lt;&gt;"",IF(MAXIFS(Investment!$L:$L,Investment!$D:$D,LEFT($P482,40)&amp;"*"),MAXIFS(Investment!$L:$L,Investment!$D:$D,LEFT($P482,40)&amp;"*"),IFERROR(INDEX(Selection!$H:$H, MATCH($P482,Selection!$F:$F,0))/IF(OR(INDEX(Selection!$C:$C, MATCH($P482,Selection!$F:$F,0))="LN",INDEX(Selection!$C:$C, MATCH($P482,Selection!$F:$F,0))="US"),Investment!$K$7,1),"")),"")</f>
        <v/>
      </c>
      <c r="O482" s="144" t="str">
        <f>IF($P482&lt;&gt;"",IF(MAXIFS(Investment!$AG:$AG,Investment!$D:$D,LEFT($P482,40)&amp;"*"),MAXIFS(Investment!$AG:$AG,Investment!$D:$D,LEFT($P482,40)&amp;"*"),""),"")</f>
        <v/>
      </c>
      <c r="P482" s="328"/>
      <c r="R482" s="53"/>
    </row>
    <row r="483">
      <c r="A483" s="125">
        <v>42605.0</v>
      </c>
      <c r="B483" s="56" t="s">
        <v>277</v>
      </c>
      <c r="C483" s="343" t="s">
        <v>845</v>
      </c>
      <c r="D483" s="56" t="s">
        <v>390</v>
      </c>
      <c r="E483" s="56"/>
      <c r="F483" s="218"/>
      <c r="G483" s="132">
        <v>4.7</v>
      </c>
      <c r="H483" s="353" t="str">
        <f t="shared" si="457"/>
        <v>iShares 7-10 Year Treasury Bond ETF@DIVIDEND@@4.7</v>
      </c>
      <c r="I483" s="134" t="str">
        <f t="shared" ref="I483:J483" si="488">IFS(AND($B483&lt;&gt;"",$E483&lt;&gt;""),IF(INDEX(N:N,MATCH($C483,$P:$P,0),1)&lt;&gt;"",$E483*INDEX(N:N,MATCH($C483,$P:$P,0),1)+$G483,""),AND($B483&lt;&gt;"",$D483="COST"),$G483,TRUE,)</f>
        <v/>
      </c>
      <c r="J483" s="134" t="str">
        <f t="shared" si="488"/>
        <v/>
      </c>
      <c r="K483" s="219" t="str">
        <f t="shared" si="3"/>
        <v>iShares 7-10 Year Treasury Bond ETF</v>
      </c>
      <c r="L483" s="150">
        <f t="shared" si="4"/>
        <v>0</v>
      </c>
      <c r="M483" s="150">
        <f t="shared" si="5"/>
        <v>-345.82</v>
      </c>
      <c r="N483" s="139" t="str">
        <f t="array" ref="N483">IF($P483&lt;&gt;"",IF(MAXIFS(Investment!$L:$L,Investment!$D:$D,LEFT($P483,40)&amp;"*"),MAXIFS(Investment!$L:$L,Investment!$D:$D,LEFT($P483,40)&amp;"*"),IFERROR(INDEX(Selection!$H:$H, MATCH($P483,Selection!$F:$F,0))/IF(OR(INDEX(Selection!$C:$C, MATCH($P483,Selection!$F:$F,0))="LN",INDEX(Selection!$C:$C, MATCH($P483,Selection!$F:$F,0))="US"),Investment!$K$7,1),"")),"")</f>
        <v/>
      </c>
      <c r="O483" s="144" t="str">
        <f>IF($P483&lt;&gt;"",IF(MAXIFS(Investment!$AG:$AG,Investment!$D:$D,LEFT($P483,40)&amp;"*"),MAXIFS(Investment!$AG:$AG,Investment!$D:$D,LEFT($P483,40)&amp;"*"),""),"")</f>
        <v/>
      </c>
      <c r="P483" s="328"/>
      <c r="R483" s="53"/>
    </row>
    <row r="484">
      <c r="A484" s="125">
        <v>42563.0</v>
      </c>
      <c r="B484" s="56" t="s">
        <v>277</v>
      </c>
      <c r="C484" s="343" t="s">
        <v>845</v>
      </c>
      <c r="D484" s="56" t="s">
        <v>390</v>
      </c>
      <c r="E484" s="56"/>
      <c r="F484" s="218"/>
      <c r="G484" s="132">
        <v>4.69</v>
      </c>
      <c r="H484" s="353" t="str">
        <f t="shared" si="457"/>
        <v>iShares 7-10 Year Treasury Bond ETF@DIVIDEND@@4.69</v>
      </c>
      <c r="I484" s="134" t="str">
        <f t="shared" ref="I484:J484" si="489">IFS(AND($B484&lt;&gt;"",$E484&lt;&gt;""),IF(INDEX(N:N,MATCH($C484,$P:$P,0),1)&lt;&gt;"",$E484*INDEX(N:N,MATCH($C484,$P:$P,0),1)+$G484,""),AND($B484&lt;&gt;"",$D484="COST"),$G484,TRUE,)</f>
        <v/>
      </c>
      <c r="J484" s="134" t="str">
        <f t="shared" si="489"/>
        <v/>
      </c>
      <c r="K484" s="219" t="str">
        <f t="shared" si="3"/>
        <v>iShares 7-10 Year Treasury Bond ETF</v>
      </c>
      <c r="L484" s="150">
        <f t="shared" si="4"/>
        <v>0</v>
      </c>
      <c r="M484" s="150">
        <f t="shared" si="5"/>
        <v>-345.82</v>
      </c>
      <c r="N484" s="139" t="str">
        <f t="array" ref="N484">IF($P484&lt;&gt;"",IF(MAXIFS(Investment!$L:$L,Investment!$D:$D,LEFT($P484,40)&amp;"*"),MAXIFS(Investment!$L:$L,Investment!$D:$D,LEFT($P484,40)&amp;"*"),IFERROR(INDEX(Selection!$H:$H, MATCH($P484,Selection!$F:$F,0))/IF(OR(INDEX(Selection!$C:$C, MATCH($P484,Selection!$F:$F,0))="LN",INDEX(Selection!$C:$C, MATCH($P484,Selection!$F:$F,0))="US"),Investment!$K$7,1),"")),"")</f>
        <v/>
      </c>
      <c r="O484" s="144" t="str">
        <f>IF($P484&lt;&gt;"",IF(MAXIFS(Investment!$AG:$AG,Investment!$D:$D,LEFT($P484,40)&amp;"*"),MAXIFS(Investment!$AG:$AG,Investment!$D:$D,LEFT($P484,40)&amp;"*"),""),"")</f>
        <v/>
      </c>
      <c r="P484" s="328"/>
      <c r="R484" s="53"/>
    </row>
    <row r="485">
      <c r="A485" s="125">
        <v>42557.0</v>
      </c>
      <c r="B485" s="161"/>
      <c r="C485" s="228"/>
      <c r="D485" s="361" t="s">
        <v>263</v>
      </c>
      <c r="E485" s="161"/>
      <c r="F485" s="218"/>
      <c r="G485" s="132">
        <v>-0.17</v>
      </c>
      <c r="H485" s="353" t="str">
        <f t="shared" si="457"/>
        <v>@COST@@-0.17</v>
      </c>
      <c r="I485" s="134" t="str">
        <f t="shared" ref="I485:J485" si="490">IFS(AND($B485&lt;&gt;"",$E485&lt;&gt;""),IF(INDEX(N:N,MATCH($C485,$P:$P,0),1)&lt;&gt;"",$E485*INDEX(N:N,MATCH($C485,$P:$P,0),1)+$G485,""),AND($B485&lt;&gt;"",$D485="COST"),$G485,TRUE,)</f>
        <v/>
      </c>
      <c r="J485" s="134" t="str">
        <f t="shared" si="490"/>
        <v/>
      </c>
      <c r="K485" s="219" t="str">
        <f t="shared" si="3"/>
        <v/>
      </c>
      <c r="L485" s="150" t="str">
        <f t="shared" si="4"/>
        <v/>
      </c>
      <c r="M485" s="150" t="str">
        <f t="shared" si="5"/>
        <v/>
      </c>
      <c r="N485" s="139" t="str">
        <f t="array" ref="N485">IF($P485&lt;&gt;"",IF(MAXIFS(Investment!$L:$L,Investment!$D:$D,LEFT($P485,40)&amp;"*"),MAXIFS(Investment!$L:$L,Investment!$D:$D,LEFT($P485,40)&amp;"*"),IFERROR(INDEX(Selection!$H:$H, MATCH($P485,Selection!$F:$F,0))/IF(OR(INDEX(Selection!$C:$C, MATCH($P485,Selection!$F:$F,0))="LN",INDEX(Selection!$C:$C, MATCH($P485,Selection!$F:$F,0))="US"),Investment!$K$7,1),"")),"")</f>
        <v/>
      </c>
      <c r="O485" s="144" t="str">
        <f>IF($P485&lt;&gt;"",IF(MAXIFS(Investment!$AG:$AG,Investment!$D:$D,LEFT($P485,40)&amp;"*"),MAXIFS(Investment!$AG:$AG,Investment!$D:$D,LEFT($P485,40)&amp;"*"),""),"")</f>
        <v/>
      </c>
      <c r="P485" s="328"/>
      <c r="R485" s="53"/>
    </row>
    <row r="486">
      <c r="A486" s="125">
        <v>42551.0</v>
      </c>
      <c r="B486" s="56" t="s">
        <v>307</v>
      </c>
      <c r="C486" s="343" t="s">
        <v>745</v>
      </c>
      <c r="D486" s="56" t="s">
        <v>390</v>
      </c>
      <c r="E486" s="56"/>
      <c r="F486" s="218"/>
      <c r="G486" s="132">
        <v>27.41</v>
      </c>
      <c r="H486" s="353" t="str">
        <f t="shared" si="457"/>
        <v>Vanguard Total Stock Market ETF@DIVIDEND@@27.41</v>
      </c>
      <c r="I486" s="134" t="str">
        <f t="shared" ref="I486:J486" si="491">IFS(AND($B486&lt;&gt;"",$E486&lt;&gt;""),IF(INDEX(N:N,MATCH($C486,$P:$P,0),1)&lt;&gt;"",$E486*INDEX(N:N,MATCH($C486,$P:$P,0),1)+$G486,""),AND($B486&lt;&gt;"",$D486="COST"),$G486,TRUE,)</f>
        <v/>
      </c>
      <c r="J486" s="134" t="str">
        <f t="shared" si="491"/>
        <v/>
      </c>
      <c r="K486" s="219" t="str">
        <f t="shared" si="3"/>
        <v>Vanguard Total Stock Market ETF</v>
      </c>
      <c r="L486" s="150">
        <f t="shared" si="4"/>
        <v>0</v>
      </c>
      <c r="M486" s="150">
        <f t="shared" si="5"/>
        <v>1880.34</v>
      </c>
      <c r="N486" s="139" t="str">
        <f t="array" ref="N486">IF($P486&lt;&gt;"",IF(MAXIFS(Investment!$L:$L,Investment!$D:$D,LEFT($P486,40)&amp;"*"),MAXIFS(Investment!$L:$L,Investment!$D:$D,LEFT($P486,40)&amp;"*"),IFERROR(INDEX(Selection!$H:$H, MATCH($P486,Selection!$F:$F,0))/IF(OR(INDEX(Selection!$C:$C, MATCH($P486,Selection!$F:$F,0))="LN",INDEX(Selection!$C:$C, MATCH($P486,Selection!$F:$F,0))="US"),Investment!$K$7,1),"")),"")</f>
        <v/>
      </c>
      <c r="O486" s="144" t="str">
        <f>IF($P486&lt;&gt;"",IF(MAXIFS(Investment!$AG:$AG,Investment!$D:$D,LEFT($P486,40)&amp;"*"),MAXIFS(Investment!$AG:$AG,Investment!$D:$D,LEFT($P486,40)&amp;"*"),""),"")</f>
        <v/>
      </c>
      <c r="P486" s="328"/>
      <c r="R486" s="53"/>
    </row>
    <row r="487">
      <c r="A487" s="125">
        <v>42550.0</v>
      </c>
      <c r="B487" s="56" t="s">
        <v>243</v>
      </c>
      <c r="C487" s="343" t="s">
        <v>588</v>
      </c>
      <c r="D487" s="56" t="s">
        <v>390</v>
      </c>
      <c r="E487" s="56"/>
      <c r="F487" s="218"/>
      <c r="G487" s="132">
        <v>56.25</v>
      </c>
      <c r="H487" s="353" t="str">
        <f t="shared" si="457"/>
        <v>Vanguard Extended Duration Treasury ETF@DIVIDEND@@56.25</v>
      </c>
      <c r="I487" s="134" t="str">
        <f t="shared" ref="I487:J487" si="492">IFS(AND($B487&lt;&gt;"",$E487&lt;&gt;""),IF(INDEX(N:N,MATCH($C487,$P:$P,0),1)&lt;&gt;"",$E487*INDEX(N:N,MATCH($C487,$P:$P,0),1)+$G487,""),AND($B487&lt;&gt;"",$D487="COST"),$G487,TRUE,)</f>
        <v/>
      </c>
      <c r="J487" s="134" t="str">
        <f t="shared" si="492"/>
        <v/>
      </c>
      <c r="K487" s="219" t="str">
        <f t="shared" si="3"/>
        <v>Vanguard Extended Duration Treasury ETF</v>
      </c>
      <c r="L487" s="150">
        <f t="shared" si="4"/>
        <v>0</v>
      </c>
      <c r="M487" s="150">
        <f t="shared" si="5"/>
        <v>-4941.36</v>
      </c>
      <c r="N487" s="139" t="str">
        <f t="array" ref="N487">IF($P487&lt;&gt;"",IF(MAXIFS(Investment!$L:$L,Investment!$D:$D,LEFT($P487,40)&amp;"*"),MAXIFS(Investment!$L:$L,Investment!$D:$D,LEFT($P487,40)&amp;"*"),IFERROR(INDEX(Selection!$H:$H, MATCH($P487,Selection!$F:$F,0))/IF(OR(INDEX(Selection!$C:$C, MATCH($P487,Selection!$F:$F,0))="LN",INDEX(Selection!$C:$C, MATCH($P487,Selection!$F:$F,0))="US"),Investment!$K$7,1),"")),"")</f>
        <v/>
      </c>
      <c r="O487" s="144" t="str">
        <f>IF($P487&lt;&gt;"",IF(MAXIFS(Investment!$AG:$AG,Investment!$D:$D,LEFT($P487,40)&amp;"*"),MAXIFS(Investment!$AG:$AG,Investment!$D:$D,LEFT($P487,40)&amp;"*"),""),"")</f>
        <v/>
      </c>
      <c r="P487" s="328"/>
      <c r="R487" s="53"/>
    </row>
    <row r="488">
      <c r="A488" s="125">
        <v>42536.0</v>
      </c>
      <c r="B488" s="56" t="s">
        <v>277</v>
      </c>
      <c r="C488" s="343" t="s">
        <v>845</v>
      </c>
      <c r="D488" s="56" t="s">
        <v>390</v>
      </c>
      <c r="E488" s="56"/>
      <c r="F488" s="218"/>
      <c r="G488" s="132">
        <v>4.72</v>
      </c>
      <c r="H488" s="353" t="str">
        <f t="shared" si="457"/>
        <v>iShares 7-10 Year Treasury Bond ETF@DIVIDEND@@4.72</v>
      </c>
      <c r="I488" s="134" t="str">
        <f t="shared" ref="I488:J488" si="493">IFS(AND($B488&lt;&gt;"",$E488&lt;&gt;""),IF(INDEX(N:N,MATCH($C488,$P:$P,0),1)&lt;&gt;"",$E488*INDEX(N:N,MATCH($C488,$P:$P,0),1)+$G488,""),AND($B488&lt;&gt;"",$D488="COST"),$G488,TRUE,)</f>
        <v/>
      </c>
      <c r="J488" s="134" t="str">
        <f t="shared" si="493"/>
        <v/>
      </c>
      <c r="K488" s="219" t="str">
        <f t="shared" si="3"/>
        <v>iShares 7-10 Year Treasury Bond ETF</v>
      </c>
      <c r="L488" s="150">
        <f t="shared" si="4"/>
        <v>0</v>
      </c>
      <c r="M488" s="150">
        <f t="shared" si="5"/>
        <v>-345.82</v>
      </c>
      <c r="N488" s="139" t="str">
        <f t="array" ref="N488">IF($P488&lt;&gt;"",IF(MAXIFS(Investment!$L:$L,Investment!$D:$D,LEFT($P488,40)&amp;"*"),MAXIFS(Investment!$L:$L,Investment!$D:$D,LEFT($P488,40)&amp;"*"),IFERROR(INDEX(Selection!$H:$H, MATCH($P488,Selection!$F:$F,0))/IF(OR(INDEX(Selection!$C:$C, MATCH($P488,Selection!$F:$F,0))="LN",INDEX(Selection!$C:$C, MATCH($P488,Selection!$F:$F,0))="US"),Investment!$K$7,1),"")),"")</f>
        <v/>
      </c>
      <c r="O488" s="144" t="str">
        <f>IF($P488&lt;&gt;"",IF(MAXIFS(Investment!$AG:$AG,Investment!$D:$D,LEFT($P488,40)&amp;"*"),MAXIFS(Investment!$AG:$AG,Investment!$D:$D,LEFT($P488,40)&amp;"*"),""),"")</f>
        <v/>
      </c>
      <c r="P488" s="328"/>
      <c r="R488" s="53"/>
    </row>
    <row r="489">
      <c r="A489" s="125">
        <v>42501.0</v>
      </c>
      <c r="B489" s="56" t="s">
        <v>277</v>
      </c>
      <c r="C489" s="343" t="s">
        <v>845</v>
      </c>
      <c r="D489" s="56" t="s">
        <v>390</v>
      </c>
      <c r="E489" s="56"/>
      <c r="F489" s="218"/>
      <c r="G489" s="132">
        <v>4.65</v>
      </c>
      <c r="H489" s="353" t="str">
        <f t="shared" si="457"/>
        <v>iShares 7-10 Year Treasury Bond ETF@DIVIDEND@@4.65</v>
      </c>
      <c r="I489" s="134" t="str">
        <f t="shared" ref="I489:J489" si="494">IFS(AND($B489&lt;&gt;"",$E489&lt;&gt;""),IF(INDEX(N:N,MATCH($C489,$P:$P,0),1)&lt;&gt;"",$E489*INDEX(N:N,MATCH($C489,$P:$P,0),1)+$G489,""),AND($B489&lt;&gt;"",$D489="COST"),$G489,TRUE,)</f>
        <v/>
      </c>
      <c r="J489" s="134" t="str">
        <f t="shared" si="494"/>
        <v/>
      </c>
      <c r="K489" s="219" t="str">
        <f t="shared" si="3"/>
        <v>iShares 7-10 Year Treasury Bond ETF</v>
      </c>
      <c r="L489" s="150">
        <f t="shared" si="4"/>
        <v>0</v>
      </c>
      <c r="M489" s="150">
        <f t="shared" si="5"/>
        <v>-345.82</v>
      </c>
      <c r="N489" s="139" t="str">
        <f t="array" ref="N489">IF($P489&lt;&gt;"",IF(MAXIFS(Investment!$L:$L,Investment!$D:$D,LEFT($P489,40)&amp;"*"),MAXIFS(Investment!$L:$L,Investment!$D:$D,LEFT($P489,40)&amp;"*"),IFERROR(INDEX(Selection!$H:$H, MATCH($P489,Selection!$F:$F,0))/IF(OR(INDEX(Selection!$C:$C, MATCH($P489,Selection!$F:$F,0))="LN",INDEX(Selection!$C:$C, MATCH($P489,Selection!$F:$F,0))="US"),Investment!$K$7,1),"")),"")</f>
        <v/>
      </c>
      <c r="O489" s="144" t="str">
        <f>IF($P489&lt;&gt;"",IF(MAXIFS(Investment!$AG:$AG,Investment!$D:$D,LEFT($P489,40)&amp;"*"),MAXIFS(Investment!$AG:$AG,Investment!$D:$D,LEFT($P489,40)&amp;"*"),""),"")</f>
        <v/>
      </c>
      <c r="P489" s="328"/>
      <c r="R489" s="53"/>
    </row>
    <row r="490">
      <c r="A490" s="125">
        <v>42478.0</v>
      </c>
      <c r="B490" s="127"/>
      <c r="C490" s="127"/>
      <c r="D490" s="127" t="s">
        <v>263</v>
      </c>
      <c r="E490" s="128"/>
      <c r="F490" s="130"/>
      <c r="G490" s="132">
        <v>6.89</v>
      </c>
      <c r="H490" s="206" t="s">
        <v>1513</v>
      </c>
      <c r="I490" s="134" t="str">
        <f t="shared" ref="I490:J490" si="495">IFS(AND($B490&lt;&gt;"",$E490&lt;&gt;""),IF(INDEX(N:N,MATCH($C490,$P:$P,0),1)&lt;&gt;"",$E490*INDEX(N:N,MATCH($C490,$P:$P,0),1)+$G490,""),AND($B490&lt;&gt;"",$D490="COST"),$G490,TRUE,)</f>
        <v/>
      </c>
      <c r="J490" s="134" t="str">
        <f t="shared" si="495"/>
        <v/>
      </c>
      <c r="K490" s="219" t="str">
        <f t="shared" si="3"/>
        <v/>
      </c>
      <c r="L490" s="150" t="str">
        <f t="shared" si="4"/>
        <v/>
      </c>
      <c r="M490" s="150" t="str">
        <f t="shared" si="5"/>
        <v/>
      </c>
      <c r="N490" s="139" t="str">
        <f t="array" ref="N490">IF($P490&lt;&gt;"",IF(MAXIFS(Investment!$L:$L,Investment!$D:$D,LEFT($P490,40)&amp;"*"),MAXIFS(Investment!$L:$L,Investment!$D:$D,LEFT($P490,40)&amp;"*"),IFERROR(INDEX(Selection!$H:$H, MATCH($P490,Selection!$F:$F,0))/IF(OR(INDEX(Selection!$C:$C, MATCH($P490,Selection!$F:$F,0))="LN",INDEX(Selection!$C:$C, MATCH($P490,Selection!$F:$F,0))="US"),Investment!$K$7,1),"")),"")</f>
        <v/>
      </c>
      <c r="O490" s="144" t="str">
        <f>IF($P490&lt;&gt;"",IF(MAXIFS(Investment!$AG:$AG,Investment!$D:$D,LEFT($P490,40)&amp;"*"),MAXIFS(Investment!$AG:$AG,Investment!$D:$D,LEFT($P490,40)&amp;"*"),""),"")</f>
        <v/>
      </c>
      <c r="P490" s="328"/>
      <c r="R490" s="53"/>
    </row>
    <row r="491">
      <c r="A491" s="125">
        <v>42478.0</v>
      </c>
      <c r="B491" s="56" t="s">
        <v>277</v>
      </c>
      <c r="C491" s="343" t="s">
        <v>845</v>
      </c>
      <c r="D491" s="56" t="s">
        <v>222</v>
      </c>
      <c r="E491" s="56">
        <v>11.0</v>
      </c>
      <c r="F491" s="218">
        <v>97.7077</v>
      </c>
      <c r="G491" s="132">
        <v>-1083.28</v>
      </c>
      <c r="H491" s="353" t="str">
        <f t="shared" ref="H491:H603" si="497">IF(D491&lt;&gt;"",C491 &amp; "@" &amp; D491 &amp; "@" &amp; E491 &amp; "@" &amp; G491,"")</f>
        <v>iShares 7-10 Year Treasury Bond ETF@BUY@11@-1083.28</v>
      </c>
      <c r="I491" s="134">
        <f t="shared" ref="I491:J491" si="496">IFS(AND($B491&lt;&gt;"",$E491&lt;&gt;""),IF(INDEX(N:N,MATCH($C491,$P:$P,0),1)&lt;&gt;"",$E491*INDEX(N:N,MATCH($C491,$P:$P,0),1)+$G491,""),AND($B491&lt;&gt;"",$D491="COST"),$G491,TRUE,)</f>
        <v>-39.1806764</v>
      </c>
      <c r="J491" s="134" t="str">
        <f t="shared" si="496"/>
        <v/>
      </c>
      <c r="K491" s="219" t="str">
        <f t="shared" si="3"/>
        <v>iShares 7-10 Year Treasury Bond ETF</v>
      </c>
      <c r="L491" s="150">
        <f t="shared" si="4"/>
        <v>0</v>
      </c>
      <c r="M491" s="150">
        <f t="shared" si="5"/>
        <v>-345.82</v>
      </c>
      <c r="N491" s="139" t="str">
        <f t="array" ref="N491">IF($P491&lt;&gt;"",IF(MAXIFS(Investment!$L:$L,Investment!$D:$D,LEFT($P491,40)&amp;"*"),MAXIFS(Investment!$L:$L,Investment!$D:$D,LEFT($P491,40)&amp;"*"),IFERROR(INDEX(Selection!$H:$H, MATCH($P491,Selection!$F:$F,0))/IF(OR(INDEX(Selection!$C:$C, MATCH($P491,Selection!$F:$F,0))="LN",INDEX(Selection!$C:$C, MATCH($P491,Selection!$F:$F,0))="US"),Investment!$K$7,1),"")),"")</f>
        <v/>
      </c>
      <c r="O491" s="144" t="str">
        <f>IF($P491&lt;&gt;"",IF(MAXIFS(Investment!$AG:$AG,Investment!$D:$D,LEFT($P491,40)&amp;"*"),MAXIFS(Investment!$AG:$AG,Investment!$D:$D,LEFT($P491,40)&amp;"*"),""),"")</f>
        <v/>
      </c>
      <c r="P491" s="328"/>
      <c r="R491" s="53"/>
    </row>
    <row r="492">
      <c r="A492" s="125">
        <v>42478.0</v>
      </c>
      <c r="B492" s="56" t="s">
        <v>243</v>
      </c>
      <c r="C492" s="343" t="s">
        <v>588</v>
      </c>
      <c r="D492" s="56" t="s">
        <v>222</v>
      </c>
      <c r="E492" s="56">
        <v>19.0</v>
      </c>
      <c r="F492" s="218">
        <v>112.6586</v>
      </c>
      <c r="G492" s="132">
        <v>-2149.01</v>
      </c>
      <c r="H492" s="353" t="str">
        <f t="shared" si="497"/>
        <v>Vanguard Extended Duration Treasury ETF@BUY@19@-2149.01</v>
      </c>
      <c r="I492" s="134">
        <f t="shared" ref="I492:J492" si="498">IFS(AND($B492&lt;&gt;"",$E492&lt;&gt;""),IF(INDEX(N:N,MATCH($C492,$P:$P,0),1)&lt;&gt;"",$E492*INDEX(N:N,MATCH($C492,$P:$P,0),1)+$G492,""),AND($B492&lt;&gt;"",$D492="COST"),$G492,TRUE,)</f>
        <v>-138.9263403</v>
      </c>
      <c r="J492" s="134" t="str">
        <f t="shared" si="498"/>
        <v/>
      </c>
      <c r="K492" s="219" t="str">
        <f t="shared" si="3"/>
        <v>Vanguard Extended Duration Treasury ETF</v>
      </c>
      <c r="L492" s="150">
        <f t="shared" si="4"/>
        <v>0</v>
      </c>
      <c r="M492" s="150">
        <f t="shared" si="5"/>
        <v>-4941.36</v>
      </c>
      <c r="N492" s="139" t="str">
        <f t="array" ref="N492">IF($P492&lt;&gt;"",IF(MAXIFS(Investment!$L:$L,Investment!$D:$D,LEFT($P492,40)&amp;"*"),MAXIFS(Investment!$L:$L,Investment!$D:$D,LEFT($P492,40)&amp;"*"),IFERROR(INDEX(Selection!$H:$H, MATCH($P492,Selection!$F:$F,0))/IF(OR(INDEX(Selection!$C:$C, MATCH($P492,Selection!$F:$F,0))="LN",INDEX(Selection!$C:$C, MATCH($P492,Selection!$F:$F,0))="US"),Investment!$K$7,1),"")),"")</f>
        <v/>
      </c>
      <c r="O492" s="144" t="str">
        <f>IF($P492&lt;&gt;"",IF(MAXIFS(Investment!$AG:$AG,Investment!$D:$D,LEFT($P492,40)&amp;"*"),MAXIFS(Investment!$AG:$AG,Investment!$D:$D,LEFT($P492,40)&amp;"*"),""),"")</f>
        <v/>
      </c>
      <c r="P492" s="328"/>
      <c r="R492" s="53"/>
    </row>
    <row r="493">
      <c r="A493" s="125">
        <v>42478.0</v>
      </c>
      <c r="B493" s="56" t="s">
        <v>307</v>
      </c>
      <c r="C493" s="343" t="s">
        <v>745</v>
      </c>
      <c r="D493" s="56" t="s">
        <v>222</v>
      </c>
      <c r="E493" s="56">
        <v>21.0</v>
      </c>
      <c r="F493" s="218">
        <v>94.3352</v>
      </c>
      <c r="G493" s="132">
        <v>-1989.54</v>
      </c>
      <c r="H493" s="353" t="str">
        <f t="shared" si="497"/>
        <v>Vanguard Total Stock Market ETF@BUY@21@-1989.54</v>
      </c>
      <c r="I493" s="134">
        <f t="shared" ref="I493:J493" si="499">IFS(AND($B493&lt;&gt;"",$E493&lt;&gt;""),IF(INDEX(N:N,MATCH($C493,$P:$P,0),1)&lt;&gt;"",$E493*INDEX(N:N,MATCH($C493,$P:$P,0),1)+$G493,""),AND($B493&lt;&gt;"",$D493="COST"),$G493,TRUE,)</f>
        <v>698.0712496</v>
      </c>
      <c r="J493" s="134" t="str">
        <f t="shared" si="499"/>
        <v/>
      </c>
      <c r="K493" s="219" t="str">
        <f t="shared" si="3"/>
        <v>Vanguard Total Stock Market ETF</v>
      </c>
      <c r="L493" s="150">
        <f t="shared" si="4"/>
        <v>0</v>
      </c>
      <c r="M493" s="150">
        <f t="shared" si="5"/>
        <v>1880.34</v>
      </c>
      <c r="N493" s="139" t="str">
        <f t="array" ref="N493">IF($P493&lt;&gt;"",IF(MAXIFS(Investment!$L:$L,Investment!$D:$D,LEFT($P493,40)&amp;"*"),MAXIFS(Investment!$L:$L,Investment!$D:$D,LEFT($P493,40)&amp;"*"),IFERROR(INDEX(Selection!$H:$H, MATCH($P493,Selection!$F:$F,0))/IF(OR(INDEX(Selection!$C:$C, MATCH($P493,Selection!$F:$F,0))="LN",INDEX(Selection!$C:$C, MATCH($P493,Selection!$F:$F,0))="US"),Investment!$K$7,1),"")),"")</f>
        <v/>
      </c>
      <c r="O493" s="144" t="str">
        <f>IF($P493&lt;&gt;"",IF(MAXIFS(Investment!$AG:$AG,Investment!$D:$D,LEFT($P493,40)&amp;"*"),MAXIFS(Investment!$AG:$AG,Investment!$D:$D,LEFT($P493,40)&amp;"*"),""),"")</f>
        <v/>
      </c>
      <c r="P493" s="328"/>
      <c r="R493" s="53"/>
    </row>
    <row r="494">
      <c r="A494" s="125">
        <v>42471.0</v>
      </c>
      <c r="B494" s="56" t="s">
        <v>277</v>
      </c>
      <c r="C494" s="343" t="s">
        <v>845</v>
      </c>
      <c r="D494" s="56" t="s">
        <v>390</v>
      </c>
      <c r="E494" s="56"/>
      <c r="F494" s="218"/>
      <c r="G494" s="132">
        <v>4.08</v>
      </c>
      <c r="H494" s="353" t="str">
        <f t="shared" si="497"/>
        <v>iShares 7-10 Year Treasury Bond ETF@DIVIDEND@@4.08</v>
      </c>
      <c r="I494" s="134" t="str">
        <f t="shared" ref="I494:J494" si="500">IFS(AND($B494&lt;&gt;"",$E494&lt;&gt;""),IF(INDEX(N:N,MATCH($C494,$P:$P,0),1)&lt;&gt;"",$E494*INDEX(N:N,MATCH($C494,$P:$P,0),1)+$G494,""),AND($B494&lt;&gt;"",$D494="COST"),$G494,TRUE,)</f>
        <v/>
      </c>
      <c r="J494" s="134" t="str">
        <f t="shared" si="500"/>
        <v/>
      </c>
      <c r="K494" s="219" t="str">
        <f t="shared" si="3"/>
        <v>iShares 7-10 Year Treasury Bond ETF</v>
      </c>
      <c r="L494" s="150">
        <f t="shared" si="4"/>
        <v>0</v>
      </c>
      <c r="M494" s="150">
        <f t="shared" si="5"/>
        <v>-345.82</v>
      </c>
      <c r="N494" s="139" t="str">
        <f t="array" ref="N494">IF($P494&lt;&gt;"",IF(MAXIFS(Investment!$L:$L,Investment!$D:$D,LEFT($P494,40)&amp;"*"),MAXIFS(Investment!$L:$L,Investment!$D:$D,LEFT($P494,40)&amp;"*"),IFERROR(INDEX(Selection!$H:$H, MATCH($P494,Selection!$F:$F,0))/IF(OR(INDEX(Selection!$C:$C, MATCH($P494,Selection!$F:$F,0))="LN",INDEX(Selection!$C:$C, MATCH($P494,Selection!$F:$F,0))="US"),Investment!$K$7,1),"")),"")</f>
        <v/>
      </c>
      <c r="O494" s="144" t="str">
        <f>IF($P494&lt;&gt;"",IF(MAXIFS(Investment!$AG:$AG,Investment!$D:$D,LEFT($P494,40)&amp;"*"),MAXIFS(Investment!$AG:$AG,Investment!$D:$D,LEFT($P494,40)&amp;"*"),""),"")</f>
        <v/>
      </c>
      <c r="P494" s="328"/>
      <c r="R494" s="53"/>
    </row>
    <row r="495">
      <c r="A495" s="125">
        <v>42459.0</v>
      </c>
      <c r="B495" s="56" t="s">
        <v>243</v>
      </c>
      <c r="C495" s="343" t="s">
        <v>588</v>
      </c>
      <c r="D495" s="56" t="s">
        <v>390</v>
      </c>
      <c r="E495" s="56"/>
      <c r="F495" s="218"/>
      <c r="G495" s="132">
        <v>41.4</v>
      </c>
      <c r="H495" s="353" t="str">
        <f t="shared" si="497"/>
        <v>Vanguard Extended Duration Treasury ETF@DIVIDEND@@41.4</v>
      </c>
      <c r="I495" s="134" t="str">
        <f t="shared" ref="I495:J495" si="501">IFS(AND($B495&lt;&gt;"",$E495&lt;&gt;""),IF(INDEX(N:N,MATCH($C495,$P:$P,0),1)&lt;&gt;"",$E495*INDEX(N:N,MATCH($C495,$P:$P,0),1)+$G495,""),AND($B495&lt;&gt;"",$D495="COST"),$G495,TRUE,)</f>
        <v/>
      </c>
      <c r="J495" s="134" t="str">
        <f t="shared" si="501"/>
        <v/>
      </c>
      <c r="K495" s="219" t="str">
        <f t="shared" si="3"/>
        <v>Vanguard Extended Duration Treasury ETF</v>
      </c>
      <c r="L495" s="150">
        <f t="shared" si="4"/>
        <v>0</v>
      </c>
      <c r="M495" s="150">
        <f t="shared" si="5"/>
        <v>-4941.36</v>
      </c>
      <c r="N495" s="139" t="str">
        <f t="array" ref="N495">IF($P495&lt;&gt;"",IF(MAXIFS(Investment!$L:$L,Investment!$D:$D,LEFT($P495,40)&amp;"*"),MAXIFS(Investment!$L:$L,Investment!$D:$D,LEFT($P495,40)&amp;"*"),IFERROR(INDEX(Selection!$H:$H, MATCH($P495,Selection!$F:$F,0))/IF(OR(INDEX(Selection!$C:$C, MATCH($P495,Selection!$F:$F,0))="LN",INDEX(Selection!$C:$C, MATCH($P495,Selection!$F:$F,0))="US"),Investment!$K$7,1),"")),"")</f>
        <v/>
      </c>
      <c r="O495" s="144" t="str">
        <f>IF($P495&lt;&gt;"",IF(MAXIFS(Investment!$AG:$AG,Investment!$D:$D,LEFT($P495,40)&amp;"*"),MAXIFS(Investment!$AG:$AG,Investment!$D:$D,LEFT($P495,40)&amp;"*"),""),"")</f>
        <v/>
      </c>
      <c r="P495" s="328"/>
      <c r="R495" s="53"/>
    </row>
    <row r="496">
      <c r="A496" s="125">
        <v>42452.0</v>
      </c>
      <c r="B496" s="56" t="s">
        <v>307</v>
      </c>
      <c r="C496" s="343" t="s">
        <v>745</v>
      </c>
      <c r="D496" s="56" t="s">
        <v>390</v>
      </c>
      <c r="E496" s="56"/>
      <c r="F496" s="218"/>
      <c r="G496" s="132">
        <v>23.94</v>
      </c>
      <c r="H496" s="353" t="str">
        <f t="shared" si="497"/>
        <v>Vanguard Total Stock Market ETF@DIVIDEND@@23.94</v>
      </c>
      <c r="I496" s="134" t="str">
        <f t="shared" ref="I496:J496" si="502">IFS(AND($B496&lt;&gt;"",$E496&lt;&gt;""),IF(INDEX(N:N,MATCH($C496,$P:$P,0),1)&lt;&gt;"",$E496*INDEX(N:N,MATCH($C496,$P:$P,0),1)+$G496,""),AND($B496&lt;&gt;"",$D496="COST"),$G496,TRUE,)</f>
        <v/>
      </c>
      <c r="J496" s="134" t="str">
        <f t="shared" si="502"/>
        <v/>
      </c>
      <c r="K496" s="219" t="str">
        <f t="shared" si="3"/>
        <v>Vanguard Total Stock Market ETF</v>
      </c>
      <c r="L496" s="150">
        <f t="shared" si="4"/>
        <v>0</v>
      </c>
      <c r="M496" s="150">
        <f t="shared" si="5"/>
        <v>1880.34</v>
      </c>
      <c r="N496" s="139" t="str">
        <f t="array" ref="N496">IF($P496&lt;&gt;"",IF(MAXIFS(Investment!$L:$L,Investment!$D:$D,LEFT($P496,40)&amp;"*"),MAXIFS(Investment!$L:$L,Investment!$D:$D,LEFT($P496,40)&amp;"*"),IFERROR(INDEX(Selection!$H:$H, MATCH($P496,Selection!$F:$F,0))/IF(OR(INDEX(Selection!$C:$C, MATCH($P496,Selection!$F:$F,0))="LN",INDEX(Selection!$C:$C, MATCH($P496,Selection!$F:$F,0))="US"),Investment!$K$7,1),"")),"")</f>
        <v/>
      </c>
      <c r="O496" s="144" t="str">
        <f>IF($P496&lt;&gt;"",IF(MAXIFS(Investment!$AG:$AG,Investment!$D:$D,LEFT($P496,40)&amp;"*"),MAXIFS(Investment!$AG:$AG,Investment!$D:$D,LEFT($P496,40)&amp;"*"),""),"")</f>
        <v/>
      </c>
      <c r="P496" s="328"/>
      <c r="R496" s="53"/>
    </row>
    <row r="497">
      <c r="A497" s="125">
        <v>42437.0</v>
      </c>
      <c r="B497" s="56" t="s">
        <v>277</v>
      </c>
      <c r="C497" s="343" t="s">
        <v>845</v>
      </c>
      <c r="D497" s="56" t="s">
        <v>390</v>
      </c>
      <c r="E497" s="56"/>
      <c r="F497" s="218"/>
      <c r="G497" s="132">
        <v>3.92</v>
      </c>
      <c r="H497" s="353" t="str">
        <f t="shared" si="497"/>
        <v>iShares 7-10 Year Treasury Bond ETF@DIVIDEND@@3.92</v>
      </c>
      <c r="I497" s="134" t="str">
        <f t="shared" ref="I497:J497" si="503">IFS(AND($B497&lt;&gt;"",$E497&lt;&gt;""),IF(INDEX(N:N,MATCH($C497,$P:$P,0),1)&lt;&gt;"",$E497*INDEX(N:N,MATCH($C497,$P:$P,0),1)+$G497,""),AND($B497&lt;&gt;"",$D497="COST"),$G497,TRUE,)</f>
        <v/>
      </c>
      <c r="J497" s="134" t="str">
        <f t="shared" si="503"/>
        <v/>
      </c>
      <c r="K497" s="219" t="str">
        <f t="shared" si="3"/>
        <v>iShares 7-10 Year Treasury Bond ETF</v>
      </c>
      <c r="L497" s="150">
        <f t="shared" si="4"/>
        <v>0</v>
      </c>
      <c r="M497" s="150">
        <f t="shared" si="5"/>
        <v>-345.82</v>
      </c>
      <c r="N497" s="139" t="str">
        <f t="array" ref="N497">IF($P497&lt;&gt;"",IF(MAXIFS(Investment!$L:$L,Investment!$D:$D,LEFT($P497,40)&amp;"*"),MAXIFS(Investment!$L:$L,Investment!$D:$D,LEFT($P497,40)&amp;"*"),IFERROR(INDEX(Selection!$H:$H, MATCH($P497,Selection!$F:$F,0))/IF(OR(INDEX(Selection!$C:$C, MATCH($P497,Selection!$F:$F,0))="LN",INDEX(Selection!$C:$C, MATCH($P497,Selection!$F:$F,0))="US"),Investment!$K$7,1),"")),"")</f>
        <v/>
      </c>
      <c r="O497" s="144" t="str">
        <f>IF($P497&lt;&gt;"",IF(MAXIFS(Investment!$AG:$AG,Investment!$D:$D,LEFT($P497,40)&amp;"*"),MAXIFS(Investment!$AG:$AG,Investment!$D:$D,LEFT($P497,40)&amp;"*"),""),"")</f>
        <v/>
      </c>
      <c r="P497" s="328"/>
      <c r="R497" s="53"/>
    </row>
    <row r="498">
      <c r="A498" s="125">
        <v>42409.0</v>
      </c>
      <c r="B498" s="56" t="s">
        <v>277</v>
      </c>
      <c r="C498" s="343" t="s">
        <v>845</v>
      </c>
      <c r="D498" s="56" t="s">
        <v>390</v>
      </c>
      <c r="E498" s="56"/>
      <c r="F498" s="218"/>
      <c r="G498" s="132">
        <v>3.92</v>
      </c>
      <c r="H498" s="353" t="str">
        <f t="shared" si="497"/>
        <v>iShares 7-10 Year Treasury Bond ETF@DIVIDEND@@3.92</v>
      </c>
      <c r="I498" s="134" t="str">
        <f t="shared" ref="I498:J498" si="504">IFS(AND($B498&lt;&gt;"",$E498&lt;&gt;""),IF(INDEX(N:N,MATCH($C498,$P:$P,0),1)&lt;&gt;"",$E498*INDEX(N:N,MATCH($C498,$P:$P,0),1)+$G498,""),AND($B498&lt;&gt;"",$D498="COST"),$G498,TRUE,)</f>
        <v/>
      </c>
      <c r="J498" s="134" t="str">
        <f t="shared" si="504"/>
        <v/>
      </c>
      <c r="K498" s="219" t="str">
        <f t="shared" si="3"/>
        <v>iShares 7-10 Year Treasury Bond ETF</v>
      </c>
      <c r="L498" s="150">
        <f t="shared" si="4"/>
        <v>0</v>
      </c>
      <c r="M498" s="150">
        <f t="shared" si="5"/>
        <v>-345.82</v>
      </c>
      <c r="N498" s="139" t="str">
        <f t="array" ref="N498">IF($P498&lt;&gt;"",IF(MAXIFS(Investment!$L:$L,Investment!$D:$D,LEFT($P498,40)&amp;"*"),MAXIFS(Investment!$L:$L,Investment!$D:$D,LEFT($P498,40)&amp;"*"),IFERROR(INDEX(Selection!$H:$H, MATCH($P498,Selection!$F:$F,0))/IF(OR(INDEX(Selection!$C:$C, MATCH($P498,Selection!$F:$F,0))="LN",INDEX(Selection!$C:$C, MATCH($P498,Selection!$F:$F,0))="US"),Investment!$K$7,1),"")),"")</f>
        <v/>
      </c>
      <c r="O498" s="144" t="str">
        <f>IF($P498&lt;&gt;"",IF(MAXIFS(Investment!$AG:$AG,Investment!$D:$D,LEFT($P498,40)&amp;"*"),MAXIFS(Investment!$AG:$AG,Investment!$D:$D,LEFT($P498,40)&amp;"*"),""),"")</f>
        <v/>
      </c>
      <c r="P498" s="328"/>
      <c r="R498" s="53"/>
    </row>
    <row r="499">
      <c r="A499" s="125">
        <v>42375.0</v>
      </c>
      <c r="B499" s="161"/>
      <c r="C499" s="228"/>
      <c r="D499" s="361" t="s">
        <v>263</v>
      </c>
      <c r="E499" s="161"/>
      <c r="F499" s="218"/>
      <c r="G499" s="132">
        <v>-0.22</v>
      </c>
      <c r="H499" s="353" t="str">
        <f t="shared" si="497"/>
        <v>@COST@@-0.22</v>
      </c>
      <c r="I499" s="134" t="str">
        <f t="shared" ref="I499:J499" si="505">IFS(AND($B499&lt;&gt;"",$E499&lt;&gt;""),IF(INDEX(N:N,MATCH($C499,$P:$P,0),1)&lt;&gt;"",$E499*INDEX(N:N,MATCH($C499,$P:$P,0),1)+$G499,""),AND($B499&lt;&gt;"",$D499="COST"),$G499,TRUE,)</f>
        <v/>
      </c>
      <c r="J499" s="134" t="str">
        <f t="shared" si="505"/>
        <v/>
      </c>
      <c r="K499" s="219" t="str">
        <f t="shared" si="3"/>
        <v/>
      </c>
      <c r="L499" s="150" t="str">
        <f t="shared" si="4"/>
        <v/>
      </c>
      <c r="M499" s="150" t="str">
        <f t="shared" si="5"/>
        <v/>
      </c>
      <c r="N499" s="139" t="str">
        <f t="array" ref="N499">IF($P499&lt;&gt;"",IF(MAXIFS(Investment!$L:$L,Investment!$D:$D,LEFT($P499,40)&amp;"*"),MAXIFS(Investment!$L:$L,Investment!$D:$D,LEFT($P499,40)&amp;"*"),IFERROR(INDEX(Selection!$H:$H, MATCH($P499,Selection!$F:$F,0))/IF(OR(INDEX(Selection!$C:$C, MATCH($P499,Selection!$F:$F,0))="LN",INDEX(Selection!$C:$C, MATCH($P499,Selection!$F:$F,0))="US"),Investment!$K$7,1),"")),"")</f>
        <v/>
      </c>
      <c r="O499" s="144" t="str">
        <f>IF($P499&lt;&gt;"",IF(MAXIFS(Investment!$AG:$AG,Investment!$D:$D,LEFT($P499,40)&amp;"*"),MAXIFS(Investment!$AG:$AG,Investment!$D:$D,LEFT($P499,40)&amp;"*"),""),"")</f>
        <v/>
      </c>
      <c r="P499" s="328"/>
      <c r="R499" s="53"/>
    </row>
    <row r="500">
      <c r="A500" s="125">
        <v>42374.0</v>
      </c>
      <c r="B500" s="56" t="s">
        <v>307</v>
      </c>
      <c r="C500" s="343" t="s">
        <v>745</v>
      </c>
      <c r="D500" s="56" t="s">
        <v>390</v>
      </c>
      <c r="E500" s="56"/>
      <c r="F500" s="218"/>
      <c r="G500" s="132">
        <v>29.75</v>
      </c>
      <c r="H500" s="353" t="str">
        <f t="shared" si="497"/>
        <v>Vanguard Total Stock Market ETF@DIVIDEND@@29.75</v>
      </c>
      <c r="I500" s="134" t="str">
        <f t="shared" ref="I500:J500" si="506">IFS(AND($B500&lt;&gt;"",$E500&lt;&gt;""),IF(INDEX(N:N,MATCH($C500,$P:$P,0),1)&lt;&gt;"",$E500*INDEX(N:N,MATCH($C500,$P:$P,0),1)+$G500,""),AND($B500&lt;&gt;"",$D500="COST"),$G500,TRUE,)</f>
        <v/>
      </c>
      <c r="J500" s="134" t="str">
        <f t="shared" si="506"/>
        <v/>
      </c>
      <c r="K500" s="219" t="str">
        <f t="shared" si="3"/>
        <v>Vanguard Total Stock Market ETF</v>
      </c>
      <c r="L500" s="150">
        <f t="shared" si="4"/>
        <v>0</v>
      </c>
      <c r="M500" s="150">
        <f t="shared" si="5"/>
        <v>1880.34</v>
      </c>
      <c r="N500" s="139" t="str">
        <f t="array" ref="N500">IF($P500&lt;&gt;"",IF(MAXIFS(Investment!$L:$L,Investment!$D:$D,LEFT($P500,40)&amp;"*"),MAXIFS(Investment!$L:$L,Investment!$D:$D,LEFT($P500,40)&amp;"*"),IFERROR(INDEX(Selection!$H:$H, MATCH($P500,Selection!$F:$F,0))/IF(OR(INDEX(Selection!$C:$C, MATCH($P500,Selection!$F:$F,0))="LN",INDEX(Selection!$C:$C, MATCH($P500,Selection!$F:$F,0))="US"),Investment!$K$7,1),"")),"")</f>
        <v/>
      </c>
      <c r="O500" s="144" t="str">
        <f>IF($P500&lt;&gt;"",IF(MAXIFS(Investment!$AG:$AG,Investment!$D:$D,LEFT($P500,40)&amp;"*"),MAXIFS(Investment!$AG:$AG,Investment!$D:$D,LEFT($P500,40)&amp;"*"),""),"")</f>
        <v/>
      </c>
      <c r="P500" s="328"/>
      <c r="R500" s="53"/>
    </row>
    <row r="501">
      <c r="A501" s="125">
        <v>42374.0</v>
      </c>
      <c r="B501" s="56" t="s">
        <v>277</v>
      </c>
      <c r="C501" s="343" t="s">
        <v>845</v>
      </c>
      <c r="D501" s="56" t="s">
        <v>390</v>
      </c>
      <c r="E501" s="56"/>
      <c r="F501" s="218"/>
      <c r="G501" s="132">
        <v>4.14</v>
      </c>
      <c r="H501" s="353" t="str">
        <f t="shared" si="497"/>
        <v>iShares 7-10 Year Treasury Bond ETF@DIVIDEND@@4.14</v>
      </c>
      <c r="I501" s="134" t="str">
        <f t="shared" ref="I501:J501" si="507">IFS(AND($B501&lt;&gt;"",$E501&lt;&gt;""),IF(INDEX(N:N,MATCH($C501,$P:$P,0),1)&lt;&gt;"",$E501*INDEX(N:N,MATCH($C501,$P:$P,0),1)+$G501,""),AND($B501&lt;&gt;"",$D501="COST"),$G501,TRUE,)</f>
        <v/>
      </c>
      <c r="J501" s="134" t="str">
        <f t="shared" si="507"/>
        <v/>
      </c>
      <c r="K501" s="219" t="str">
        <f t="shared" si="3"/>
        <v>iShares 7-10 Year Treasury Bond ETF</v>
      </c>
      <c r="L501" s="150">
        <f t="shared" si="4"/>
        <v>0</v>
      </c>
      <c r="M501" s="150">
        <f t="shared" si="5"/>
        <v>-345.82</v>
      </c>
      <c r="N501" s="139" t="str">
        <f t="array" ref="N501">IF($P501&lt;&gt;"",IF(MAXIFS(Investment!$L:$L,Investment!$D:$D,LEFT($P501,40)&amp;"*"),MAXIFS(Investment!$L:$L,Investment!$D:$D,LEFT($P501,40)&amp;"*"),IFERROR(INDEX(Selection!$H:$H, MATCH($P501,Selection!$F:$F,0))/IF(OR(INDEX(Selection!$C:$C, MATCH($P501,Selection!$F:$F,0))="LN",INDEX(Selection!$C:$C, MATCH($P501,Selection!$F:$F,0))="US"),Investment!$K$7,1),"")),"")</f>
        <v/>
      </c>
      <c r="O501" s="144" t="str">
        <f>IF($P501&lt;&gt;"",IF(MAXIFS(Investment!$AG:$AG,Investment!$D:$D,LEFT($P501,40)&amp;"*"),MAXIFS(Investment!$AG:$AG,Investment!$D:$D,LEFT($P501,40)&amp;"*"),""),"")</f>
        <v/>
      </c>
      <c r="P501" s="328"/>
      <c r="R501" s="53"/>
    </row>
    <row r="502">
      <c r="A502" s="125">
        <v>42373.0</v>
      </c>
      <c r="B502" s="56" t="s">
        <v>243</v>
      </c>
      <c r="C502" s="343" t="s">
        <v>588</v>
      </c>
      <c r="D502" s="56" t="s">
        <v>390</v>
      </c>
      <c r="E502" s="56"/>
      <c r="F502" s="218"/>
      <c r="G502" s="132">
        <v>61.86</v>
      </c>
      <c r="H502" s="353" t="str">
        <f t="shared" si="497"/>
        <v>Vanguard Extended Duration Treasury ETF@DIVIDEND@@61.86</v>
      </c>
      <c r="I502" s="134" t="str">
        <f t="shared" ref="I502:J502" si="508">IFS(AND($B502&lt;&gt;"",$E502&lt;&gt;""),IF(INDEX(N:N,MATCH($C502,$P:$P,0),1)&lt;&gt;"",$E502*INDEX(N:N,MATCH($C502,$P:$P,0),1)+$G502,""),AND($B502&lt;&gt;"",$D502="COST"),$G502,TRUE,)</f>
        <v/>
      </c>
      <c r="J502" s="134" t="str">
        <f t="shared" si="508"/>
        <v/>
      </c>
      <c r="K502" s="219" t="str">
        <f t="shared" si="3"/>
        <v>Vanguard Extended Duration Treasury ETF</v>
      </c>
      <c r="L502" s="150">
        <f t="shared" si="4"/>
        <v>0</v>
      </c>
      <c r="M502" s="150">
        <f t="shared" si="5"/>
        <v>-4941.36</v>
      </c>
      <c r="N502" s="139" t="str">
        <f t="array" ref="N502">IF($P502&lt;&gt;"",IF(MAXIFS(Investment!$L:$L,Investment!$D:$D,LEFT($P502,40)&amp;"*"),MAXIFS(Investment!$L:$L,Investment!$D:$D,LEFT($P502,40)&amp;"*"),IFERROR(INDEX(Selection!$H:$H, MATCH($P502,Selection!$F:$F,0))/IF(OR(INDEX(Selection!$C:$C, MATCH($P502,Selection!$F:$F,0))="LN",INDEX(Selection!$C:$C, MATCH($P502,Selection!$F:$F,0))="US"),Investment!$K$7,1),"")),"")</f>
        <v/>
      </c>
      <c r="O502" s="144" t="str">
        <f>IF($P502&lt;&gt;"",IF(MAXIFS(Investment!$AG:$AG,Investment!$D:$D,LEFT($P502,40)&amp;"*"),MAXIFS(Investment!$AG:$AG,Investment!$D:$D,LEFT($P502,40)&amp;"*"),""),"")</f>
        <v/>
      </c>
      <c r="P502" s="328"/>
      <c r="R502" s="53"/>
    </row>
    <row r="503">
      <c r="A503" s="125">
        <v>42373.0</v>
      </c>
      <c r="B503" s="56" t="s">
        <v>243</v>
      </c>
      <c r="C503" s="343" t="s">
        <v>588</v>
      </c>
      <c r="D503" s="56" t="s">
        <v>390</v>
      </c>
      <c r="E503" s="56"/>
      <c r="F503" s="218"/>
      <c r="G503" s="132">
        <v>1.85</v>
      </c>
      <c r="H503" s="353" t="str">
        <f t="shared" si="497"/>
        <v>Vanguard Extended Duration Treasury ETF@DIVIDEND@@1.85</v>
      </c>
      <c r="I503" s="134" t="str">
        <f t="shared" ref="I503:J503" si="509">IFS(AND($B503&lt;&gt;"",$E503&lt;&gt;""),IF(INDEX(N:N,MATCH($C503,$P:$P,0),1)&lt;&gt;"",$E503*INDEX(N:N,MATCH($C503,$P:$P,0),1)+$G503,""),AND($B503&lt;&gt;"",$D503="COST"),$G503,TRUE,)</f>
        <v/>
      </c>
      <c r="J503" s="134" t="str">
        <f t="shared" si="509"/>
        <v/>
      </c>
      <c r="K503" s="219" t="str">
        <f t="shared" si="3"/>
        <v>Vanguard Extended Duration Treasury ETF</v>
      </c>
      <c r="L503" s="150">
        <f t="shared" si="4"/>
        <v>0</v>
      </c>
      <c r="M503" s="150">
        <f t="shared" si="5"/>
        <v>-4941.36</v>
      </c>
      <c r="N503" s="139" t="str">
        <f t="array" ref="N503">IF($P503&lt;&gt;"",IF(MAXIFS(Investment!$L:$L,Investment!$D:$D,LEFT($P503,40)&amp;"*"),MAXIFS(Investment!$L:$L,Investment!$D:$D,LEFT($P503,40)&amp;"*"),IFERROR(INDEX(Selection!$H:$H, MATCH($P503,Selection!$F:$F,0))/IF(OR(INDEX(Selection!$C:$C, MATCH($P503,Selection!$F:$F,0))="LN",INDEX(Selection!$C:$C, MATCH($P503,Selection!$F:$F,0))="US"),Investment!$K$7,1),"")),"")</f>
        <v/>
      </c>
      <c r="O503" s="144" t="str">
        <f>IF($P503&lt;&gt;"",IF(MAXIFS(Investment!$AG:$AG,Investment!$D:$D,LEFT($P503,40)&amp;"*"),MAXIFS(Investment!$AG:$AG,Investment!$D:$D,LEFT($P503,40)&amp;"*"),""),"")</f>
        <v/>
      </c>
      <c r="P503" s="328"/>
      <c r="R503" s="53"/>
    </row>
    <row r="504">
      <c r="A504" s="125">
        <v>42373.0</v>
      </c>
      <c r="B504" s="56" t="s">
        <v>243</v>
      </c>
      <c r="C504" s="343" t="s">
        <v>588</v>
      </c>
      <c r="D504" s="56" t="s">
        <v>390</v>
      </c>
      <c r="E504" s="56"/>
      <c r="F504" s="218"/>
      <c r="G504" s="132">
        <v>87.38</v>
      </c>
      <c r="H504" s="353" t="str">
        <f t="shared" si="497"/>
        <v>Vanguard Extended Duration Treasury ETF@DIVIDEND@@87.38</v>
      </c>
      <c r="I504" s="134" t="str">
        <f t="shared" ref="I504:J504" si="510">IFS(AND($B504&lt;&gt;"",$E504&lt;&gt;""),IF(INDEX(N:N,MATCH($C504,$P:$P,0),1)&lt;&gt;"",$E504*INDEX(N:N,MATCH($C504,$P:$P,0),1)+$G504,""),AND($B504&lt;&gt;"",$D504="COST"),$G504,TRUE,)</f>
        <v/>
      </c>
      <c r="J504" s="134" t="str">
        <f t="shared" si="510"/>
        <v/>
      </c>
      <c r="K504" s="219" t="str">
        <f t="shared" si="3"/>
        <v>Vanguard Extended Duration Treasury ETF</v>
      </c>
      <c r="L504" s="150">
        <f t="shared" si="4"/>
        <v>0</v>
      </c>
      <c r="M504" s="150">
        <f t="shared" si="5"/>
        <v>-4941.36</v>
      </c>
      <c r="N504" s="139" t="str">
        <f t="array" ref="N504">IF($P504&lt;&gt;"",IF(MAXIFS(Investment!$L:$L,Investment!$D:$D,LEFT($P504,40)&amp;"*"),MAXIFS(Investment!$L:$L,Investment!$D:$D,LEFT($P504,40)&amp;"*"),IFERROR(INDEX(Selection!$H:$H, MATCH($P504,Selection!$F:$F,0))/IF(OR(INDEX(Selection!$C:$C, MATCH($P504,Selection!$F:$F,0))="LN",INDEX(Selection!$C:$C, MATCH($P504,Selection!$F:$F,0))="US"),Investment!$K$7,1),"")),"")</f>
        <v/>
      </c>
      <c r="O504" s="144" t="str">
        <f>IF($P504&lt;&gt;"",IF(MAXIFS(Investment!$AG:$AG,Investment!$D:$D,LEFT($P504,40)&amp;"*"),MAXIFS(Investment!$AG:$AG,Investment!$D:$D,LEFT($P504,40)&amp;"*"),""),"")</f>
        <v/>
      </c>
      <c r="P504" s="328"/>
      <c r="R504" s="53"/>
    </row>
    <row r="505">
      <c r="A505" s="125">
        <v>42348.0</v>
      </c>
      <c r="B505" s="56" t="s">
        <v>243</v>
      </c>
      <c r="C505" s="343" t="s">
        <v>588</v>
      </c>
      <c r="D505" s="56" t="s">
        <v>222</v>
      </c>
      <c r="E505" s="56">
        <v>1.0</v>
      </c>
      <c r="F505" s="218">
        <v>107.2959</v>
      </c>
      <c r="G505" s="132">
        <v>-115.8</v>
      </c>
      <c r="H505" s="353" t="str">
        <f t="shared" si="497"/>
        <v>Vanguard Extended Duration Treasury ETF@BUY@1@-115.8</v>
      </c>
      <c r="I505" s="134">
        <f t="shared" ref="I505:J505" si="511">IFS(AND($B505&lt;&gt;"",$E505&lt;&gt;""),IF(INDEX(N:N,MATCH($C505,$P:$P,0),1)&lt;&gt;"",$E505*INDEX(N:N,MATCH($C505,$P:$P,0),1)+$G505,""),AND($B505&lt;&gt;"",$D505="COST"),$G505,TRUE,)</f>
        <v>-10.00612318</v>
      </c>
      <c r="J505" s="134" t="str">
        <f t="shared" si="511"/>
        <v/>
      </c>
      <c r="K505" s="219" t="str">
        <f t="shared" si="3"/>
        <v>Vanguard Extended Duration Treasury ETF</v>
      </c>
      <c r="L505" s="150">
        <f t="shared" si="4"/>
        <v>0</v>
      </c>
      <c r="M505" s="150">
        <f t="shared" si="5"/>
        <v>-4941.36</v>
      </c>
      <c r="N505" s="139" t="str">
        <f t="array" ref="N505">IF($P505&lt;&gt;"",IF(MAXIFS(Investment!$L:$L,Investment!$D:$D,LEFT($P505,40)&amp;"*"),MAXIFS(Investment!$L:$L,Investment!$D:$D,LEFT($P505,40)&amp;"*"),IFERROR(INDEX(Selection!$H:$H, MATCH($P505,Selection!$F:$F,0))/IF(OR(INDEX(Selection!$C:$C, MATCH($P505,Selection!$F:$F,0))="LN",INDEX(Selection!$C:$C, MATCH($P505,Selection!$F:$F,0))="US"),Investment!$K$7,1),"")),"")</f>
        <v/>
      </c>
      <c r="O505" s="144" t="str">
        <f>IF($P505&lt;&gt;"",IF(MAXIFS(Investment!$AG:$AG,Investment!$D:$D,LEFT($P505,40)&amp;"*"),MAXIFS(Investment!$AG:$AG,Investment!$D:$D,LEFT($P505,40)&amp;"*"),""),"")</f>
        <v/>
      </c>
      <c r="P505" s="328"/>
      <c r="R505" s="53"/>
    </row>
    <row r="506">
      <c r="A506" s="125">
        <v>42348.0</v>
      </c>
      <c r="B506" s="56" t="s">
        <v>307</v>
      </c>
      <c r="C506" s="343" t="s">
        <v>745</v>
      </c>
      <c r="D506" s="56" t="s">
        <v>222</v>
      </c>
      <c r="E506" s="56">
        <v>7.0</v>
      </c>
      <c r="F506" s="218">
        <v>96.1932</v>
      </c>
      <c r="G506" s="132">
        <v>-681.85</v>
      </c>
      <c r="H506" s="353" t="str">
        <f t="shared" si="497"/>
        <v>Vanguard Total Stock Market ETF@BUY@7@-681.85</v>
      </c>
      <c r="I506" s="134">
        <f t="shared" ref="I506:J506" si="512">IFS(AND($B506&lt;&gt;"",$E506&lt;&gt;""),IF(INDEX(N:N,MATCH($C506,$P:$P,0),1)&lt;&gt;"",$E506*INDEX(N:N,MATCH($C506,$P:$P,0),1)+$G506,""),AND($B506&lt;&gt;"",$D506="COST"),$G506,TRUE,)</f>
        <v>214.0204165</v>
      </c>
      <c r="J506" s="134" t="str">
        <f t="shared" si="512"/>
        <v/>
      </c>
      <c r="K506" s="219" t="str">
        <f t="shared" si="3"/>
        <v>Vanguard Total Stock Market ETF</v>
      </c>
      <c r="L506" s="150">
        <f t="shared" si="4"/>
        <v>0</v>
      </c>
      <c r="M506" s="150">
        <f t="shared" si="5"/>
        <v>1880.34</v>
      </c>
      <c r="N506" s="139" t="str">
        <f t="array" ref="N506">IF($P506&lt;&gt;"",IF(MAXIFS(Investment!$L:$L,Investment!$D:$D,LEFT($P506,40)&amp;"*"),MAXIFS(Investment!$L:$L,Investment!$D:$D,LEFT($P506,40)&amp;"*"),IFERROR(INDEX(Selection!$H:$H, MATCH($P506,Selection!$F:$F,0))/IF(OR(INDEX(Selection!$C:$C, MATCH($P506,Selection!$F:$F,0))="LN",INDEX(Selection!$C:$C, MATCH($P506,Selection!$F:$F,0))="US"),Investment!$K$7,1),"")),"")</f>
        <v/>
      </c>
      <c r="O506" s="144" t="str">
        <f>IF($P506&lt;&gt;"",IF(MAXIFS(Investment!$AG:$AG,Investment!$D:$D,LEFT($P506,40)&amp;"*"),MAXIFS(Investment!$AG:$AG,Investment!$D:$D,LEFT($P506,40)&amp;"*"),""),"")</f>
        <v/>
      </c>
      <c r="P506" s="328"/>
      <c r="R506" s="53"/>
    </row>
    <row r="507">
      <c r="A507" s="125">
        <v>42348.0</v>
      </c>
      <c r="B507" s="56" t="s">
        <v>361</v>
      </c>
      <c r="C507" s="343" t="s">
        <v>989</v>
      </c>
      <c r="D507" s="56" t="s">
        <v>222</v>
      </c>
      <c r="E507" s="56">
        <v>17.0</v>
      </c>
      <c r="F507" s="218">
        <v>9.4474</v>
      </c>
      <c r="G507" s="132">
        <v>-169.11</v>
      </c>
      <c r="H507" s="353" t="str">
        <f t="shared" si="497"/>
        <v>iShares Gold Trust@BUY@17@-169.11</v>
      </c>
      <c r="I507" s="134">
        <f t="shared" ref="I507:J507" si="513">IFS(AND($B507&lt;&gt;"",$E507&lt;&gt;""),IF(INDEX(N:N,MATCH($C507,$P:$P,0),1)&lt;&gt;"",$E507*INDEX(N:N,MATCH($C507,$P:$P,0),1)+$G507,""),AND($B507&lt;&gt;"",$D507="COST"),$G507,TRUE,)</f>
        <v>19.10644713</v>
      </c>
      <c r="J507" s="134" t="str">
        <f t="shared" si="513"/>
        <v/>
      </c>
      <c r="K507" s="219" t="str">
        <f t="shared" si="3"/>
        <v>iShares Gold Trust</v>
      </c>
      <c r="L507" s="150">
        <f t="shared" si="4"/>
        <v>0</v>
      </c>
      <c r="M507" s="150">
        <f t="shared" si="5"/>
        <v>140.23</v>
      </c>
      <c r="N507" s="139" t="str">
        <f t="array" ref="N507">IF($P507&lt;&gt;"",IF(MAXIFS(Investment!$L:$L,Investment!$D:$D,LEFT($P507,40)&amp;"*"),MAXIFS(Investment!$L:$L,Investment!$D:$D,LEFT($P507,40)&amp;"*"),IFERROR(INDEX(Selection!$H:$H, MATCH($P507,Selection!$F:$F,0))/IF(OR(INDEX(Selection!$C:$C, MATCH($P507,Selection!$F:$F,0))="LN",INDEX(Selection!$C:$C, MATCH($P507,Selection!$F:$F,0))="US"),Investment!$K$7,1),"")),"")</f>
        <v/>
      </c>
      <c r="O507" s="144" t="str">
        <f>IF($P507&lt;&gt;"",IF(MAXIFS(Investment!$AG:$AG,Investment!$D:$D,LEFT($P507,40)&amp;"*"),MAXIFS(Investment!$AG:$AG,Investment!$D:$D,LEFT($P507,40)&amp;"*"),""),"")</f>
        <v/>
      </c>
      <c r="P507" s="328"/>
      <c r="R507" s="53"/>
    </row>
    <row r="508">
      <c r="A508" s="125">
        <v>42348.0</v>
      </c>
      <c r="B508" s="56" t="s">
        <v>277</v>
      </c>
      <c r="C508" s="343" t="s">
        <v>845</v>
      </c>
      <c r="D508" s="56" t="s">
        <v>222</v>
      </c>
      <c r="E508" s="56">
        <v>1.0</v>
      </c>
      <c r="F508" s="218">
        <v>97.2815</v>
      </c>
      <c r="G508" s="132">
        <v>-105.78</v>
      </c>
      <c r="H508" s="353" t="str">
        <f t="shared" si="497"/>
        <v>iShares 7-10 Year Treasury Bond ETF@BUY@1@-105.78</v>
      </c>
      <c r="I508" s="134">
        <f t="shared" ref="I508:J508" si="514">IFS(AND($B508&lt;&gt;"",$E508&lt;&gt;""),IF(INDEX(N:N,MATCH($C508,$P:$P,0),1)&lt;&gt;"",$E508*INDEX(N:N,MATCH($C508,$P:$P,0),1)+$G508,""),AND($B508&lt;&gt;"",$D508="COST"),$G508,TRUE,)</f>
        <v>-10.86187967</v>
      </c>
      <c r="J508" s="134" t="str">
        <f t="shared" si="514"/>
        <v/>
      </c>
      <c r="K508" s="219" t="str">
        <f t="shared" si="3"/>
        <v>iShares 7-10 Year Treasury Bond ETF</v>
      </c>
      <c r="L508" s="150">
        <f t="shared" si="4"/>
        <v>0</v>
      </c>
      <c r="M508" s="150">
        <f t="shared" si="5"/>
        <v>-345.82</v>
      </c>
      <c r="N508" s="139" t="str">
        <f t="array" ref="N508">IF($P508&lt;&gt;"",IF(MAXIFS(Investment!$L:$L,Investment!$D:$D,LEFT($P508,40)&amp;"*"),MAXIFS(Investment!$L:$L,Investment!$D:$D,LEFT($P508,40)&amp;"*"),IFERROR(INDEX(Selection!$H:$H, MATCH($P508,Selection!$F:$F,0))/IF(OR(INDEX(Selection!$C:$C, MATCH($P508,Selection!$F:$F,0))="LN",INDEX(Selection!$C:$C, MATCH($P508,Selection!$F:$F,0))="US"),Investment!$K$7,1),"")),"")</f>
        <v/>
      </c>
      <c r="O508" s="144" t="str">
        <f>IF($P508&lt;&gt;"",IF(MAXIFS(Investment!$AG:$AG,Investment!$D:$D,LEFT($P508,40)&amp;"*"),MAXIFS(Investment!$AG:$AG,Investment!$D:$D,LEFT($P508,40)&amp;"*"),""),"")</f>
        <v/>
      </c>
      <c r="P508" s="328"/>
      <c r="R508" s="53"/>
    </row>
    <row r="509">
      <c r="A509" s="125">
        <v>42348.0</v>
      </c>
      <c r="B509" s="56" t="s">
        <v>217</v>
      </c>
      <c r="C509" s="343" t="s">
        <v>959</v>
      </c>
      <c r="D509" s="56" t="s">
        <v>222</v>
      </c>
      <c r="E509" s="56">
        <v>30.0</v>
      </c>
      <c r="F509" s="218">
        <v>13.1056</v>
      </c>
      <c r="G509" s="132">
        <v>-401.67</v>
      </c>
      <c r="H509" s="353" t="str">
        <f t="shared" si="497"/>
        <v>iShares Diversified Commodity Swap UCITS ETF DE@BUY@30@-401.67</v>
      </c>
      <c r="I509" s="134">
        <f t="shared" ref="I509:J509" si="515">IFS(AND($B509&lt;&gt;"",$E509&lt;&gt;""),IF(INDEX(N:N,MATCH($C509,$P:$P,0),1)&lt;&gt;"",$E509*INDEX(N:N,MATCH($C509,$P:$P,0),1)+$G509,""),AND($B509&lt;&gt;"",$D509="COST"),$G509,TRUE,)</f>
        <v>133.2</v>
      </c>
      <c r="J509" s="134" t="str">
        <f t="shared" si="515"/>
        <v/>
      </c>
      <c r="K509" s="219" t="str">
        <f t="shared" si="3"/>
        <v>iShares Diversified Commodity Swap UCITS ETF DE</v>
      </c>
      <c r="L509" s="150">
        <f t="shared" si="4"/>
        <v>0</v>
      </c>
      <c r="M509" s="150">
        <f t="shared" si="5"/>
        <v>-296.42</v>
      </c>
      <c r="N509" s="139" t="str">
        <f t="array" ref="N509">IF($P509&lt;&gt;"",IF(MAXIFS(Investment!$L:$L,Investment!$D:$D,LEFT($P509,40)&amp;"*"),MAXIFS(Investment!$L:$L,Investment!$D:$D,LEFT($P509,40)&amp;"*"),IFERROR(INDEX(Selection!$H:$H, MATCH($P509,Selection!$F:$F,0))/IF(OR(INDEX(Selection!$C:$C, MATCH($P509,Selection!$F:$F,0))="LN",INDEX(Selection!$C:$C, MATCH($P509,Selection!$F:$F,0))="US"),Investment!$K$7,1),"")),"")</f>
        <v/>
      </c>
      <c r="O509" s="144" t="str">
        <f>IF($P509&lt;&gt;"",IF(MAXIFS(Investment!$AG:$AG,Investment!$D:$D,LEFT($P509,40)&amp;"*"),MAXIFS(Investment!$AG:$AG,Investment!$D:$D,LEFT($P509,40)&amp;"*"),""),"")</f>
        <v/>
      </c>
      <c r="P509" s="328"/>
      <c r="R509" s="53"/>
    </row>
    <row r="510">
      <c r="A510" s="125">
        <v>42347.0</v>
      </c>
      <c r="B510" s="56" t="s">
        <v>277</v>
      </c>
      <c r="C510" s="343" t="s">
        <v>845</v>
      </c>
      <c r="D510" s="56" t="s">
        <v>390</v>
      </c>
      <c r="E510" s="56"/>
      <c r="F510" s="218"/>
      <c r="G510" s="132">
        <v>4.1</v>
      </c>
      <c r="H510" s="353" t="str">
        <f t="shared" si="497"/>
        <v>iShares 7-10 Year Treasury Bond ETF@DIVIDEND@@4.1</v>
      </c>
      <c r="I510" s="134" t="str">
        <f t="shared" ref="I510:J510" si="516">IFS(AND($B510&lt;&gt;"",$E510&lt;&gt;""),IF(INDEX(N:N,MATCH($C510,$P:$P,0),1)&lt;&gt;"",$E510*INDEX(N:N,MATCH($C510,$P:$P,0),1)+$G510,""),AND($B510&lt;&gt;"",$D510="COST"),$G510,TRUE,)</f>
        <v/>
      </c>
      <c r="J510" s="134" t="str">
        <f t="shared" si="516"/>
        <v/>
      </c>
      <c r="K510" s="219" t="str">
        <f t="shared" si="3"/>
        <v>iShares 7-10 Year Treasury Bond ETF</v>
      </c>
      <c r="L510" s="150">
        <f t="shared" si="4"/>
        <v>0</v>
      </c>
      <c r="M510" s="150">
        <f t="shared" si="5"/>
        <v>-345.82</v>
      </c>
      <c r="N510" s="139" t="str">
        <f t="array" ref="N510">IF($P510&lt;&gt;"",IF(MAXIFS(Investment!$L:$L,Investment!$D:$D,LEFT($P510,40)&amp;"*"),MAXIFS(Investment!$L:$L,Investment!$D:$D,LEFT($P510,40)&amp;"*"),IFERROR(INDEX(Selection!$H:$H, MATCH($P510,Selection!$F:$F,0))/IF(OR(INDEX(Selection!$C:$C, MATCH($P510,Selection!$F:$F,0))="LN",INDEX(Selection!$C:$C, MATCH($P510,Selection!$F:$F,0))="US"),Investment!$K$7,1),"")),"")</f>
        <v/>
      </c>
      <c r="O510" s="144" t="str">
        <f>IF($P510&lt;&gt;"",IF(MAXIFS(Investment!$AG:$AG,Investment!$D:$D,LEFT($P510,40)&amp;"*"),MAXIFS(Investment!$AG:$AG,Investment!$D:$D,LEFT($P510,40)&amp;"*"),""),"")</f>
        <v/>
      </c>
      <c r="P510" s="328"/>
      <c r="R510" s="53"/>
    </row>
    <row r="511">
      <c r="A511" s="125">
        <v>42318.0</v>
      </c>
      <c r="B511" s="56" t="s">
        <v>277</v>
      </c>
      <c r="C511" s="343" t="s">
        <v>845</v>
      </c>
      <c r="D511" s="56" t="s">
        <v>390</v>
      </c>
      <c r="E511" s="56"/>
      <c r="F511" s="218"/>
      <c r="G511" s="132">
        <v>4.09</v>
      </c>
      <c r="H511" s="353" t="str">
        <f t="shared" si="497"/>
        <v>iShares 7-10 Year Treasury Bond ETF@DIVIDEND@@4.09</v>
      </c>
      <c r="I511" s="134" t="str">
        <f t="shared" ref="I511:J511" si="517">IFS(AND($B511&lt;&gt;"",$E511&lt;&gt;""),IF(INDEX(N:N,MATCH($C511,$P:$P,0),1)&lt;&gt;"",$E511*INDEX(N:N,MATCH($C511,$P:$P,0),1)+$G511,""),AND($B511&lt;&gt;"",$D511="COST"),$G511,TRUE,)</f>
        <v/>
      </c>
      <c r="J511" s="134" t="str">
        <f t="shared" si="517"/>
        <v/>
      </c>
      <c r="K511" s="219" t="str">
        <f t="shared" si="3"/>
        <v>iShares 7-10 Year Treasury Bond ETF</v>
      </c>
      <c r="L511" s="150">
        <f t="shared" si="4"/>
        <v>0</v>
      </c>
      <c r="M511" s="150">
        <f t="shared" si="5"/>
        <v>-345.82</v>
      </c>
      <c r="N511" s="139" t="str">
        <f t="array" ref="N511">IF($P511&lt;&gt;"",IF(MAXIFS(Investment!$L:$L,Investment!$D:$D,LEFT($P511,40)&amp;"*"),MAXIFS(Investment!$L:$L,Investment!$D:$D,LEFT($P511,40)&amp;"*"),IFERROR(INDEX(Selection!$H:$H, MATCH($P511,Selection!$F:$F,0))/IF(OR(INDEX(Selection!$C:$C, MATCH($P511,Selection!$F:$F,0))="LN",INDEX(Selection!$C:$C, MATCH($P511,Selection!$F:$F,0))="US"),Investment!$K$7,1),"")),"")</f>
        <v/>
      </c>
      <c r="O511" s="144" t="str">
        <f>IF($P511&lt;&gt;"",IF(MAXIFS(Investment!$AG:$AG,Investment!$D:$D,LEFT($P511,40)&amp;"*"),MAXIFS(Investment!$AG:$AG,Investment!$D:$D,LEFT($P511,40)&amp;"*"),""),"")</f>
        <v/>
      </c>
      <c r="P511" s="328"/>
      <c r="R511" s="53"/>
    </row>
    <row r="512">
      <c r="A512" s="125">
        <v>42314.0</v>
      </c>
      <c r="B512" s="56" t="s">
        <v>307</v>
      </c>
      <c r="C512" s="343" t="s">
        <v>745</v>
      </c>
      <c r="D512" s="56" t="s">
        <v>222</v>
      </c>
      <c r="E512" s="56">
        <v>8.0</v>
      </c>
      <c r="F512" s="218">
        <v>98.96531</v>
      </c>
      <c r="G512" s="132">
        <v>-800.22</v>
      </c>
      <c r="H512" s="353" t="str">
        <f t="shared" si="497"/>
        <v>Vanguard Total Stock Market ETF@BUY@8@-800.22</v>
      </c>
      <c r="I512" s="134">
        <f t="shared" ref="I512:J512" si="518">IFS(AND($B512&lt;&gt;"",$E512&lt;&gt;""),IF(INDEX(N:N,MATCH($C512,$P:$P,0),1)&lt;&gt;"",$E512*INDEX(N:N,MATCH($C512,$P:$P,0),1)+$G512,""),AND($B512&lt;&gt;"",$D512="COST"),$G512,TRUE,)</f>
        <v>223.6319046</v>
      </c>
      <c r="J512" s="134" t="str">
        <f t="shared" si="518"/>
        <v/>
      </c>
      <c r="K512" s="219" t="str">
        <f t="shared" si="3"/>
        <v>Vanguard Total Stock Market ETF</v>
      </c>
      <c r="L512" s="150">
        <f t="shared" si="4"/>
        <v>0</v>
      </c>
      <c r="M512" s="150">
        <f t="shared" si="5"/>
        <v>1880.34</v>
      </c>
      <c r="N512" s="139" t="str">
        <f t="array" ref="N512">IF($P512&lt;&gt;"",IF(MAXIFS(Investment!$L:$L,Investment!$D:$D,LEFT($P512,40)&amp;"*"),MAXIFS(Investment!$L:$L,Investment!$D:$D,LEFT($P512,40)&amp;"*"),IFERROR(INDEX(Selection!$H:$H, MATCH($P512,Selection!$F:$F,0))/IF(OR(INDEX(Selection!$C:$C, MATCH($P512,Selection!$F:$F,0))="LN",INDEX(Selection!$C:$C, MATCH($P512,Selection!$F:$F,0))="US"),Investment!$K$7,1),"")),"")</f>
        <v/>
      </c>
      <c r="O512" s="144" t="str">
        <f>IF($P512&lt;&gt;"",IF(MAXIFS(Investment!$AG:$AG,Investment!$D:$D,LEFT($P512,40)&amp;"*"),MAXIFS(Investment!$AG:$AG,Investment!$D:$D,LEFT($P512,40)&amp;"*"),""),"")</f>
        <v/>
      </c>
      <c r="P512" s="328"/>
      <c r="R512" s="53"/>
    </row>
    <row r="513">
      <c r="A513" s="125">
        <v>42314.0</v>
      </c>
      <c r="B513" s="56" t="s">
        <v>243</v>
      </c>
      <c r="C513" s="343" t="s">
        <v>588</v>
      </c>
      <c r="D513" s="56" t="s">
        <v>222</v>
      </c>
      <c r="E513" s="56">
        <v>9.0</v>
      </c>
      <c r="F513" s="218">
        <v>104.23462</v>
      </c>
      <c r="G513" s="132">
        <v>-946.61</v>
      </c>
      <c r="H513" s="353" t="str">
        <f t="shared" si="497"/>
        <v>Vanguard Extended Duration Treasury ETF@BUY@9@-946.61</v>
      </c>
      <c r="I513" s="134">
        <f t="shared" ref="I513:J513" si="519">IFS(AND($B513&lt;&gt;"",$E513&lt;&gt;""),IF(INDEX(N:N,MATCH($C513,$P:$P,0),1)&lt;&gt;"",$E513*INDEX(N:N,MATCH($C513,$P:$P,0),1)+$G513,""),AND($B513&lt;&gt;"",$D513="COST"),$G513,TRUE,)</f>
        <v>5.53489142</v>
      </c>
      <c r="J513" s="134" t="str">
        <f t="shared" si="519"/>
        <v/>
      </c>
      <c r="K513" s="219" t="str">
        <f t="shared" si="3"/>
        <v>Vanguard Extended Duration Treasury ETF</v>
      </c>
      <c r="L513" s="150">
        <f t="shared" si="4"/>
        <v>0</v>
      </c>
      <c r="M513" s="150">
        <f t="shared" si="5"/>
        <v>-4941.36</v>
      </c>
      <c r="N513" s="139" t="str">
        <f t="array" ref="N513">IF($P513&lt;&gt;"",IF(MAXIFS(Investment!$L:$L,Investment!$D:$D,LEFT($P513,40)&amp;"*"),MAXIFS(Investment!$L:$L,Investment!$D:$D,LEFT($P513,40)&amp;"*"),IFERROR(INDEX(Selection!$H:$H, MATCH($P513,Selection!$F:$F,0))/IF(OR(INDEX(Selection!$C:$C, MATCH($P513,Selection!$F:$F,0))="LN",INDEX(Selection!$C:$C, MATCH($P513,Selection!$F:$F,0))="US"),Investment!$K$7,1),"")),"")</f>
        <v/>
      </c>
      <c r="O513" s="144" t="str">
        <f>IF($P513&lt;&gt;"",IF(MAXIFS(Investment!$AG:$AG,Investment!$D:$D,LEFT($P513,40)&amp;"*"),MAXIFS(Investment!$AG:$AG,Investment!$D:$D,LEFT($P513,40)&amp;"*"),""),"")</f>
        <v/>
      </c>
      <c r="P513" s="328"/>
      <c r="R513" s="53"/>
    </row>
    <row r="514">
      <c r="A514" s="125">
        <v>42314.0</v>
      </c>
      <c r="B514" s="56" t="s">
        <v>217</v>
      </c>
      <c r="C514" s="343" t="s">
        <v>959</v>
      </c>
      <c r="D514" s="56" t="s">
        <v>222</v>
      </c>
      <c r="E514" s="56">
        <v>2.0</v>
      </c>
      <c r="F514" s="218">
        <v>14.30627</v>
      </c>
      <c r="G514" s="132">
        <v>-37.11</v>
      </c>
      <c r="H514" s="353" t="str">
        <f t="shared" si="497"/>
        <v>iShares Diversified Commodity Swap UCITS ETF DE@BUY@2@-37.11</v>
      </c>
      <c r="I514" s="134">
        <f t="shared" ref="I514:J514" si="520">IFS(AND($B514&lt;&gt;"",$E514&lt;&gt;""),IF(INDEX(N:N,MATCH($C514,$P:$P,0),1)&lt;&gt;"",$E514*INDEX(N:N,MATCH($C514,$P:$P,0),1)+$G514,""),AND($B514&lt;&gt;"",$D514="COST"),$G514,TRUE,)</f>
        <v>-1.452</v>
      </c>
      <c r="J514" s="134" t="str">
        <f t="shared" si="520"/>
        <v/>
      </c>
      <c r="K514" s="219" t="str">
        <f t="shared" si="3"/>
        <v>iShares Diversified Commodity Swap UCITS ETF DE</v>
      </c>
      <c r="L514" s="150">
        <f t="shared" si="4"/>
        <v>0</v>
      </c>
      <c r="M514" s="150">
        <f t="shared" si="5"/>
        <v>-296.42</v>
      </c>
      <c r="N514" s="139" t="str">
        <f t="array" ref="N514">IF($P514&lt;&gt;"",IF(MAXIFS(Investment!$L:$L,Investment!$D:$D,LEFT($P514,40)&amp;"*"),MAXIFS(Investment!$L:$L,Investment!$D:$D,LEFT($P514,40)&amp;"*"),IFERROR(INDEX(Selection!$H:$H, MATCH($P514,Selection!$F:$F,0))/IF(OR(INDEX(Selection!$C:$C, MATCH($P514,Selection!$F:$F,0))="LN",INDEX(Selection!$C:$C, MATCH($P514,Selection!$F:$F,0))="US"),Investment!$K$7,1),"")),"")</f>
        <v/>
      </c>
      <c r="O514" s="144" t="str">
        <f>IF($P514&lt;&gt;"",IF(MAXIFS(Investment!$AG:$AG,Investment!$D:$D,LEFT($P514,40)&amp;"*"),MAXIFS(Investment!$AG:$AG,Investment!$D:$D,LEFT($P514,40)&amp;"*"),""),"")</f>
        <v/>
      </c>
      <c r="P514" s="328"/>
      <c r="R514" s="53"/>
    </row>
    <row r="515">
      <c r="A515" s="125">
        <v>42314.0</v>
      </c>
      <c r="B515" s="56" t="s">
        <v>361</v>
      </c>
      <c r="C515" s="343" t="s">
        <v>989</v>
      </c>
      <c r="D515" s="56" t="s">
        <v>222</v>
      </c>
      <c r="E515" s="56">
        <v>20.0</v>
      </c>
      <c r="F515" s="218">
        <v>9.70023</v>
      </c>
      <c r="G515" s="132">
        <v>-202.5</v>
      </c>
      <c r="H515" s="353" t="str">
        <f t="shared" si="497"/>
        <v>iShares Gold Trust@BUY@20@-202.5</v>
      </c>
      <c r="I515" s="134">
        <f t="shared" ref="I515:J515" si="521">IFS(AND($B515&lt;&gt;"",$E515&lt;&gt;""),IF(INDEX(N:N,MATCH($C515,$P:$P,0),1)&lt;&gt;"",$E515*INDEX(N:N,MATCH($C515,$P:$P,0),1)+$G515,""),AND($B515&lt;&gt;"",$D515="COST"),$G515,TRUE,)</f>
        <v>18.93111428</v>
      </c>
      <c r="J515" s="134" t="str">
        <f t="shared" si="521"/>
        <v/>
      </c>
      <c r="K515" s="219" t="str">
        <f t="shared" si="3"/>
        <v>iShares Gold Trust</v>
      </c>
      <c r="L515" s="150">
        <f t="shared" si="4"/>
        <v>0</v>
      </c>
      <c r="M515" s="150">
        <f t="shared" si="5"/>
        <v>140.23</v>
      </c>
      <c r="N515" s="139" t="str">
        <f t="array" ref="N515">IF($P515&lt;&gt;"",IF(MAXIFS(Investment!$L:$L,Investment!$D:$D,LEFT($P515,40)&amp;"*"),MAXIFS(Investment!$L:$L,Investment!$D:$D,LEFT($P515,40)&amp;"*"),IFERROR(INDEX(Selection!$H:$H, MATCH($P515,Selection!$F:$F,0))/IF(OR(INDEX(Selection!$C:$C, MATCH($P515,Selection!$F:$F,0))="LN",INDEX(Selection!$C:$C, MATCH($P515,Selection!$F:$F,0))="US"),Investment!$K$7,1),"")),"")</f>
        <v/>
      </c>
      <c r="O515" s="144" t="str">
        <f>IF($P515&lt;&gt;"",IF(MAXIFS(Investment!$AG:$AG,Investment!$D:$D,LEFT($P515,40)&amp;"*"),MAXIFS(Investment!$AG:$AG,Investment!$D:$D,LEFT($P515,40)&amp;"*"),""),"")</f>
        <v/>
      </c>
      <c r="P515" s="328"/>
      <c r="R515" s="53"/>
    </row>
    <row r="516">
      <c r="A516" s="349">
        <v>42303.0</v>
      </c>
      <c r="B516" s="250" t="s">
        <v>361</v>
      </c>
      <c r="C516" s="362" t="s">
        <v>989</v>
      </c>
      <c r="D516" s="363" t="s">
        <v>222</v>
      </c>
      <c r="E516" s="250">
        <v>255.0</v>
      </c>
      <c r="F516" s="254">
        <v>10.2342</v>
      </c>
      <c r="G516" s="352">
        <v>-2618.23</v>
      </c>
      <c r="H516" s="353" t="str">
        <f t="shared" si="497"/>
        <v>iShares Gold Trust@BUY@255@-2618.23</v>
      </c>
      <c r="I516" s="134">
        <f t="shared" ref="I516:J516" si="522">IFS(AND($B516&lt;&gt;"",$E516&lt;&gt;""),IF(INDEX(N:N,MATCH($C516,$P:$P,0),1)&lt;&gt;"",$E516*INDEX(N:N,MATCH($C516,$P:$P,0),1)+$G516,""),AND($B516&lt;&gt;"",$D516="COST"),$G516,TRUE,)</f>
        <v>205.016707</v>
      </c>
      <c r="J516" s="134" t="str">
        <f t="shared" si="522"/>
        <v/>
      </c>
      <c r="K516" s="219" t="str">
        <f t="shared" si="3"/>
        <v>iShares Gold Trust</v>
      </c>
      <c r="L516" s="150">
        <f t="shared" si="4"/>
        <v>0</v>
      </c>
      <c r="M516" s="150">
        <f t="shared" si="5"/>
        <v>140.23</v>
      </c>
      <c r="N516" s="139" t="str">
        <f t="array" ref="N516">IF($P516&lt;&gt;"",IF(MAXIFS(Investment!$L:$L,Investment!$D:$D,LEFT($P516,40)&amp;"*"),MAXIFS(Investment!$L:$L,Investment!$D:$D,LEFT($P516,40)&amp;"*"),IFERROR(INDEX(Selection!$H:$H, MATCH($P516,Selection!$F:$F,0))/IF(OR(INDEX(Selection!$C:$C, MATCH($P516,Selection!$F:$F,0))="LN",INDEX(Selection!$C:$C, MATCH($P516,Selection!$F:$F,0))="US"),Investment!$K$7,1),"")),"")</f>
        <v/>
      </c>
      <c r="O516" s="144" t="str">
        <f>IF($P516&lt;&gt;"",IF(MAXIFS(Investment!$AG:$AG,Investment!$D:$D,LEFT($P516,40)&amp;"*"),MAXIFS(Investment!$AG:$AG,Investment!$D:$D,LEFT($P516,40)&amp;"*"),""),"")</f>
        <v/>
      </c>
      <c r="P516" s="328"/>
      <c r="R516" s="53"/>
    </row>
    <row r="517">
      <c r="A517" s="349">
        <v>42303.0</v>
      </c>
      <c r="B517" s="250" t="s">
        <v>277</v>
      </c>
      <c r="C517" s="362" t="s">
        <v>845</v>
      </c>
      <c r="D517" s="363" t="s">
        <v>222</v>
      </c>
      <c r="E517" s="250">
        <v>55.0</v>
      </c>
      <c r="F517" s="254">
        <v>97.8714</v>
      </c>
      <c r="G517" s="352">
        <v>-5391.43</v>
      </c>
      <c r="H517" s="353" t="str">
        <f t="shared" si="497"/>
        <v>iShares 7-10 Year Treasury Bond ETF@BUY@55@-5391.43</v>
      </c>
      <c r="I517" s="134">
        <f t="shared" ref="I517:J517" si="523">IFS(AND($B517&lt;&gt;"",$E517&lt;&gt;""),IF(INDEX(N:N,MATCH($C517,$P:$P,0),1)&lt;&gt;"",$E517*INDEX(N:N,MATCH($C517,$P:$P,0),1)+$G517,""),AND($B517&lt;&gt;"",$D517="COST"),$G517,TRUE,)</f>
        <v>-170.933382</v>
      </c>
      <c r="J517" s="134" t="str">
        <f t="shared" si="523"/>
        <v/>
      </c>
      <c r="K517" s="219" t="str">
        <f t="shared" si="3"/>
        <v>iShares 7-10 Year Treasury Bond ETF</v>
      </c>
      <c r="L517" s="150">
        <f t="shared" si="4"/>
        <v>0</v>
      </c>
      <c r="M517" s="150">
        <f t="shared" si="5"/>
        <v>-345.82</v>
      </c>
      <c r="N517" s="139" t="str">
        <f t="array" ref="N517">IF($P517&lt;&gt;"",IF(MAXIFS(Investment!$L:$L,Investment!$D:$D,LEFT($P517,40)&amp;"*"),MAXIFS(Investment!$L:$L,Investment!$D:$D,LEFT($P517,40)&amp;"*"),IFERROR(INDEX(Selection!$H:$H, MATCH($P517,Selection!$F:$F,0))/IF(OR(INDEX(Selection!$C:$C, MATCH($P517,Selection!$F:$F,0))="LN",INDEX(Selection!$C:$C, MATCH($P517,Selection!$F:$F,0))="US"),Investment!$K$7,1),"")),"")</f>
        <v/>
      </c>
      <c r="O517" s="144" t="str">
        <f>IF($P517&lt;&gt;"",IF(MAXIFS(Investment!$AG:$AG,Investment!$D:$D,LEFT($P517,40)&amp;"*"),MAXIFS(Investment!$AG:$AG,Investment!$D:$D,LEFT($P517,40)&amp;"*"),""),"")</f>
        <v/>
      </c>
      <c r="P517" s="328"/>
      <c r="R517" s="53"/>
    </row>
    <row r="518">
      <c r="A518" s="349">
        <v>42303.0</v>
      </c>
      <c r="B518" s="250" t="s">
        <v>217</v>
      </c>
      <c r="C518" s="362" t="s">
        <v>959</v>
      </c>
      <c r="D518" s="363" t="s">
        <v>222</v>
      </c>
      <c r="E518" s="250">
        <v>179.0</v>
      </c>
      <c r="F518" s="254">
        <v>14.3383</v>
      </c>
      <c r="G518" s="352">
        <v>-2575.06</v>
      </c>
      <c r="H518" s="353" t="str">
        <f t="shared" si="497"/>
        <v>iShares Diversified Commodity Swap UCITS ETF DE@BUY@179@-2575.06</v>
      </c>
      <c r="I518" s="134">
        <f t="shared" ref="I518:J518" si="524">IFS(AND($B518&lt;&gt;"",$E518&lt;&gt;""),IF(INDEX(N:N,MATCH($C518,$P:$P,0),1)&lt;&gt;"",$E518*INDEX(N:N,MATCH($C518,$P:$P,0),1)+$G518,""),AND($B518&lt;&gt;"",$D518="COST"),$G518,TRUE,)</f>
        <v>616.331</v>
      </c>
      <c r="J518" s="134" t="str">
        <f t="shared" si="524"/>
        <v/>
      </c>
      <c r="K518" s="219" t="str">
        <f t="shared" si="3"/>
        <v>iShares Diversified Commodity Swap UCITS ETF DE</v>
      </c>
      <c r="L518" s="150">
        <f t="shared" si="4"/>
        <v>0</v>
      </c>
      <c r="M518" s="150">
        <f t="shared" si="5"/>
        <v>-296.42</v>
      </c>
      <c r="N518" s="139" t="str">
        <f t="array" ref="N518">IF($P518&lt;&gt;"",IF(MAXIFS(Investment!$L:$L,Investment!$D:$D,LEFT($P518,40)&amp;"*"),MAXIFS(Investment!$L:$L,Investment!$D:$D,LEFT($P518,40)&amp;"*"),IFERROR(INDEX(Selection!$H:$H, MATCH($P518,Selection!$F:$F,0))/IF(OR(INDEX(Selection!$C:$C, MATCH($P518,Selection!$F:$F,0))="LN",INDEX(Selection!$C:$C, MATCH($P518,Selection!$F:$F,0))="US"),Investment!$K$7,1),"")),"")</f>
        <v/>
      </c>
      <c r="O518" s="144" t="str">
        <f>IF($P518&lt;&gt;"",IF(MAXIFS(Investment!$AG:$AG,Investment!$D:$D,LEFT($P518,40)&amp;"*"),MAXIFS(Investment!$AG:$AG,Investment!$D:$D,LEFT($P518,40)&amp;"*"),""),"")</f>
        <v/>
      </c>
      <c r="P518" s="328"/>
      <c r="R518" s="53"/>
    </row>
    <row r="519">
      <c r="A519" s="349">
        <v>42303.0</v>
      </c>
      <c r="B519" s="250" t="s">
        <v>243</v>
      </c>
      <c r="C519" s="362" t="s">
        <v>588</v>
      </c>
      <c r="D519" s="363" t="s">
        <v>222</v>
      </c>
      <c r="E519" s="250">
        <v>127.0</v>
      </c>
      <c r="F519" s="254">
        <v>108.0799</v>
      </c>
      <c r="G519" s="352">
        <v>-13738.49</v>
      </c>
      <c r="H519" s="353" t="str">
        <f t="shared" si="497"/>
        <v>Vanguard Extended Duration Treasury ETF@BUY@127@-13738.49</v>
      </c>
      <c r="I519" s="134">
        <f t="shared" ref="I519:J519" si="525">IFS(AND($B519&lt;&gt;"",$E519&lt;&gt;""),IF(INDEX(N:N,MATCH($C519,$P:$P,0),1)&lt;&gt;"",$E519*INDEX(N:N,MATCH($C519,$P:$P,0),1)+$G519,""),AND($B519&lt;&gt;"",$D519="COST"),$G519,TRUE,)</f>
        <v>-302.6676433</v>
      </c>
      <c r="J519" s="134" t="str">
        <f t="shared" si="525"/>
        <v/>
      </c>
      <c r="K519" s="219" t="str">
        <f t="shared" si="3"/>
        <v>Vanguard Extended Duration Treasury ETF</v>
      </c>
      <c r="L519" s="150">
        <f t="shared" si="4"/>
        <v>0</v>
      </c>
      <c r="M519" s="150">
        <f t="shared" si="5"/>
        <v>-4941.36</v>
      </c>
      <c r="N519" s="139" t="str">
        <f t="array" ref="N519">IF($P519&lt;&gt;"",IF(MAXIFS(Investment!$L:$L,Investment!$D:$D,LEFT($P519,40)&amp;"*"),MAXIFS(Investment!$L:$L,Investment!$D:$D,LEFT($P519,40)&amp;"*"),IFERROR(INDEX(Selection!$H:$H, MATCH($P519,Selection!$F:$F,0))/IF(OR(INDEX(Selection!$C:$C, MATCH($P519,Selection!$F:$F,0))="LN",INDEX(Selection!$C:$C, MATCH($P519,Selection!$F:$F,0))="US"),Investment!$K$7,1),"")),"")</f>
        <v/>
      </c>
      <c r="O519" s="144" t="str">
        <f>IF($P519&lt;&gt;"",IF(MAXIFS(Investment!$AG:$AG,Investment!$D:$D,LEFT($P519,40)&amp;"*"),MAXIFS(Investment!$AG:$AG,Investment!$D:$D,LEFT($P519,40)&amp;"*"),""),"")</f>
        <v/>
      </c>
      <c r="P519" s="328"/>
      <c r="R519" s="53"/>
    </row>
    <row r="520">
      <c r="A520" s="349">
        <v>42303.0</v>
      </c>
      <c r="B520" s="250" t="s">
        <v>307</v>
      </c>
      <c r="C520" s="362" t="s">
        <v>745</v>
      </c>
      <c r="D520" s="363" t="s">
        <v>222</v>
      </c>
      <c r="E520" s="250">
        <v>100.0</v>
      </c>
      <c r="F520" s="254">
        <v>95.7279</v>
      </c>
      <c r="G520" s="352">
        <v>-9581.29</v>
      </c>
      <c r="H520" s="353" t="str">
        <f t="shared" si="497"/>
        <v>Vanguard Total Stock Market ETF@BUY@100@-9581.29</v>
      </c>
      <c r="I520" s="134">
        <f t="shared" ref="I520:J520" si="526">IFS(AND($B520&lt;&gt;"",$E520&lt;&gt;""),IF(INDEX(N:N,MATCH($C520,$P:$P,0),1)&lt;&gt;"",$E520*INDEX(N:N,MATCH($C520,$P:$P,0),1)+$G520,""),AND($B520&lt;&gt;"",$D520="COST"),$G520,TRUE,)</f>
        <v>3216.858807</v>
      </c>
      <c r="J520" s="134" t="str">
        <f t="shared" si="526"/>
        <v/>
      </c>
      <c r="K520" s="219" t="str">
        <f t="shared" si="3"/>
        <v>Vanguard Total Stock Market ETF</v>
      </c>
      <c r="L520" s="150">
        <f t="shared" si="4"/>
        <v>0</v>
      </c>
      <c r="M520" s="150">
        <f t="shared" si="5"/>
        <v>1880.34</v>
      </c>
      <c r="N520" s="139" t="str">
        <f t="array" ref="N520">IF($P520&lt;&gt;"",IF(MAXIFS(Investment!$L:$L,Investment!$D:$D,LEFT($P520,40)&amp;"*"),MAXIFS(Investment!$L:$L,Investment!$D:$D,LEFT($P520,40)&amp;"*"),IFERROR(INDEX(Selection!$H:$H, MATCH($P520,Selection!$F:$F,0))/IF(OR(INDEX(Selection!$C:$C, MATCH($P520,Selection!$F:$F,0))="LN",INDEX(Selection!$C:$C, MATCH($P520,Selection!$F:$F,0))="US"),Investment!$K$7,1),"")),"")</f>
        <v/>
      </c>
      <c r="O520" s="144" t="str">
        <f>IF($P520&lt;&gt;"",IF(MAXIFS(Investment!$AG:$AG,Investment!$D:$D,LEFT($P520,40)&amp;"*"),MAXIFS(Investment!$AG:$AG,Investment!$D:$D,LEFT($P520,40)&amp;"*"),""),"")</f>
        <v/>
      </c>
      <c r="P520" s="328"/>
      <c r="R520" s="53"/>
    </row>
    <row r="521">
      <c r="A521" s="125">
        <v>42302.0</v>
      </c>
      <c r="B521" s="56"/>
      <c r="C521" s="343" t="s">
        <v>1514</v>
      </c>
      <c r="D521" s="56" t="s">
        <v>245</v>
      </c>
      <c r="E521" s="56">
        <v>-117.0</v>
      </c>
      <c r="F521" s="218">
        <v>184.14</v>
      </c>
      <c r="G521" s="132">
        <v>21524.99</v>
      </c>
      <c r="H521" s="353" t="str">
        <f t="shared" si="497"/>
        <v>TOTAL GABON@SELL@-117@21524.99</v>
      </c>
      <c r="I521" s="134" t="str">
        <f t="shared" ref="I521:J521" si="527">IFS(AND($B521&lt;&gt;"",$E521&lt;&gt;""),IF(INDEX(N:N,MATCH($C521,$P:$P,0),1)&lt;&gt;"",$E521*INDEX(N:N,MATCH($C521,$P:$P,0),1)+$G521,""),AND($B521&lt;&gt;"",$D521="COST"),$G521,TRUE,)</f>
        <v/>
      </c>
      <c r="J521" s="134" t="str">
        <f t="shared" si="527"/>
        <v/>
      </c>
      <c r="K521" s="219" t="str">
        <f t="shared" si="3"/>
        <v>TOTAL GABON</v>
      </c>
      <c r="L521" s="150">
        <f t="shared" si="4"/>
        <v>0</v>
      </c>
      <c r="M521" s="150">
        <f t="shared" si="5"/>
        <v>-24138.28</v>
      </c>
      <c r="N521" s="139" t="str">
        <f t="array" ref="N521">IF($P521&lt;&gt;"",IF(MAXIFS(Investment!$L:$L,Investment!$D:$D,LEFT($P521,40)&amp;"*"),MAXIFS(Investment!$L:$L,Investment!$D:$D,LEFT($P521,40)&amp;"*"),IFERROR(INDEX(Selection!$H:$H, MATCH($P521,Selection!$F:$F,0))/IF(OR(INDEX(Selection!$C:$C, MATCH($P521,Selection!$F:$F,0))="LN",INDEX(Selection!$C:$C, MATCH($P521,Selection!$F:$F,0))="US"),Investment!$K$7,1),"")),"")</f>
        <v/>
      </c>
      <c r="O521" s="144" t="str">
        <f>IF($P521&lt;&gt;"",IF(MAXIFS(Investment!$AG:$AG,Investment!$D:$D,LEFT($P521,40)&amp;"*"),MAXIFS(Investment!$AG:$AG,Investment!$D:$D,LEFT($P521,40)&amp;"*"),""),"")</f>
        <v/>
      </c>
      <c r="P521" s="328"/>
      <c r="R521" s="53"/>
    </row>
    <row r="522">
      <c r="A522" s="125">
        <v>42297.0</v>
      </c>
      <c r="B522" s="161"/>
      <c r="C522" s="228"/>
      <c r="D522" s="56" t="s">
        <v>268</v>
      </c>
      <c r="E522" s="161"/>
      <c r="F522" s="218"/>
      <c r="G522" s="132">
        <v>12000.0</v>
      </c>
      <c r="H522" s="353" t="str">
        <f t="shared" si="497"/>
        <v>@APPROVISIONNEMENT@@12000</v>
      </c>
      <c r="I522" s="134" t="str">
        <f t="shared" ref="I522:J522" si="528">IFS(AND($B522&lt;&gt;"",$E522&lt;&gt;""),IF(INDEX(N:N,MATCH($C522,$P:$P,0),1)&lt;&gt;"",$E522*INDEX(N:N,MATCH($C522,$P:$P,0),1)+$G522,""),AND($B522&lt;&gt;"",$D522="COST"),$G522,TRUE,)</f>
        <v/>
      </c>
      <c r="J522" s="134" t="str">
        <f t="shared" si="528"/>
        <v/>
      </c>
      <c r="K522" s="219" t="str">
        <f t="shared" si="3"/>
        <v/>
      </c>
      <c r="L522" s="150" t="str">
        <f t="shared" si="4"/>
        <v/>
      </c>
      <c r="M522" s="150" t="str">
        <f t="shared" si="5"/>
        <v/>
      </c>
      <c r="N522" s="139" t="str">
        <f t="array" ref="N522">IF($P522&lt;&gt;"",IF(MAXIFS(Investment!$L:$L,Investment!$D:$D,LEFT($P522,40)&amp;"*"),MAXIFS(Investment!$L:$L,Investment!$D:$D,LEFT($P522,40)&amp;"*"),IFERROR(INDEX(Selection!$H:$H, MATCH($P522,Selection!$F:$F,0))/IF(OR(INDEX(Selection!$C:$C, MATCH($P522,Selection!$F:$F,0))="LN",INDEX(Selection!$C:$C, MATCH($P522,Selection!$F:$F,0))="US"),Investment!$K$7,1),"")),"")</f>
        <v/>
      </c>
      <c r="O522" s="144" t="str">
        <f>IF($P522&lt;&gt;"",IF(MAXIFS(Investment!$AG:$AG,Investment!$D:$D,LEFT($P522,40)&amp;"*"),MAXIFS(Investment!$AG:$AG,Investment!$D:$D,LEFT($P522,40)&amp;"*"),""),"")</f>
        <v/>
      </c>
      <c r="P522" s="328"/>
      <c r="R522" s="53"/>
    </row>
    <row r="523">
      <c r="A523" s="125">
        <v>42173.0</v>
      </c>
      <c r="B523" s="161"/>
      <c r="C523" s="228" t="s">
        <v>1514</v>
      </c>
      <c r="D523" s="56" t="s">
        <v>390</v>
      </c>
      <c r="E523" s="208"/>
      <c r="F523" s="218"/>
      <c r="G523" s="132">
        <v>684.3</v>
      </c>
      <c r="H523" s="353" t="str">
        <f t="shared" si="497"/>
        <v>TOTAL GABON@DIVIDEND@@684.3</v>
      </c>
      <c r="I523" s="134" t="str">
        <f t="shared" ref="I523:J523" si="529">IFS(AND($B523&lt;&gt;"",$E523&lt;&gt;""),IF(INDEX(N:N,MATCH($C523,$P:$P,0),1)&lt;&gt;"",$E523*INDEX(N:N,MATCH($C523,$P:$P,0),1)+$G523,""),AND($B523&lt;&gt;"",$D523="COST"),$G523,TRUE,)</f>
        <v/>
      </c>
      <c r="J523" s="134" t="str">
        <f t="shared" si="529"/>
        <v/>
      </c>
      <c r="K523" s="219" t="str">
        <f t="shared" si="3"/>
        <v>TOTAL GABON</v>
      </c>
      <c r="L523" s="150">
        <f t="shared" si="4"/>
        <v>0</v>
      </c>
      <c r="M523" s="150">
        <f t="shared" si="5"/>
        <v>-24138.28</v>
      </c>
      <c r="N523" s="139" t="str">
        <f t="array" ref="N523">IF($P523&lt;&gt;"",IF(MAXIFS(Investment!$L:$L,Investment!$D:$D,LEFT($P523,40)&amp;"*"),MAXIFS(Investment!$L:$L,Investment!$D:$D,LEFT($P523,40)&amp;"*"),IFERROR(INDEX(Selection!$H:$H, MATCH($P523,Selection!$F:$F,0))/IF(OR(INDEX(Selection!$C:$C, MATCH($P523,Selection!$F:$F,0))="LN",INDEX(Selection!$C:$C, MATCH($P523,Selection!$F:$F,0))="US"),Investment!$K$7,1),"")),"")</f>
        <v/>
      </c>
      <c r="O523" s="144" t="str">
        <f>IF($P523&lt;&gt;"",IF(MAXIFS(Investment!$AG:$AG,Investment!$D:$D,LEFT($P523,40)&amp;"*"),MAXIFS(Investment!$AG:$AG,Investment!$D:$D,LEFT($P523,40)&amp;"*"),""),"")</f>
        <v/>
      </c>
      <c r="P523" s="328"/>
      <c r="R523" s="53"/>
    </row>
    <row r="524">
      <c r="A524" s="125">
        <v>41983.0</v>
      </c>
      <c r="B524" s="56"/>
      <c r="C524" s="343" t="s">
        <v>1514</v>
      </c>
      <c r="D524" s="56" t="s">
        <v>245</v>
      </c>
      <c r="E524" s="56">
        <v>-21.0</v>
      </c>
      <c r="F524" s="218">
        <v>305.05</v>
      </c>
      <c r="G524" s="132">
        <v>6400.28</v>
      </c>
      <c r="H524" s="353" t="str">
        <f t="shared" si="497"/>
        <v>TOTAL GABON@SELL@-21@6400.28</v>
      </c>
      <c r="I524" s="134" t="str">
        <f t="shared" ref="I524:J524" si="530">IFS(AND($B524&lt;&gt;"",$E524&lt;&gt;""),IF(INDEX(N:N,MATCH($C524,$P:$P,0),1)&lt;&gt;"",$E524*INDEX(N:N,MATCH($C524,$P:$P,0),1)+$G524,""),AND($B524&lt;&gt;"",$D524="COST"),$G524,TRUE,)</f>
        <v/>
      </c>
      <c r="J524" s="134" t="str">
        <f t="shared" si="530"/>
        <v/>
      </c>
      <c r="K524" s="219" t="str">
        <f t="shared" si="3"/>
        <v>TOTAL GABON</v>
      </c>
      <c r="L524" s="150">
        <f t="shared" si="4"/>
        <v>0</v>
      </c>
      <c r="M524" s="150">
        <f t="shared" si="5"/>
        <v>-24138.28</v>
      </c>
      <c r="N524" s="139" t="str">
        <f t="array" ref="N524">IF($P524&lt;&gt;"",IF(MAXIFS(Investment!$L:$L,Investment!$D:$D,LEFT($P524,40)&amp;"*"),MAXIFS(Investment!$L:$L,Investment!$D:$D,LEFT($P524,40)&amp;"*"),IFERROR(INDEX(Selection!$H:$H, MATCH($P524,Selection!$F:$F,0))/IF(OR(INDEX(Selection!$C:$C, MATCH($P524,Selection!$F:$F,0))="LN",INDEX(Selection!$C:$C, MATCH($P524,Selection!$F:$F,0))="US"),Investment!$K$7,1),"")),"")</f>
        <v/>
      </c>
      <c r="O524" s="144" t="str">
        <f>IF($P524&lt;&gt;"",IF(MAXIFS(Investment!$AG:$AG,Investment!$D:$D,LEFT($P524,40)&amp;"*"),MAXIFS(Investment!$AG:$AG,Investment!$D:$D,LEFT($P524,40)&amp;"*"),""),"")</f>
        <v/>
      </c>
      <c r="P524" s="49"/>
    </row>
    <row r="525">
      <c r="A525" s="125">
        <v>41982.0</v>
      </c>
      <c r="B525" s="161"/>
      <c r="C525" s="228"/>
      <c r="D525" s="56" t="s">
        <v>263</v>
      </c>
      <c r="E525" s="161"/>
      <c r="F525" s="218"/>
      <c r="G525" s="132">
        <v>-6.0</v>
      </c>
      <c r="H525" s="353" t="str">
        <f t="shared" si="497"/>
        <v>@COST@@-6</v>
      </c>
      <c r="I525" s="134" t="str">
        <f t="shared" ref="I525:J525" si="531">IFS(AND($B525&lt;&gt;"",$E525&lt;&gt;""),IF(INDEX(N:N,MATCH($C525,$P:$P,0),1)&lt;&gt;"",$E525*INDEX(N:N,MATCH($C525,$P:$P,0),1)+$G525,""),AND($B525&lt;&gt;"",$D525="COST"),$G525,TRUE,)</f>
        <v/>
      </c>
      <c r="J525" s="134" t="str">
        <f t="shared" si="531"/>
        <v/>
      </c>
      <c r="K525" s="219" t="str">
        <f t="shared" si="3"/>
        <v/>
      </c>
      <c r="L525" s="150" t="str">
        <f t="shared" si="4"/>
        <v/>
      </c>
      <c r="M525" s="150" t="str">
        <f t="shared" si="5"/>
        <v/>
      </c>
      <c r="N525" s="139" t="str">
        <f t="array" ref="N525">IF($P525&lt;&gt;"",IF(MAXIFS(Investment!$L:$L,Investment!$D:$D,LEFT($P525,40)&amp;"*"),MAXIFS(Investment!$L:$L,Investment!$D:$D,LEFT($P525,40)&amp;"*"),IFERROR(INDEX(Selection!$H:$H, MATCH($P525,Selection!$F:$F,0))/IF(OR(INDEX(Selection!$C:$C, MATCH($P525,Selection!$F:$F,0))="LN",INDEX(Selection!$C:$C, MATCH($P525,Selection!$F:$F,0))="US"),Investment!$K$7,1),"")),"")</f>
        <v/>
      </c>
      <c r="O525" s="144" t="str">
        <f>IF($P525&lt;&gt;"",IF(MAXIFS(Investment!$AG:$AG,Investment!$D:$D,LEFT($P525,40)&amp;"*"),MAXIFS(Investment!$AG:$AG,Investment!$D:$D,LEFT($P525,40)&amp;"*"),""),"")</f>
        <v/>
      </c>
      <c r="P525" s="49"/>
    </row>
    <row r="526">
      <c r="A526" s="125">
        <v>41981.0</v>
      </c>
      <c r="B526" s="161"/>
      <c r="C526" s="228"/>
      <c r="D526" s="56" t="s">
        <v>268</v>
      </c>
      <c r="E526" s="161"/>
      <c r="F526" s="218"/>
      <c r="G526" s="132">
        <v>-13500.0</v>
      </c>
      <c r="H526" s="353" t="str">
        <f t="shared" si="497"/>
        <v>@APPROVISIONNEMENT@@-13500</v>
      </c>
      <c r="I526" s="134" t="str">
        <f t="shared" ref="I526:J526" si="532">IFS(AND($B526&lt;&gt;"",$E526&lt;&gt;""),IF(INDEX(N:N,MATCH($C526,$P:$P,0),1)&lt;&gt;"",$E526*INDEX(N:N,MATCH($C526,$P:$P,0),1)+$G526,""),AND($B526&lt;&gt;"",$D526="COST"),$G526,TRUE,)</f>
        <v/>
      </c>
      <c r="J526" s="134" t="str">
        <f t="shared" si="532"/>
        <v/>
      </c>
      <c r="K526" s="219" t="str">
        <f t="shared" si="3"/>
        <v/>
      </c>
      <c r="L526" s="150" t="str">
        <f t="shared" si="4"/>
        <v/>
      </c>
      <c r="M526" s="150" t="str">
        <f t="shared" si="5"/>
        <v/>
      </c>
      <c r="N526" s="139" t="str">
        <f t="array" ref="N526">IF($P526&lt;&gt;"",IF(MAXIFS(Investment!$L:$L,Investment!$D:$D,LEFT($P526,40)&amp;"*"),MAXIFS(Investment!$L:$L,Investment!$D:$D,LEFT($P526,40)&amp;"*"),IFERROR(INDEX(Selection!$H:$H, MATCH($P526,Selection!$F:$F,0))/IF(OR(INDEX(Selection!$C:$C, MATCH($P526,Selection!$F:$F,0))="LN",INDEX(Selection!$C:$C, MATCH($P526,Selection!$F:$F,0))="US"),Investment!$K$7,1),"")),"")</f>
        <v/>
      </c>
      <c r="O526" s="144" t="str">
        <f>IF($P526&lt;&gt;"",IF(MAXIFS(Investment!$AG:$AG,Investment!$D:$D,LEFT($P526,40)&amp;"*"),MAXIFS(Investment!$AG:$AG,Investment!$D:$D,LEFT($P526,40)&amp;"*"),""),"")</f>
        <v/>
      </c>
      <c r="P526" s="49"/>
    </row>
    <row r="527">
      <c r="A527" s="125">
        <v>41981.0</v>
      </c>
      <c r="B527" s="161"/>
      <c r="C527" s="228"/>
      <c r="D527" s="56" t="s">
        <v>268</v>
      </c>
      <c r="E527" s="161"/>
      <c r="F527" s="218"/>
      <c r="G527" s="132">
        <v>7020.41</v>
      </c>
      <c r="H527" s="353" t="str">
        <f t="shared" si="497"/>
        <v>@APPROVISIONNEMENT@@7020.41</v>
      </c>
      <c r="I527" s="134" t="str">
        <f t="shared" ref="I527:J527" si="533">IFS(AND($B527&lt;&gt;"",$E527&lt;&gt;""),IF(INDEX(N:N,MATCH($C527,$P:$P,0),1)&lt;&gt;"",$E527*INDEX(N:N,MATCH($C527,$P:$P,0),1)+$G527,""),AND($B527&lt;&gt;"",$D527="COST"),$G527,TRUE,)</f>
        <v/>
      </c>
      <c r="J527" s="134" t="str">
        <f t="shared" si="533"/>
        <v/>
      </c>
      <c r="K527" s="219" t="str">
        <f t="shared" si="3"/>
        <v/>
      </c>
      <c r="L527" s="150" t="str">
        <f t="shared" si="4"/>
        <v/>
      </c>
      <c r="M527" s="150" t="str">
        <f t="shared" si="5"/>
        <v/>
      </c>
      <c r="N527" s="139" t="str">
        <f t="array" ref="N527">IF($P527&lt;&gt;"",IF(MAXIFS(Investment!$L:$L,Investment!$D:$D,LEFT($P527,40)&amp;"*"),MAXIFS(Investment!$L:$L,Investment!$D:$D,LEFT($P527,40)&amp;"*"),IFERROR(INDEX(Selection!$H:$H, MATCH($P527,Selection!$F:$F,0))/IF(OR(INDEX(Selection!$C:$C, MATCH($P527,Selection!$F:$F,0))="LN",INDEX(Selection!$C:$C, MATCH($P527,Selection!$F:$F,0))="US"),Investment!$K$7,1),"")),"")</f>
        <v/>
      </c>
      <c r="O527" s="144" t="str">
        <f>IF($P527&lt;&gt;"",IF(MAXIFS(Investment!$AG:$AG,Investment!$D:$D,LEFT($P527,40)&amp;"*"),MAXIFS(Investment!$AG:$AG,Investment!$D:$D,LEFT($P527,40)&amp;"*"),""),"")</f>
        <v/>
      </c>
      <c r="P527" s="49"/>
    </row>
    <row r="528">
      <c r="A528" s="125">
        <v>41933.0</v>
      </c>
      <c r="B528" s="161"/>
      <c r="C528" s="228" t="s">
        <v>1514</v>
      </c>
      <c r="D528" s="56" t="s">
        <v>222</v>
      </c>
      <c r="E528" s="32">
        <v>38.0</v>
      </c>
      <c r="F528" s="218">
        <v>346.34</v>
      </c>
      <c r="G528" s="132">
        <v>-13172.76</v>
      </c>
      <c r="H528" s="353" t="str">
        <f t="shared" si="497"/>
        <v>TOTAL GABON@BUY@38@-13172.76</v>
      </c>
      <c r="I528" s="134" t="str">
        <f t="shared" ref="I528:J528" si="534">IFS(AND($B528&lt;&gt;"",$E528&lt;&gt;""),IF(INDEX(N:N,MATCH($C528,$P:$P,0),1)&lt;&gt;"",$E528*INDEX(N:N,MATCH($C528,$P:$P,0),1)+$G528,""),AND($B528&lt;&gt;"",$D528="COST"),$G528,TRUE,)</f>
        <v/>
      </c>
      <c r="J528" s="134" t="str">
        <f t="shared" si="534"/>
        <v/>
      </c>
      <c r="K528" s="219" t="str">
        <f t="shared" si="3"/>
        <v>TOTAL GABON</v>
      </c>
      <c r="L528" s="150">
        <f t="shared" si="4"/>
        <v>0</v>
      </c>
      <c r="M528" s="150">
        <f t="shared" si="5"/>
        <v>-24138.28</v>
      </c>
      <c r="N528" s="139" t="str">
        <f t="array" ref="N528">IF($P528&lt;&gt;"",IF(MAXIFS(Investment!$L:$L,Investment!$D:$D,LEFT($P528,40)&amp;"*"),MAXIFS(Investment!$L:$L,Investment!$D:$D,LEFT($P528,40)&amp;"*"),IFERROR(INDEX(Selection!$H:$H, MATCH($P528,Selection!$F:$F,0))/IF(OR(INDEX(Selection!$C:$C, MATCH($P528,Selection!$F:$F,0))="LN",INDEX(Selection!$C:$C, MATCH($P528,Selection!$F:$F,0))="US"),Investment!$K$7,1),"")),"")</f>
        <v/>
      </c>
      <c r="O528" s="144" t="str">
        <f>IF($P528&lt;&gt;"",IF(MAXIFS(Investment!$AG:$AG,Investment!$D:$D,LEFT($P528,40)&amp;"*"),MAXIFS(Investment!$AG:$AG,Investment!$D:$D,LEFT($P528,40)&amp;"*"),""),"")</f>
        <v/>
      </c>
      <c r="P528" s="328"/>
      <c r="R528" s="53"/>
    </row>
    <row r="529">
      <c r="A529" s="125">
        <v>41887.0</v>
      </c>
      <c r="C529" s="49" t="s">
        <v>1515</v>
      </c>
      <c r="D529" s="56" t="s">
        <v>245</v>
      </c>
      <c r="E529" s="32">
        <v>-525.0</v>
      </c>
      <c r="F529" s="218">
        <v>25.3755</v>
      </c>
      <c r="G529" s="132">
        <v>13310.15</v>
      </c>
      <c r="H529" s="353" t="str">
        <f t="shared" si="497"/>
        <v>EDF@SELL@-525@13310.15</v>
      </c>
      <c r="I529" s="134" t="str">
        <f t="shared" ref="I529:J529" si="535">IFS(AND($B529&lt;&gt;"",$E529&lt;&gt;""),IF(INDEX(N:N,MATCH($C529,$P:$P,0),1)&lt;&gt;"",$E529*INDEX(N:N,MATCH($C529,$P:$P,0),1)+$G529,""),AND($B529&lt;&gt;"",$D529="COST"),$G529,TRUE,)</f>
        <v/>
      </c>
      <c r="J529" s="134" t="str">
        <f t="shared" si="535"/>
        <v/>
      </c>
      <c r="K529" s="219" t="str">
        <f t="shared" si="3"/>
        <v>EDF</v>
      </c>
      <c r="L529" s="150">
        <f t="shared" si="4"/>
        <v>0</v>
      </c>
      <c r="M529" s="150">
        <f t="shared" si="5"/>
        <v>1451.96</v>
      </c>
      <c r="N529" s="139" t="str">
        <f t="array" ref="N529">IF($P529&lt;&gt;"",IF(MAXIFS(Investment!$L:$L,Investment!$D:$D,LEFT($P529,40)&amp;"*"),MAXIFS(Investment!$L:$L,Investment!$D:$D,LEFT($P529,40)&amp;"*"),IFERROR(INDEX(Selection!$H:$H, MATCH($P529,Selection!$F:$F,0))/IF(OR(INDEX(Selection!$C:$C, MATCH($P529,Selection!$F:$F,0))="LN",INDEX(Selection!$C:$C, MATCH($P529,Selection!$F:$F,0))="US"),Investment!$K$7,1),"")),"")</f>
        <v/>
      </c>
      <c r="O529" s="144" t="str">
        <f>IF($P529&lt;&gt;"",IF(MAXIFS(Investment!$AG:$AG,Investment!$D:$D,LEFT($P529,40)&amp;"*"),MAXIFS(Investment!$AG:$AG,Investment!$D:$D,LEFT($P529,40)&amp;"*"),""),"")</f>
        <v/>
      </c>
      <c r="P529" s="328"/>
      <c r="R529" s="53"/>
    </row>
    <row r="530">
      <c r="A530" s="125">
        <v>41821.0</v>
      </c>
      <c r="B530" s="364"/>
      <c r="C530" s="365" t="s">
        <v>1515</v>
      </c>
      <c r="D530" s="127" t="s">
        <v>263</v>
      </c>
      <c r="E530" s="32"/>
      <c r="F530" s="218"/>
      <c r="G530" s="132">
        <v>-24.17</v>
      </c>
      <c r="H530" s="353" t="str">
        <f t="shared" si="497"/>
        <v>EDF@COST@@-24.17</v>
      </c>
      <c r="I530" s="134" t="str">
        <f t="shared" ref="I530:J530" si="536">IFS(AND($B530&lt;&gt;"",$E530&lt;&gt;""),IF(INDEX(N:N,MATCH($C530,$P:$P,0),1)&lt;&gt;"",$E530*INDEX(N:N,MATCH($C530,$P:$P,0),1)+$G530,""),AND($B530&lt;&gt;"",$D530="COST"),$G530,TRUE,)</f>
        <v/>
      </c>
      <c r="J530" s="134" t="str">
        <f t="shared" si="536"/>
        <v/>
      </c>
      <c r="K530" s="219" t="str">
        <f t="shared" si="3"/>
        <v>EDF</v>
      </c>
      <c r="L530" s="150">
        <f t="shared" si="4"/>
        <v>0</v>
      </c>
      <c r="M530" s="150">
        <f t="shared" si="5"/>
        <v>1451.96</v>
      </c>
      <c r="N530" s="139" t="str">
        <f t="array" ref="N530">IF($P530&lt;&gt;"",IF(MAXIFS(Investment!$L:$L,Investment!$D:$D,LEFT($P530,40)&amp;"*"),MAXIFS(Investment!$L:$L,Investment!$D:$D,LEFT($P530,40)&amp;"*"),IFERROR(INDEX(Selection!$H:$H, MATCH($P530,Selection!$F:$F,0))/IF(OR(INDEX(Selection!$C:$C, MATCH($P530,Selection!$F:$F,0))="LN",INDEX(Selection!$C:$C, MATCH($P530,Selection!$F:$F,0))="US"),Investment!$K$7,1),"")),"")</f>
        <v/>
      </c>
      <c r="O530" s="144" t="str">
        <f>IF($P530&lt;&gt;"",IF(MAXIFS(Investment!$AG:$AG,Investment!$D:$D,LEFT($P530,40)&amp;"*"),MAXIFS(Investment!$AG:$AG,Investment!$D:$D,LEFT($P530,40)&amp;"*"),""),"")</f>
        <v/>
      </c>
      <c r="P530" s="135"/>
      <c r="Q530" s="150"/>
      <c r="R530" s="329"/>
    </row>
    <row r="531">
      <c r="A531" s="125">
        <v>41821.0</v>
      </c>
      <c r="C531" s="49" t="s">
        <v>1515</v>
      </c>
      <c r="D531" s="56" t="s">
        <v>222</v>
      </c>
      <c r="E531" s="56">
        <v>525.0</v>
      </c>
      <c r="F531" s="218">
        <v>23.02</v>
      </c>
      <c r="G531" s="132">
        <v>-12096.38</v>
      </c>
      <c r="H531" s="353" t="str">
        <f t="shared" si="497"/>
        <v>EDF@BUY@525@-12096.38</v>
      </c>
      <c r="I531" s="134" t="str">
        <f t="shared" ref="I531:J531" si="537">IFS(AND($B531&lt;&gt;"",$E531&lt;&gt;""),IF(INDEX(N:N,MATCH($C531,$P:$P,0),1)&lt;&gt;"",$E531*INDEX(N:N,MATCH($C531,$P:$P,0),1)+$G531,""),AND($B531&lt;&gt;"",$D531="COST"),$G531,TRUE,)</f>
        <v/>
      </c>
      <c r="J531" s="134" t="str">
        <f t="shared" si="537"/>
        <v/>
      </c>
      <c r="K531" s="219" t="str">
        <f t="shared" si="3"/>
        <v>EDF</v>
      </c>
      <c r="L531" s="150">
        <f t="shared" si="4"/>
        <v>0</v>
      </c>
      <c r="M531" s="150">
        <f t="shared" si="5"/>
        <v>1451.96</v>
      </c>
      <c r="N531" s="139" t="str">
        <f t="array" ref="N531">IF($P531&lt;&gt;"",IF(MAXIFS(Investment!$L:$L,Investment!$D:$D,LEFT($P531,40)&amp;"*"),MAXIFS(Investment!$L:$L,Investment!$D:$D,LEFT($P531,40)&amp;"*"),IFERROR(INDEX(Selection!$H:$H, MATCH($P531,Selection!$F:$F,0))/IF(OR(INDEX(Selection!$C:$C, MATCH($P531,Selection!$F:$F,0))="LN",INDEX(Selection!$C:$C, MATCH($P531,Selection!$F:$F,0))="US"),Investment!$K$7,1),"")),"")</f>
        <v/>
      </c>
      <c r="O531" s="144" t="str">
        <f>IF($P531&lt;&gt;"",IF(MAXIFS(Investment!$AG:$AG,Investment!$D:$D,LEFT($P531,40)&amp;"*"),MAXIFS(Investment!$AG:$AG,Investment!$D:$D,LEFT($P531,40)&amp;"*"),""),"")</f>
        <v/>
      </c>
      <c r="P531" s="328"/>
      <c r="R531" s="53"/>
    </row>
    <row r="532">
      <c r="A532" s="125">
        <v>41816.0</v>
      </c>
      <c r="C532" s="49" t="s">
        <v>1516</v>
      </c>
      <c r="D532" s="56" t="s">
        <v>245</v>
      </c>
      <c r="E532" s="32">
        <v>-345.0</v>
      </c>
      <c r="F532" s="218">
        <v>31.1974</v>
      </c>
      <c r="G532" s="132">
        <v>10753.41</v>
      </c>
      <c r="H532" s="353" t="str">
        <f t="shared" si="497"/>
        <v>BOUYGUES@SELL@-345@10753.41</v>
      </c>
      <c r="I532" s="134" t="str">
        <f t="shared" ref="I532:J532" si="538">IFS(AND($B532&lt;&gt;"",$E532&lt;&gt;""),IF(INDEX(N:N,MATCH($C532,$P:$P,0),1)&lt;&gt;"",$E532*INDEX(N:N,MATCH($C532,$P:$P,0),1)+$G532,""),AND($B532&lt;&gt;"",$D532="COST"),$G532,TRUE,)</f>
        <v/>
      </c>
      <c r="J532" s="134" t="str">
        <f t="shared" si="538"/>
        <v/>
      </c>
      <c r="K532" s="219" t="str">
        <f t="shared" si="3"/>
        <v>BOUYGUES</v>
      </c>
      <c r="L532" s="150">
        <f t="shared" si="4"/>
        <v>0</v>
      </c>
      <c r="M532" s="150">
        <f t="shared" si="5"/>
        <v>1091.52</v>
      </c>
      <c r="N532" s="139" t="str">
        <f t="array" ref="N532">IF($P532&lt;&gt;"",IF(MAXIFS(Investment!$L:$L,Investment!$D:$D,LEFT($P532,40)&amp;"*"),MAXIFS(Investment!$L:$L,Investment!$D:$D,LEFT($P532,40)&amp;"*"),IFERROR(INDEX(Selection!$H:$H, MATCH($P532,Selection!$F:$F,0))/IF(OR(INDEX(Selection!$C:$C, MATCH($P532,Selection!$F:$F,0))="LN",INDEX(Selection!$C:$C, MATCH($P532,Selection!$F:$F,0))="US"),Investment!$K$7,1),"")),"")</f>
        <v/>
      </c>
      <c r="O532" s="144" t="str">
        <f>IF($P532&lt;&gt;"",IF(MAXIFS(Investment!$AG:$AG,Investment!$D:$D,LEFT($P532,40)&amp;"*"),MAXIFS(Investment!$AG:$AG,Investment!$D:$D,LEFT($P532,40)&amp;"*"),""),"")</f>
        <v/>
      </c>
      <c r="P532" s="328"/>
      <c r="R532" s="53"/>
    </row>
    <row r="533">
      <c r="A533" s="125">
        <v>41809.0</v>
      </c>
      <c r="B533" s="161"/>
      <c r="C533" s="228" t="s">
        <v>1514</v>
      </c>
      <c r="D533" s="56" t="s">
        <v>390</v>
      </c>
      <c r="E533" s="32"/>
      <c r="F533" s="218"/>
      <c r="G533" s="132">
        <v>1586.91</v>
      </c>
      <c r="H533" s="353" t="str">
        <f t="shared" si="497"/>
        <v>TOTAL GABON@DIVIDEND@@1586.91</v>
      </c>
      <c r="I533" s="134" t="str">
        <f t="shared" ref="I533:J533" si="539">IFS(AND($B533&lt;&gt;"",$E533&lt;&gt;""),IF(INDEX(N:N,MATCH($C533,$P:$P,0),1)&lt;&gt;"",$E533*INDEX(N:N,MATCH($C533,$P:$P,0),1)+$G533,""),AND($B533&lt;&gt;"",$D533="COST"),$G533,TRUE,)</f>
        <v/>
      </c>
      <c r="J533" s="134" t="str">
        <f t="shared" si="539"/>
        <v/>
      </c>
      <c r="K533" s="219" t="str">
        <f t="shared" si="3"/>
        <v>TOTAL GABON</v>
      </c>
      <c r="L533" s="150">
        <f t="shared" si="4"/>
        <v>0</v>
      </c>
      <c r="M533" s="150">
        <f t="shared" si="5"/>
        <v>-24138.28</v>
      </c>
      <c r="N533" s="139" t="str">
        <f t="array" ref="N533">IF($P533&lt;&gt;"",IF(MAXIFS(Investment!$L:$L,Investment!$D:$D,LEFT($P533,40)&amp;"*"),MAXIFS(Investment!$L:$L,Investment!$D:$D,LEFT($P533,40)&amp;"*"),IFERROR(INDEX(Selection!$H:$H, MATCH($P533,Selection!$F:$F,0))/IF(OR(INDEX(Selection!$C:$C, MATCH($P533,Selection!$F:$F,0))="LN",INDEX(Selection!$C:$C, MATCH($P533,Selection!$F:$F,0))="US"),Investment!$K$7,1),"")),"")</f>
        <v/>
      </c>
      <c r="O533" s="144" t="str">
        <f>IF($P533&lt;&gt;"",IF(MAXIFS(Investment!$AG:$AG,Investment!$D:$D,LEFT($P533,40)&amp;"*"),MAXIFS(Investment!$AG:$AG,Investment!$D:$D,LEFT($P533,40)&amp;"*"),""),"")</f>
        <v/>
      </c>
      <c r="P533" s="328"/>
      <c r="R533" s="53"/>
    </row>
    <row r="534">
      <c r="A534" s="125">
        <v>41794.0</v>
      </c>
      <c r="C534" s="49" t="s">
        <v>1516</v>
      </c>
      <c r="D534" s="56" t="s">
        <v>390</v>
      </c>
      <c r="E534" s="32"/>
      <c r="F534" s="218"/>
      <c r="G534" s="132">
        <v>330.2</v>
      </c>
      <c r="H534" s="353" t="str">
        <f t="shared" si="497"/>
        <v>BOUYGUES@DIVIDEND@@330.2</v>
      </c>
      <c r="I534" s="134" t="str">
        <f t="shared" ref="I534:J534" si="540">IFS(AND($B534&lt;&gt;"",$E534&lt;&gt;""),IF(INDEX(N:N,MATCH($C534,$P:$P,0),1)&lt;&gt;"",$E534*INDEX(N:N,MATCH($C534,$P:$P,0),1)+$G534,""),AND($B534&lt;&gt;"",$D534="COST"),$G534,TRUE,)</f>
        <v/>
      </c>
      <c r="J534" s="134" t="str">
        <f t="shared" si="540"/>
        <v/>
      </c>
      <c r="K534" s="219" t="str">
        <f t="shared" si="3"/>
        <v>BOUYGUES</v>
      </c>
      <c r="L534" s="150">
        <f t="shared" si="4"/>
        <v>0</v>
      </c>
      <c r="M534" s="150">
        <f t="shared" si="5"/>
        <v>1091.52</v>
      </c>
      <c r="N534" s="139" t="str">
        <f t="array" ref="N534">IF($P534&lt;&gt;"",IF(MAXIFS(Investment!$L:$L,Investment!$D:$D,LEFT($P534,40)&amp;"*"),MAXIFS(Investment!$L:$L,Investment!$D:$D,LEFT($P534,40)&amp;"*"),IFERROR(INDEX(Selection!$H:$H, MATCH($P534,Selection!$F:$F,0))/IF(OR(INDEX(Selection!$C:$C, MATCH($P534,Selection!$F:$F,0))="LN",INDEX(Selection!$C:$C, MATCH($P534,Selection!$F:$F,0))="US"),Investment!$K$7,1),"")),"")</f>
        <v/>
      </c>
      <c r="O534" s="144" t="str">
        <f>IF($P534&lt;&gt;"",IF(MAXIFS(Investment!$AG:$AG,Investment!$D:$D,LEFT($P534,40)&amp;"*"),MAXIFS(Investment!$AG:$AG,Investment!$D:$D,LEFT($P534,40)&amp;"*"),""),"")</f>
        <v/>
      </c>
      <c r="P534" s="328"/>
      <c r="R534" s="53"/>
    </row>
    <row r="535">
      <c r="A535" s="125">
        <v>41764.0</v>
      </c>
      <c r="C535" s="49" t="s">
        <v>1516</v>
      </c>
      <c r="D535" s="361" t="s">
        <v>263</v>
      </c>
      <c r="E535" s="32">
        <v>20.0</v>
      </c>
      <c r="F535" s="218">
        <v>25.21</v>
      </c>
      <c r="G535" s="132">
        <v>0.0</v>
      </c>
      <c r="H535" s="353" t="str">
        <f t="shared" si="497"/>
        <v>BOUYGUES@COST@20@0</v>
      </c>
      <c r="I535" s="134" t="str">
        <f t="shared" ref="I535:J535" si="541">IFS(AND($B535&lt;&gt;"",$E535&lt;&gt;""),IF(INDEX(N:N,MATCH($C535,$P:$P,0),1)&lt;&gt;"",$E535*INDEX(N:N,MATCH($C535,$P:$P,0),1)+$G535,""),AND($B535&lt;&gt;"",$D535="COST"),$G535,TRUE,)</f>
        <v/>
      </c>
      <c r="J535" s="134" t="str">
        <f t="shared" si="541"/>
        <v/>
      </c>
      <c r="K535" s="219" t="str">
        <f t="shared" si="3"/>
        <v>BOUYGUES</v>
      </c>
      <c r="L535" s="150">
        <f t="shared" si="4"/>
        <v>0</v>
      </c>
      <c r="M535" s="150">
        <f t="shared" si="5"/>
        <v>1091.52</v>
      </c>
      <c r="N535" s="139" t="str">
        <f t="array" ref="N535">IF($P535&lt;&gt;"",IF(MAXIFS(Investment!$L:$L,Investment!$D:$D,LEFT($P535,40)&amp;"*"),MAXIFS(Investment!$L:$L,Investment!$D:$D,LEFT($P535,40)&amp;"*"),IFERROR(INDEX(Selection!$H:$H, MATCH($P535,Selection!$F:$F,0))/IF(OR(INDEX(Selection!$C:$C, MATCH($P535,Selection!$F:$F,0))="LN",INDEX(Selection!$C:$C, MATCH($P535,Selection!$F:$F,0))="US"),Investment!$K$7,1),"")),"")</f>
        <v/>
      </c>
      <c r="O535" s="144" t="str">
        <f>IF($P535&lt;&gt;"",IF(MAXIFS(Investment!$AG:$AG,Investment!$D:$D,LEFT($P535,40)&amp;"*"),MAXIFS(Investment!$AG:$AG,Investment!$D:$D,LEFT($P535,40)&amp;"*"),""),"")</f>
        <v/>
      </c>
      <c r="P535" s="328"/>
      <c r="R535" s="53"/>
    </row>
    <row r="536">
      <c r="A536" s="125">
        <v>41764.0</v>
      </c>
      <c r="B536" s="56"/>
      <c r="C536" s="343" t="s">
        <v>1516</v>
      </c>
      <c r="D536" s="361" t="s">
        <v>263</v>
      </c>
      <c r="E536" s="32"/>
      <c r="F536" s="218"/>
      <c r="G536" s="132">
        <v>-504.2</v>
      </c>
      <c r="H536" s="353" t="str">
        <f t="shared" si="497"/>
        <v>BOUYGUES@COST@@-504.2</v>
      </c>
      <c r="I536" s="134" t="str">
        <f t="shared" ref="I536:J536" si="542">IFS(AND($B536&lt;&gt;"",$E536&lt;&gt;""),IF(INDEX(N:N,MATCH($C536,$P:$P,0),1)&lt;&gt;"",$E536*INDEX(N:N,MATCH($C536,$P:$P,0),1)+$G536,""),AND($B536&lt;&gt;"",$D536="COST"),$G536,TRUE,)</f>
        <v/>
      </c>
      <c r="J536" s="134" t="str">
        <f t="shared" si="542"/>
        <v/>
      </c>
      <c r="K536" s="219" t="str">
        <f t="shared" si="3"/>
        <v>BOUYGUES</v>
      </c>
      <c r="L536" s="150">
        <f t="shared" si="4"/>
        <v>0</v>
      </c>
      <c r="M536" s="150">
        <f t="shared" si="5"/>
        <v>1091.52</v>
      </c>
      <c r="N536" s="139" t="str">
        <f t="array" ref="N536">IF($P536&lt;&gt;"",IF(MAXIFS(Investment!$L:$L,Investment!$D:$D,LEFT($P536,40)&amp;"*"),MAXIFS(Investment!$L:$L,Investment!$D:$D,LEFT($P536,40)&amp;"*"),IFERROR(INDEX(Selection!$H:$H, MATCH($P536,Selection!$F:$F,0))/IF(OR(INDEX(Selection!$C:$C, MATCH($P536,Selection!$F:$F,0))="LN",INDEX(Selection!$C:$C, MATCH($P536,Selection!$F:$F,0))="US"),Investment!$K$7,1),"")),"")</f>
        <v/>
      </c>
      <c r="O536" s="144" t="str">
        <f>IF($P536&lt;&gt;"",IF(MAXIFS(Investment!$AG:$AG,Investment!$D:$D,LEFT($P536,40)&amp;"*"),MAXIFS(Investment!$AG:$AG,Investment!$D:$D,LEFT($P536,40)&amp;"*"),""),"")</f>
        <v/>
      </c>
      <c r="P536" s="328"/>
      <c r="R536" s="53"/>
    </row>
    <row r="537">
      <c r="A537" s="125">
        <v>41746.0</v>
      </c>
      <c r="C537" s="49" t="s">
        <v>1516</v>
      </c>
      <c r="D537" s="56" t="s">
        <v>222</v>
      </c>
      <c r="E537" s="32">
        <v>325.0</v>
      </c>
      <c r="F537" s="218">
        <v>29.205</v>
      </c>
      <c r="G537" s="132">
        <v>-9500.17</v>
      </c>
      <c r="H537" s="353" t="str">
        <f t="shared" si="497"/>
        <v>BOUYGUES@BUY@325@-9500.17</v>
      </c>
      <c r="I537" s="134" t="str">
        <f t="shared" ref="I537:J537" si="543">IFS(AND($B537&lt;&gt;"",$E537&lt;&gt;""),IF(INDEX(N:N,MATCH($C537,$P:$P,0),1)&lt;&gt;"",$E537*INDEX(N:N,MATCH($C537,$P:$P,0),1)+$G537,""),AND($B537&lt;&gt;"",$D537="COST"),$G537,TRUE,)</f>
        <v/>
      </c>
      <c r="J537" s="134" t="str">
        <f t="shared" si="543"/>
        <v/>
      </c>
      <c r="K537" s="219" t="str">
        <f t="shared" si="3"/>
        <v>BOUYGUES</v>
      </c>
      <c r="L537" s="150">
        <f t="shared" si="4"/>
        <v>0</v>
      </c>
      <c r="M537" s="150">
        <f t="shared" si="5"/>
        <v>1091.52</v>
      </c>
      <c r="N537" s="139" t="str">
        <f t="array" ref="N537">IF($P537&lt;&gt;"",IF(MAXIFS(Investment!$L:$L,Investment!$D:$D,LEFT($P537,40)&amp;"*"),MAXIFS(Investment!$L:$L,Investment!$D:$D,LEFT($P537,40)&amp;"*"),IFERROR(INDEX(Selection!$H:$H, MATCH($P537,Selection!$F:$F,0))/IF(OR(INDEX(Selection!$C:$C, MATCH($P537,Selection!$F:$F,0))="LN",INDEX(Selection!$C:$C, MATCH($P537,Selection!$F:$F,0))="US"),Investment!$K$7,1),"")),"")</f>
        <v/>
      </c>
      <c r="O537" s="144" t="str">
        <f>IF($P537&lt;&gt;"",IF(MAXIFS(Investment!$AG:$AG,Investment!$D:$D,LEFT($P537,40)&amp;"*"),MAXIFS(Investment!$AG:$AG,Investment!$D:$D,LEFT($P537,40)&amp;"*"),""),"")</f>
        <v/>
      </c>
      <c r="P537" s="328"/>
      <c r="R537" s="53"/>
    </row>
    <row r="538">
      <c r="A538" s="125">
        <v>41746.0</v>
      </c>
      <c r="B538" s="56"/>
      <c r="C538" s="343" t="s">
        <v>1516</v>
      </c>
      <c r="D538" s="361" t="s">
        <v>263</v>
      </c>
      <c r="E538" s="32"/>
      <c r="F538" s="218"/>
      <c r="G538" s="132">
        <v>-18.98</v>
      </c>
      <c r="H538" s="353" t="str">
        <f t="shared" si="497"/>
        <v>BOUYGUES@COST@@-18.98</v>
      </c>
      <c r="I538" s="134" t="str">
        <f t="shared" ref="I538:J538" si="544">IFS(AND($B538&lt;&gt;"",$E538&lt;&gt;""),IF(INDEX(N:N,MATCH($C538,$P:$P,0),1)&lt;&gt;"",$E538*INDEX(N:N,MATCH($C538,$P:$P,0),1)+$G538,""),AND($B538&lt;&gt;"",$D538="COST"),$G538,TRUE,)</f>
        <v/>
      </c>
      <c r="J538" s="134" t="str">
        <f t="shared" si="544"/>
        <v/>
      </c>
      <c r="K538" s="219" t="str">
        <f t="shared" si="3"/>
        <v>BOUYGUES</v>
      </c>
      <c r="L538" s="150">
        <f t="shared" si="4"/>
        <v>0</v>
      </c>
      <c r="M538" s="150">
        <f t="shared" si="5"/>
        <v>1091.52</v>
      </c>
      <c r="N538" s="139" t="str">
        <f t="array" ref="N538">IF($P538&lt;&gt;"",IF(MAXIFS(Investment!$L:$L,Investment!$D:$D,LEFT($P538,40)&amp;"*"),MAXIFS(Investment!$L:$L,Investment!$D:$D,LEFT($P538,40)&amp;"*"),IFERROR(INDEX(Selection!$H:$H, MATCH($P538,Selection!$F:$F,0))/IF(OR(INDEX(Selection!$C:$C, MATCH($P538,Selection!$F:$F,0))="LN",INDEX(Selection!$C:$C, MATCH($P538,Selection!$F:$F,0))="US"),Investment!$K$7,1),"")),"")</f>
        <v/>
      </c>
      <c r="O538" s="144" t="str">
        <f>IF($P538&lt;&gt;"",IF(MAXIFS(Investment!$AG:$AG,Investment!$D:$D,LEFT($P538,40)&amp;"*"),MAXIFS(Investment!$AG:$AG,Investment!$D:$D,LEFT($P538,40)&amp;"*"),""),"")</f>
        <v/>
      </c>
      <c r="P538" s="328"/>
      <c r="R538" s="53"/>
    </row>
    <row r="539">
      <c r="A539" s="125">
        <v>41744.0</v>
      </c>
      <c r="B539" s="161"/>
      <c r="C539" s="228"/>
      <c r="D539" s="56" t="s">
        <v>268</v>
      </c>
      <c r="E539" s="161"/>
      <c r="F539" s="218"/>
      <c r="G539" s="132">
        <v>7979.59</v>
      </c>
      <c r="H539" s="353" t="str">
        <f t="shared" si="497"/>
        <v>@APPROVISIONNEMENT@@7979.59</v>
      </c>
      <c r="I539" s="134" t="str">
        <f t="shared" ref="I539:J539" si="545">IFS(AND($B539&lt;&gt;"",$E539&lt;&gt;""),IF(INDEX(N:N,MATCH($C539,$P:$P,0),1)&lt;&gt;"",$E539*INDEX(N:N,MATCH($C539,$P:$P,0),1)+$G539,""),AND($B539&lt;&gt;"",$D539="COST"),$G539,TRUE,)</f>
        <v/>
      </c>
      <c r="J539" s="134" t="str">
        <f t="shared" si="545"/>
        <v/>
      </c>
      <c r="K539" s="219" t="str">
        <f t="shared" si="3"/>
        <v/>
      </c>
      <c r="L539" s="150" t="str">
        <f t="shared" si="4"/>
        <v/>
      </c>
      <c r="M539" s="150" t="str">
        <f t="shared" si="5"/>
        <v/>
      </c>
      <c r="N539" s="139" t="str">
        <f t="array" ref="N539">IF($P539&lt;&gt;"",IF(MAXIFS(Investment!$L:$L,Investment!$D:$D,LEFT($P539,40)&amp;"*"),MAXIFS(Investment!$L:$L,Investment!$D:$D,LEFT($P539,40)&amp;"*"),IFERROR(INDEX(Selection!$H:$H, MATCH($P539,Selection!$F:$F,0))/IF(OR(INDEX(Selection!$C:$C, MATCH($P539,Selection!$F:$F,0))="LN",INDEX(Selection!$C:$C, MATCH($P539,Selection!$F:$F,0))="US"),Investment!$K$7,1),"")),"")</f>
        <v/>
      </c>
      <c r="O539" s="144" t="str">
        <f>IF($P539&lt;&gt;"",IF(MAXIFS(Investment!$AG:$AG,Investment!$D:$D,LEFT($P539,40)&amp;"*"),MAXIFS(Investment!$AG:$AG,Investment!$D:$D,LEFT($P539,40)&amp;"*"),""),"")</f>
        <v/>
      </c>
      <c r="P539" s="328"/>
      <c r="R539" s="53"/>
    </row>
    <row r="540">
      <c r="A540" s="125">
        <v>41743.0</v>
      </c>
      <c r="B540" s="161"/>
      <c r="C540" s="228" t="s">
        <v>1514</v>
      </c>
      <c r="D540" s="56" t="s">
        <v>222</v>
      </c>
      <c r="E540" s="32">
        <v>100.0</v>
      </c>
      <c r="F540" s="218">
        <v>411.5</v>
      </c>
      <c r="G540" s="132">
        <v>-41162.0</v>
      </c>
      <c r="H540" s="353" t="str">
        <f t="shared" si="497"/>
        <v>TOTAL GABON@BUY@100@-41162</v>
      </c>
      <c r="I540" s="134" t="str">
        <f t="shared" ref="I540:J540" si="546">IFS(AND($B540&lt;&gt;"",$E540&lt;&gt;""),IF(INDEX(N:N,MATCH($C540,$P:$P,0),1)&lt;&gt;"",$E540*INDEX(N:N,MATCH($C540,$P:$P,0),1)+$G540,""),AND($B540&lt;&gt;"",$D540="COST"),$G540,TRUE,)</f>
        <v/>
      </c>
      <c r="J540" s="134" t="str">
        <f t="shared" si="546"/>
        <v/>
      </c>
      <c r="K540" s="219" t="str">
        <f t="shared" si="3"/>
        <v>TOTAL GABON</v>
      </c>
      <c r="L540" s="150">
        <f t="shared" si="4"/>
        <v>0</v>
      </c>
      <c r="M540" s="150">
        <f t="shared" si="5"/>
        <v>-24138.28</v>
      </c>
      <c r="N540" s="139" t="str">
        <f t="array" ref="N540">IF($P540&lt;&gt;"",IF(MAXIFS(Investment!$L:$L,Investment!$D:$D,LEFT($P540,40)&amp;"*"),MAXIFS(Investment!$L:$L,Investment!$D:$D,LEFT($P540,40)&amp;"*"),IFERROR(INDEX(Selection!$H:$H, MATCH($P540,Selection!$F:$F,0))/IF(OR(INDEX(Selection!$C:$C, MATCH($P540,Selection!$F:$F,0))="LN",INDEX(Selection!$C:$C, MATCH($P540,Selection!$F:$F,0))="US"),Investment!$K$7,1),"")),"")</f>
        <v/>
      </c>
      <c r="O540" s="144" t="str">
        <f>IF($P540&lt;&gt;"",IF(MAXIFS(Investment!$AG:$AG,Investment!$D:$D,LEFT($P540,40)&amp;"*"),MAXIFS(Investment!$AG:$AG,Investment!$D:$D,LEFT($P540,40)&amp;"*"),""),"")</f>
        <v/>
      </c>
      <c r="P540" s="328"/>
      <c r="R540" s="53"/>
    </row>
    <row r="541">
      <c r="A541" s="125">
        <v>41722.0</v>
      </c>
      <c r="C541" s="49" t="s">
        <v>1517</v>
      </c>
      <c r="D541" s="56" t="s">
        <v>245</v>
      </c>
      <c r="E541" s="56">
        <v>-580.0</v>
      </c>
      <c r="F541" s="218">
        <v>73.2</v>
      </c>
      <c r="G541" s="132">
        <v>42444.0</v>
      </c>
      <c r="H541" s="353" t="str">
        <f t="shared" si="497"/>
        <v>TECHNIP@SELL@-580@42444</v>
      </c>
      <c r="I541" s="134" t="str">
        <f t="shared" ref="I541:J541" si="547">IFS(AND($B541&lt;&gt;"",$E541&lt;&gt;""),IF(INDEX(N:N,MATCH($C541,$P:$P,0),1)&lt;&gt;"",$E541*INDEX(N:N,MATCH($C541,$P:$P,0),1)+$G541,""),AND($B541&lt;&gt;"",$D541="COST"),$G541,TRUE,)</f>
        <v/>
      </c>
      <c r="J541" s="134" t="str">
        <f t="shared" si="547"/>
        <v/>
      </c>
      <c r="K541" s="219" t="str">
        <f t="shared" si="3"/>
        <v>TECHNIP</v>
      </c>
      <c r="L541" s="150">
        <f t="shared" si="4"/>
        <v>0</v>
      </c>
      <c r="M541" s="150">
        <f t="shared" si="5"/>
        <v>-690.07</v>
      </c>
      <c r="N541" s="139" t="str">
        <f t="array" ref="N541">IF($P541&lt;&gt;"",IF(MAXIFS(Investment!$L:$L,Investment!$D:$D,LEFT($P541,40)&amp;"*"),MAXIFS(Investment!$L:$L,Investment!$D:$D,LEFT($P541,40)&amp;"*"),IFERROR(INDEX(Selection!$H:$H, MATCH($P541,Selection!$F:$F,0))/IF(OR(INDEX(Selection!$C:$C, MATCH($P541,Selection!$F:$F,0))="LN",INDEX(Selection!$C:$C, MATCH($P541,Selection!$F:$F,0))="US"),Investment!$K$7,1),"")),"")</f>
        <v/>
      </c>
      <c r="O541" s="144" t="str">
        <f>IF($P541&lt;&gt;"",IF(MAXIFS(Investment!$AG:$AG,Investment!$D:$D,LEFT($P541,40)&amp;"*"),MAXIFS(Investment!$AG:$AG,Investment!$D:$D,LEFT($P541,40)&amp;"*"),""),"")</f>
        <v/>
      </c>
      <c r="P541" s="328"/>
      <c r="R541" s="53"/>
    </row>
    <row r="542">
      <c r="A542" s="125">
        <v>41599.0</v>
      </c>
      <c r="C542" s="49" t="s">
        <v>1517</v>
      </c>
      <c r="D542" s="56" t="s">
        <v>222</v>
      </c>
      <c r="E542" s="32">
        <v>580.0</v>
      </c>
      <c r="F542" s="218">
        <v>74.2</v>
      </c>
      <c r="G542" s="132">
        <v>-43048.0</v>
      </c>
      <c r="H542" s="353" t="str">
        <f t="shared" si="497"/>
        <v>TECHNIP@BUY@580@-43048</v>
      </c>
      <c r="I542" s="134" t="str">
        <f t="shared" ref="I542:J542" si="548">IFS(AND($B542&lt;&gt;"",$E542&lt;&gt;""),IF(INDEX(N:N,MATCH($C542,$P:$P,0),1)&lt;&gt;"",$E542*INDEX(N:N,MATCH($C542,$P:$P,0),1)+$G542,""),AND($B542&lt;&gt;"",$D542="COST"),$G542,TRUE,)</f>
        <v/>
      </c>
      <c r="J542" s="134" t="str">
        <f t="shared" si="548"/>
        <v/>
      </c>
      <c r="K542" s="219" t="str">
        <f t="shared" si="3"/>
        <v>TECHNIP</v>
      </c>
      <c r="L542" s="150">
        <f t="shared" si="4"/>
        <v>0</v>
      </c>
      <c r="M542" s="150">
        <f t="shared" si="5"/>
        <v>-690.07</v>
      </c>
      <c r="N542" s="139" t="str">
        <f t="array" ref="N542">IF($P542&lt;&gt;"",IF(MAXIFS(Investment!$L:$L,Investment!$D:$D,LEFT($P542,40)&amp;"*"),MAXIFS(Investment!$L:$L,Investment!$D:$D,LEFT($P542,40)&amp;"*"),IFERROR(INDEX(Selection!$H:$H, MATCH($P542,Selection!$F:$F,0))/IF(OR(INDEX(Selection!$C:$C, MATCH($P542,Selection!$F:$F,0))="LN",INDEX(Selection!$C:$C, MATCH($P542,Selection!$F:$F,0))="US"),Investment!$K$7,1),"")),"")</f>
        <v/>
      </c>
      <c r="O542" s="144" t="str">
        <f>IF($P542&lt;&gt;"",IF(MAXIFS(Investment!$AG:$AG,Investment!$D:$D,LEFT($P542,40)&amp;"*"),MAXIFS(Investment!$AG:$AG,Investment!$D:$D,LEFT($P542,40)&amp;"*"),""),"")</f>
        <v/>
      </c>
      <c r="P542" s="328"/>
      <c r="R542" s="53"/>
    </row>
    <row r="543">
      <c r="A543" s="125">
        <v>41599.0</v>
      </c>
      <c r="B543" s="56"/>
      <c r="C543" s="343" t="s">
        <v>1517</v>
      </c>
      <c r="D543" s="361" t="s">
        <v>263</v>
      </c>
      <c r="E543" s="32"/>
      <c r="F543" s="218"/>
      <c r="G543" s="132">
        <v>-86.07</v>
      </c>
      <c r="H543" s="353" t="str">
        <f t="shared" si="497"/>
        <v>TECHNIP@COST@@-86.07</v>
      </c>
      <c r="I543" s="134" t="str">
        <f t="shared" ref="I543:J543" si="549">IFS(AND($B543&lt;&gt;"",$E543&lt;&gt;""),IF(INDEX(N:N,MATCH($C543,$P:$P,0),1)&lt;&gt;"",$E543*INDEX(N:N,MATCH($C543,$P:$P,0),1)+$G543,""),AND($B543&lt;&gt;"",$D543="COST"),$G543,TRUE,)</f>
        <v/>
      </c>
      <c r="J543" s="134" t="str">
        <f t="shared" si="549"/>
        <v/>
      </c>
      <c r="K543" s="219" t="str">
        <f t="shared" si="3"/>
        <v>TECHNIP</v>
      </c>
      <c r="L543" s="150">
        <f t="shared" si="4"/>
        <v>0</v>
      </c>
      <c r="M543" s="150">
        <f t="shared" si="5"/>
        <v>-690.07</v>
      </c>
      <c r="N543" s="139" t="str">
        <f t="array" ref="N543">IF($P543&lt;&gt;"",IF(MAXIFS(Investment!$L:$L,Investment!$D:$D,LEFT($P543,40)&amp;"*"),MAXIFS(Investment!$L:$L,Investment!$D:$D,LEFT($P543,40)&amp;"*"),IFERROR(INDEX(Selection!$H:$H, MATCH($P543,Selection!$F:$F,0))/IF(OR(INDEX(Selection!$C:$C, MATCH($P543,Selection!$F:$F,0))="LN",INDEX(Selection!$C:$C, MATCH($P543,Selection!$F:$F,0))="US"),Investment!$K$7,1),"")),"")</f>
        <v/>
      </c>
      <c r="O543" s="144" t="str">
        <f>IF($P543&lt;&gt;"",IF(MAXIFS(Investment!$AG:$AG,Investment!$D:$D,LEFT($P543,40)&amp;"*"),MAXIFS(Investment!$AG:$AG,Investment!$D:$D,LEFT($P543,40)&amp;"*"),""),"")</f>
        <v/>
      </c>
      <c r="P543" s="328"/>
      <c r="R543" s="53"/>
    </row>
    <row r="544">
      <c r="A544" s="125">
        <v>41599.0</v>
      </c>
      <c r="C544" s="49" t="s">
        <v>1518</v>
      </c>
      <c r="D544" s="56" t="s">
        <v>245</v>
      </c>
      <c r="E544" s="32">
        <v>-7300.0</v>
      </c>
      <c r="F544" s="218">
        <v>5.873</v>
      </c>
      <c r="G544" s="132">
        <v>42860.9</v>
      </c>
      <c r="H544" s="353" t="str">
        <f t="shared" si="497"/>
        <v>STMICROELECTRONICS@SELL@-7300@42860.9</v>
      </c>
      <c r="I544" s="134" t="str">
        <f t="shared" ref="I544:J544" si="550">IFS(AND($B544&lt;&gt;"",$E544&lt;&gt;""),IF(INDEX(N:N,MATCH($C544,$P:$P,0),1)&lt;&gt;"",$E544*INDEX(N:N,MATCH($C544,$P:$P,0),1)+$G544,""),AND($B544&lt;&gt;"",$D544="COST"),$G544,TRUE,)</f>
        <v/>
      </c>
      <c r="J544" s="134" t="str">
        <f t="shared" si="550"/>
        <v/>
      </c>
      <c r="K544" s="219" t="str">
        <f t="shared" si="3"/>
        <v>STMICROELECTRONICS</v>
      </c>
      <c r="L544" s="150">
        <f t="shared" si="4"/>
        <v>0</v>
      </c>
      <c r="M544" s="150">
        <f t="shared" si="5"/>
        <v>1209.7</v>
      </c>
      <c r="N544" s="139" t="str">
        <f t="array" ref="N544">IF($P544&lt;&gt;"",IF(MAXIFS(Investment!$L:$L,Investment!$D:$D,LEFT($P544,40)&amp;"*"),MAXIFS(Investment!$L:$L,Investment!$D:$D,LEFT($P544,40)&amp;"*"),IFERROR(INDEX(Selection!$H:$H, MATCH($P544,Selection!$F:$F,0))/IF(OR(INDEX(Selection!$C:$C, MATCH($P544,Selection!$F:$F,0))="LN",INDEX(Selection!$C:$C, MATCH($P544,Selection!$F:$F,0))="US"),Investment!$K$7,1),"")),"")</f>
        <v/>
      </c>
      <c r="O544" s="144" t="str">
        <f>IF($P544&lt;&gt;"",IF(MAXIFS(Investment!$AG:$AG,Investment!$D:$D,LEFT($P544,40)&amp;"*"),MAXIFS(Investment!$AG:$AG,Investment!$D:$D,LEFT($P544,40)&amp;"*"),""),"")</f>
        <v/>
      </c>
      <c r="P544" s="328"/>
      <c r="R544" s="53"/>
    </row>
    <row r="545">
      <c r="A545" s="125">
        <v>41571.0</v>
      </c>
      <c r="C545" s="49" t="s">
        <v>1518</v>
      </c>
      <c r="D545" s="56" t="s">
        <v>222</v>
      </c>
      <c r="E545" s="32">
        <v>7300.0</v>
      </c>
      <c r="F545" s="218">
        <v>5.704</v>
      </c>
      <c r="G545" s="132">
        <v>-41651.2</v>
      </c>
      <c r="H545" s="353" t="str">
        <f t="shared" si="497"/>
        <v>STMICROELECTRONICS@BUY@7300@-41651.2</v>
      </c>
      <c r="I545" s="134" t="str">
        <f t="shared" ref="I545:J545" si="551">IFS(AND($B545&lt;&gt;"",$E545&lt;&gt;""),IF(INDEX(N:N,MATCH($C545,$P:$P,0),1)&lt;&gt;"",$E545*INDEX(N:N,MATCH($C545,$P:$P,0),1)+$G545,""),AND($B545&lt;&gt;"",$D545="COST"),$G545,TRUE,)</f>
        <v/>
      </c>
      <c r="J545" s="134" t="str">
        <f t="shared" si="551"/>
        <v/>
      </c>
      <c r="K545" s="219" t="str">
        <f t="shared" si="3"/>
        <v>STMICROELECTRONICS</v>
      </c>
      <c r="L545" s="150">
        <f t="shared" si="4"/>
        <v>0</v>
      </c>
      <c r="M545" s="150">
        <f t="shared" si="5"/>
        <v>1209.7</v>
      </c>
      <c r="N545" s="139" t="str">
        <f t="array" ref="N545">IF($P545&lt;&gt;"",IF(MAXIFS(Investment!$L:$L,Investment!$D:$D,LEFT($P545,40)&amp;"*"),MAXIFS(Investment!$L:$L,Investment!$D:$D,LEFT($P545,40)&amp;"*"),IFERROR(INDEX(Selection!$H:$H, MATCH($P545,Selection!$F:$F,0))/IF(OR(INDEX(Selection!$C:$C, MATCH($P545,Selection!$F:$F,0))="LN",INDEX(Selection!$C:$C, MATCH($P545,Selection!$F:$F,0))="US"),Investment!$K$7,1),"")),"")</f>
        <v/>
      </c>
      <c r="O545" s="144" t="str">
        <f>IF($P545&lt;&gt;"",IF(MAXIFS(Investment!$AG:$AG,Investment!$D:$D,LEFT($P545,40)&amp;"*"),MAXIFS(Investment!$AG:$AG,Investment!$D:$D,LEFT($P545,40)&amp;"*"),""),"")</f>
        <v/>
      </c>
      <c r="P545" s="328"/>
      <c r="R545" s="53"/>
    </row>
    <row r="546">
      <c r="A546" s="125">
        <v>41569.0</v>
      </c>
      <c r="C546" s="49" t="s">
        <v>1519</v>
      </c>
      <c r="D546" s="56" t="s">
        <v>245</v>
      </c>
      <c r="E546" s="32">
        <v>-1500.0</v>
      </c>
      <c r="F546" s="218">
        <v>27.59</v>
      </c>
      <c r="G546" s="132">
        <v>41373.0</v>
      </c>
      <c r="H546" s="353" t="str">
        <f t="shared" si="497"/>
        <v>ALSTOM REGROUPT@SELL@-1500@41373</v>
      </c>
      <c r="I546" s="134" t="str">
        <f t="shared" ref="I546:J546" si="552">IFS(AND($B546&lt;&gt;"",$E546&lt;&gt;""),IF(INDEX(N:N,MATCH($C546,$P:$P,0),1)&lt;&gt;"",$E546*INDEX(N:N,MATCH($C546,$P:$P,0),1)+$G546,""),AND($B546&lt;&gt;"",$D546="COST"),$G546,TRUE,)</f>
        <v/>
      </c>
      <c r="J546" s="134" t="str">
        <f t="shared" si="552"/>
        <v/>
      </c>
      <c r="K546" s="219" t="str">
        <f t="shared" si="3"/>
        <v>ALSTOM REGROUPT</v>
      </c>
      <c r="L546" s="150">
        <f t="shared" si="4"/>
        <v>0</v>
      </c>
      <c r="M546" s="150">
        <f t="shared" si="5"/>
        <v>3485.4</v>
      </c>
      <c r="N546" s="139" t="str">
        <f t="array" ref="N546">IF($P546&lt;&gt;"",IF(MAXIFS(Investment!$L:$L,Investment!$D:$D,LEFT($P546,40)&amp;"*"),MAXIFS(Investment!$L:$L,Investment!$D:$D,LEFT($P546,40)&amp;"*"),IFERROR(INDEX(Selection!$H:$H, MATCH($P546,Selection!$F:$F,0))/IF(OR(INDEX(Selection!$C:$C, MATCH($P546,Selection!$F:$F,0))="LN",INDEX(Selection!$C:$C, MATCH($P546,Selection!$F:$F,0))="US"),Investment!$K$7,1),"")),"")</f>
        <v/>
      </c>
      <c r="O546" s="144" t="str">
        <f>IF($P546&lt;&gt;"",IF(MAXIFS(Investment!$AG:$AG,Investment!$D:$D,LEFT($P546,40)&amp;"*"),MAXIFS(Investment!$AG:$AG,Investment!$D:$D,LEFT($P546,40)&amp;"*"),""),"")</f>
        <v/>
      </c>
      <c r="P546" s="328"/>
      <c r="R546" s="53"/>
    </row>
    <row r="547">
      <c r="A547" s="125">
        <v>41564.0</v>
      </c>
      <c r="C547" s="49" t="s">
        <v>1520</v>
      </c>
      <c r="D547" s="56" t="s">
        <v>245</v>
      </c>
      <c r="E547" s="32">
        <v>-32.0</v>
      </c>
      <c r="F547" s="218">
        <v>21.6</v>
      </c>
      <c r="G547" s="132">
        <v>690.21</v>
      </c>
      <c r="H547" s="353" t="str">
        <f t="shared" si="497"/>
        <v>ANF IMMOBILIER@SELL@-32@690.21</v>
      </c>
      <c r="I547" s="134" t="str">
        <f t="shared" ref="I547:J547" si="553">IFS(AND($B547&lt;&gt;"",$E547&lt;&gt;""),IF(INDEX(N:N,MATCH($C547,$P:$P,0),1)&lt;&gt;"",$E547*INDEX(N:N,MATCH($C547,$P:$P,0),1)+$G547,""),AND($B547&lt;&gt;"",$D547="COST"),$G547,TRUE,)</f>
        <v/>
      </c>
      <c r="J547" s="134" t="str">
        <f t="shared" si="553"/>
        <v/>
      </c>
      <c r="K547" s="219" t="str">
        <f t="shared" si="3"/>
        <v>ANF IMMOBILIER</v>
      </c>
      <c r="L547" s="150">
        <f t="shared" si="4"/>
        <v>0</v>
      </c>
      <c r="M547" s="150">
        <f t="shared" si="5"/>
        <v>-5.5</v>
      </c>
      <c r="N547" s="139" t="str">
        <f t="array" ref="N547">IF($P547&lt;&gt;"",IF(MAXIFS(Investment!$L:$L,Investment!$D:$D,LEFT($P547,40)&amp;"*"),MAXIFS(Investment!$L:$L,Investment!$D:$D,LEFT($P547,40)&amp;"*"),IFERROR(INDEX(Selection!$H:$H, MATCH($P547,Selection!$F:$F,0))/IF(OR(INDEX(Selection!$C:$C, MATCH($P547,Selection!$F:$F,0))="LN",INDEX(Selection!$C:$C, MATCH($P547,Selection!$F:$F,0))="US"),Investment!$K$7,1),"")),"")</f>
        <v/>
      </c>
      <c r="O547" s="144" t="str">
        <f>IF($P547&lt;&gt;"",IF(MAXIFS(Investment!$AG:$AG,Investment!$D:$D,LEFT($P547,40)&amp;"*"),MAXIFS(Investment!$AG:$AG,Investment!$D:$D,LEFT($P547,40)&amp;"*"),""),"")</f>
        <v/>
      </c>
      <c r="P547" s="328"/>
      <c r="R547" s="53"/>
    </row>
    <row r="548">
      <c r="A548" s="125">
        <v>41564.0</v>
      </c>
      <c r="C548" s="49" t="s">
        <v>1521</v>
      </c>
      <c r="D548" s="56" t="s">
        <v>245</v>
      </c>
      <c r="E548" s="32">
        <v>-16.0</v>
      </c>
      <c r="F548" s="218">
        <v>72.89</v>
      </c>
      <c r="G548" s="132">
        <v>1165.19</v>
      </c>
      <c r="H548" s="353" t="str">
        <f t="shared" si="497"/>
        <v>SANOFI@SELL@-16@1165.19</v>
      </c>
      <c r="I548" s="134" t="str">
        <f t="shared" ref="I548:J548" si="554">IFS(AND($B548&lt;&gt;"",$E548&lt;&gt;""),IF(INDEX(N:N,MATCH($C548,$P:$P,0),1)&lt;&gt;"",$E548*INDEX(N:N,MATCH($C548,$P:$P,0),1)+$G548,""),AND($B548&lt;&gt;"",$D548="COST"),$G548,TRUE,)</f>
        <v/>
      </c>
      <c r="J548" s="134" t="str">
        <f t="shared" si="554"/>
        <v/>
      </c>
      <c r="K548" s="219" t="str">
        <f t="shared" si="3"/>
        <v>SANOFI</v>
      </c>
      <c r="L548" s="150">
        <f t="shared" si="4"/>
        <v>0</v>
      </c>
      <c r="M548" s="150">
        <f t="shared" si="5"/>
        <v>-32.19</v>
      </c>
      <c r="N548" s="139" t="str">
        <f t="array" ref="N548">IF($P548&lt;&gt;"",IF(MAXIFS(Investment!$L:$L,Investment!$D:$D,LEFT($P548,40)&amp;"*"),MAXIFS(Investment!$L:$L,Investment!$D:$D,LEFT($P548,40)&amp;"*"),IFERROR(INDEX(Selection!$H:$H, MATCH($P548,Selection!$F:$F,0))/IF(OR(INDEX(Selection!$C:$C, MATCH($P548,Selection!$F:$F,0))="LN",INDEX(Selection!$C:$C, MATCH($P548,Selection!$F:$F,0))="US"),Investment!$K$7,1),"")),"")</f>
        <v/>
      </c>
      <c r="O548" s="144" t="str">
        <f>IF($P548&lt;&gt;"",IF(MAXIFS(Investment!$AG:$AG,Investment!$D:$D,LEFT($P548,40)&amp;"*"),MAXIFS(Investment!$AG:$AG,Investment!$D:$D,LEFT($P548,40)&amp;"*"),""),"")</f>
        <v/>
      </c>
      <c r="P548" s="328"/>
      <c r="R548" s="53"/>
    </row>
    <row r="549">
      <c r="A549" s="125">
        <v>41564.0</v>
      </c>
      <c r="C549" s="49" t="s">
        <v>1519</v>
      </c>
      <c r="D549" s="56" t="s">
        <v>222</v>
      </c>
      <c r="E549" s="32">
        <v>1500.0</v>
      </c>
      <c r="F549" s="218">
        <v>25.2</v>
      </c>
      <c r="G549" s="132">
        <v>-37812.0</v>
      </c>
      <c r="H549" s="353" t="str">
        <f t="shared" si="497"/>
        <v>ALSTOM REGROUPT@BUY@1500@-37812</v>
      </c>
      <c r="I549" s="134" t="str">
        <f t="shared" ref="I549:J549" si="555">IFS(AND($B549&lt;&gt;"",$E549&lt;&gt;""),IF(INDEX(N:N,MATCH($C549,$P:$P,0),1)&lt;&gt;"",$E549*INDEX(N:N,MATCH($C549,$P:$P,0),1)+$G549,""),AND($B549&lt;&gt;"",$D549="COST"),$G549,TRUE,)</f>
        <v/>
      </c>
      <c r="J549" s="134" t="str">
        <f t="shared" si="555"/>
        <v/>
      </c>
      <c r="K549" s="219" t="str">
        <f t="shared" si="3"/>
        <v>ALSTOM REGROUPT</v>
      </c>
      <c r="L549" s="150">
        <f t="shared" si="4"/>
        <v>0</v>
      </c>
      <c r="M549" s="150">
        <f t="shared" si="5"/>
        <v>3485.4</v>
      </c>
      <c r="N549" s="139" t="str">
        <f t="array" ref="N549">IF($P549&lt;&gt;"",IF(MAXIFS(Investment!$L:$L,Investment!$D:$D,LEFT($P549,40)&amp;"*"),MAXIFS(Investment!$L:$L,Investment!$D:$D,LEFT($P549,40)&amp;"*"),IFERROR(INDEX(Selection!$H:$H, MATCH($P549,Selection!$F:$F,0))/IF(OR(INDEX(Selection!$C:$C, MATCH($P549,Selection!$F:$F,0))="LN",INDEX(Selection!$C:$C, MATCH($P549,Selection!$F:$F,0))="US"),Investment!$K$7,1),"")),"")</f>
        <v/>
      </c>
      <c r="O549" s="144" t="str">
        <f>IF($P549&lt;&gt;"",IF(MAXIFS(Investment!$AG:$AG,Investment!$D:$D,LEFT($P549,40)&amp;"*"),MAXIFS(Investment!$AG:$AG,Investment!$D:$D,LEFT($P549,40)&amp;"*"),""),"")</f>
        <v/>
      </c>
      <c r="P549" s="328"/>
      <c r="R549" s="53"/>
    </row>
    <row r="550">
      <c r="A550" s="125">
        <v>41564.0</v>
      </c>
      <c r="B550" s="56"/>
      <c r="C550" s="343" t="s">
        <v>1519</v>
      </c>
      <c r="D550" s="361" t="s">
        <v>263</v>
      </c>
      <c r="E550" s="32"/>
      <c r="F550" s="218"/>
      <c r="G550" s="132">
        <v>-75.6</v>
      </c>
      <c r="H550" s="353" t="str">
        <f t="shared" si="497"/>
        <v>ALSTOM REGROUPT@COST@@-75.6</v>
      </c>
      <c r="I550" s="134" t="str">
        <f t="shared" ref="I550:J550" si="556">IFS(AND($B550&lt;&gt;"",$E550&lt;&gt;""),IF(INDEX(N:N,MATCH($C550,$P:$P,0),1)&lt;&gt;"",$E550*INDEX(N:N,MATCH($C550,$P:$P,0),1)+$G550,""),AND($B550&lt;&gt;"",$D550="COST"),$G550,TRUE,)</f>
        <v/>
      </c>
      <c r="J550" s="134" t="str">
        <f t="shared" si="556"/>
        <v/>
      </c>
      <c r="K550" s="219" t="str">
        <f t="shared" si="3"/>
        <v>ALSTOM REGROUPT</v>
      </c>
      <c r="L550" s="150">
        <f t="shared" si="4"/>
        <v>0</v>
      </c>
      <c r="M550" s="150">
        <f t="shared" si="5"/>
        <v>3485.4</v>
      </c>
      <c r="N550" s="139" t="str">
        <f t="array" ref="N550">IF($P550&lt;&gt;"",IF(MAXIFS(Investment!$L:$L,Investment!$D:$D,LEFT($P550,40)&amp;"*"),MAXIFS(Investment!$L:$L,Investment!$D:$D,LEFT($P550,40)&amp;"*"),IFERROR(INDEX(Selection!$H:$H, MATCH($P550,Selection!$F:$F,0))/IF(OR(INDEX(Selection!$C:$C, MATCH($P550,Selection!$F:$F,0))="LN",INDEX(Selection!$C:$C, MATCH($P550,Selection!$F:$F,0))="US"),Investment!$K$7,1),"")),"")</f>
        <v/>
      </c>
      <c r="O550" s="144" t="str">
        <f>IF($P550&lt;&gt;"",IF(MAXIFS(Investment!$AG:$AG,Investment!$D:$D,LEFT($P550,40)&amp;"*"),MAXIFS(Investment!$AG:$AG,Investment!$D:$D,LEFT($P550,40)&amp;"*"),""),"")</f>
        <v/>
      </c>
      <c r="P550" s="328"/>
      <c r="R550" s="53"/>
    </row>
    <row r="551">
      <c r="A551" s="125">
        <v>41557.0</v>
      </c>
      <c r="B551" s="208"/>
      <c r="C551" s="366" t="s">
        <v>1522</v>
      </c>
      <c r="D551" s="56" t="s">
        <v>245</v>
      </c>
      <c r="E551" s="32">
        <v>-12.0</v>
      </c>
      <c r="F551" s="218">
        <v>185.05</v>
      </c>
      <c r="G551" s="132">
        <v>2218.6</v>
      </c>
      <c r="H551" s="353" t="str">
        <f t="shared" si="497"/>
        <v>UNIBAIL RODAMCO SE@SELL@-12@2218.6</v>
      </c>
      <c r="I551" s="134" t="str">
        <f t="shared" ref="I551:J551" si="557">IFS(AND($B551&lt;&gt;"",$E551&lt;&gt;""),IF(INDEX(N:N,MATCH($C551,$P:$P,0),1)&lt;&gt;"",$E551*INDEX(N:N,MATCH($C551,$P:$P,0),1)+$G551,""),AND($B551&lt;&gt;"",$D551="COST"),$G551,TRUE,)</f>
        <v/>
      </c>
      <c r="J551" s="134" t="str">
        <f t="shared" si="557"/>
        <v/>
      </c>
      <c r="K551" s="219" t="str">
        <f t="shared" si="3"/>
        <v>UNIBAIL RODAMCO SE</v>
      </c>
      <c r="L551" s="150">
        <f t="shared" si="4"/>
        <v>0</v>
      </c>
      <c r="M551" s="150">
        <f t="shared" si="5"/>
        <v>107.7</v>
      </c>
      <c r="N551" s="139" t="str">
        <f t="array" ref="N551">IF($P551&lt;&gt;"",IF(MAXIFS(Investment!$L:$L,Investment!$D:$D,LEFT($P551,40)&amp;"*"),MAXIFS(Investment!$L:$L,Investment!$D:$D,LEFT($P551,40)&amp;"*"),IFERROR(INDEX(Selection!$H:$H, MATCH($P551,Selection!$F:$F,0))/IF(OR(INDEX(Selection!$C:$C, MATCH($P551,Selection!$F:$F,0))="LN",INDEX(Selection!$C:$C, MATCH($P551,Selection!$F:$F,0))="US"),Investment!$K$7,1),"")),"")</f>
        <v/>
      </c>
      <c r="O551" s="144" t="str">
        <f>IF($P551&lt;&gt;"",IF(MAXIFS(Investment!$AG:$AG,Investment!$D:$D,LEFT($P551,40)&amp;"*"),MAXIFS(Investment!$AG:$AG,Investment!$D:$D,LEFT($P551,40)&amp;"*"),""),"")</f>
        <v/>
      </c>
      <c r="P551" s="328"/>
      <c r="R551" s="53"/>
    </row>
    <row r="552">
      <c r="A552" s="125">
        <v>41537.0</v>
      </c>
      <c r="B552" s="161"/>
      <c r="C552" s="228"/>
      <c r="D552" s="56" t="s">
        <v>268</v>
      </c>
      <c r="E552" s="161"/>
      <c r="F552" s="218"/>
      <c r="G552" s="132">
        <v>16133.41</v>
      </c>
      <c r="H552" s="353" t="str">
        <f t="shared" si="497"/>
        <v>@APPROVISIONNEMENT@@16133.41</v>
      </c>
      <c r="I552" s="134" t="str">
        <f t="shared" ref="I552:J552" si="558">IFS(AND($B552&lt;&gt;"",$E552&lt;&gt;""),IF(INDEX(N:N,MATCH($C552,$P:$P,0),1)&lt;&gt;"",$E552*INDEX(N:N,MATCH($C552,$P:$P,0),1)+$G552,""),AND($B552&lt;&gt;"",$D552="COST"),$G552,TRUE,)</f>
        <v/>
      </c>
      <c r="J552" s="134" t="str">
        <f t="shared" si="558"/>
        <v/>
      </c>
      <c r="K552" s="219" t="str">
        <f t="shared" si="3"/>
        <v/>
      </c>
      <c r="L552" s="150" t="str">
        <f t="shared" si="4"/>
        <v/>
      </c>
      <c r="M552" s="150" t="str">
        <f t="shared" si="5"/>
        <v/>
      </c>
      <c r="N552" s="139" t="str">
        <f t="array" ref="N552">IF($P552&lt;&gt;"",IF(MAXIFS(Investment!$L:$L,Investment!$D:$D,LEFT($P552,40)&amp;"*"),MAXIFS(Investment!$L:$L,Investment!$D:$D,LEFT($P552,40)&amp;"*"),IFERROR(INDEX(Selection!$H:$H, MATCH($P552,Selection!$F:$F,0))/IF(OR(INDEX(Selection!$C:$C, MATCH($P552,Selection!$F:$F,0))="LN",INDEX(Selection!$C:$C, MATCH($P552,Selection!$F:$F,0))="US"),Investment!$K$7,1),"")),"")</f>
        <v/>
      </c>
      <c r="O552" s="144" t="str">
        <f>IF($P552&lt;&gt;"",IF(MAXIFS(Investment!$AG:$AG,Investment!$D:$D,LEFT($P552,40)&amp;"*"),MAXIFS(Investment!$AG:$AG,Investment!$D:$D,LEFT($P552,40)&amp;"*"),""),"")</f>
        <v/>
      </c>
      <c r="P552" s="49"/>
    </row>
    <row r="553">
      <c r="A553" s="125">
        <v>41537.0</v>
      </c>
      <c r="B553" s="161"/>
      <c r="C553" s="228"/>
      <c r="D553" s="56" t="s">
        <v>268</v>
      </c>
      <c r="E553" s="161"/>
      <c r="F553" s="218"/>
      <c r="G553" s="132">
        <v>16872.9</v>
      </c>
      <c r="H553" s="353" t="str">
        <f t="shared" si="497"/>
        <v>@APPROVISIONNEMENT@@16872.9</v>
      </c>
      <c r="I553" s="134" t="str">
        <f t="shared" ref="I553:J553" si="559">IFS(AND($B553&lt;&gt;"",$E553&lt;&gt;""),IF(INDEX(N:N,MATCH($C553,$P:$P,0),1)&lt;&gt;"",$E553*INDEX(N:N,MATCH($C553,$P:$P,0),1)+$G553,""),AND($B553&lt;&gt;"",$D553="COST"),$G553,TRUE,)</f>
        <v/>
      </c>
      <c r="J553" s="134" t="str">
        <f t="shared" si="559"/>
        <v/>
      </c>
      <c r="K553" s="219" t="str">
        <f t="shared" si="3"/>
        <v/>
      </c>
      <c r="L553" s="150" t="str">
        <f t="shared" si="4"/>
        <v/>
      </c>
      <c r="M553" s="150" t="str">
        <f t="shared" si="5"/>
        <v/>
      </c>
      <c r="N553" s="139" t="str">
        <f t="array" ref="N553">IF($P553&lt;&gt;"",IF(MAXIFS(Investment!$L:$L,Investment!$D:$D,LEFT($P553,40)&amp;"*"),MAXIFS(Investment!$L:$L,Investment!$D:$D,LEFT($P553,40)&amp;"*"),IFERROR(INDEX(Selection!$H:$H, MATCH($P553,Selection!$F:$F,0))/IF(OR(INDEX(Selection!$C:$C, MATCH($P553,Selection!$F:$F,0))="LN",INDEX(Selection!$C:$C, MATCH($P553,Selection!$F:$F,0))="US"),Investment!$K$7,1),"")),"")</f>
        <v/>
      </c>
      <c r="O553" s="144" t="str">
        <f>IF($P553&lt;&gt;"",IF(MAXIFS(Investment!$AG:$AG,Investment!$D:$D,LEFT($P553,40)&amp;"*"),MAXIFS(Investment!$AG:$AG,Investment!$D:$D,LEFT($P553,40)&amp;"*"),""),"")</f>
        <v/>
      </c>
      <c r="P553" s="49"/>
    </row>
    <row r="554">
      <c r="A554" s="125">
        <v>41512.0</v>
      </c>
      <c r="C554" s="49" t="s">
        <v>1520</v>
      </c>
      <c r="D554" s="56" t="s">
        <v>222</v>
      </c>
      <c r="E554" s="32">
        <v>32.0</v>
      </c>
      <c r="F554" s="218">
        <v>21.71</v>
      </c>
      <c r="G554" s="132">
        <v>-695.71</v>
      </c>
      <c r="H554" s="353" t="str">
        <f t="shared" si="497"/>
        <v>ANF IMMOBILIER@BUY@32@-695.71</v>
      </c>
      <c r="I554" s="134" t="str">
        <f t="shared" ref="I554:J554" si="560">IFS(AND($B554&lt;&gt;"",$E554&lt;&gt;""),IF(INDEX(N:N,MATCH($C554,$P:$P,0),1)&lt;&gt;"",$E554*INDEX(N:N,MATCH($C554,$P:$P,0),1)+$G554,""),AND($B554&lt;&gt;"",$D554="COST"),$G554,TRUE,)</f>
        <v/>
      </c>
      <c r="J554" s="134" t="str">
        <f t="shared" si="560"/>
        <v/>
      </c>
      <c r="K554" s="219" t="str">
        <f t="shared" si="3"/>
        <v>ANF IMMOBILIER</v>
      </c>
      <c r="L554" s="150">
        <f t="shared" si="4"/>
        <v>0</v>
      </c>
      <c r="M554" s="150">
        <f t="shared" si="5"/>
        <v>-5.5</v>
      </c>
      <c r="N554" s="139" t="str">
        <f t="array" ref="N554">IF($P554&lt;&gt;"",IF(MAXIFS(Investment!$L:$L,Investment!$D:$D,LEFT($P554,40)&amp;"*"),MAXIFS(Investment!$L:$L,Investment!$D:$D,LEFT($P554,40)&amp;"*"),IFERROR(INDEX(Selection!$H:$H, MATCH($P554,Selection!$F:$F,0))/IF(OR(INDEX(Selection!$C:$C, MATCH($P554,Selection!$F:$F,0))="LN",INDEX(Selection!$C:$C, MATCH($P554,Selection!$F:$F,0))="US"),Investment!$K$7,1),"")),"")</f>
        <v/>
      </c>
      <c r="O554" s="144" t="str">
        <f>IF($P554&lt;&gt;"",IF(MAXIFS(Investment!$AG:$AG,Investment!$D:$D,LEFT($P554,40)&amp;"*"),MAXIFS(Investment!$AG:$AG,Investment!$D:$D,LEFT($P554,40)&amp;"*"),""),"")</f>
        <v/>
      </c>
      <c r="P554" s="328"/>
      <c r="R554" s="53"/>
    </row>
    <row r="555">
      <c r="A555" s="125">
        <v>41509.0</v>
      </c>
      <c r="C555" s="49" t="s">
        <v>1521</v>
      </c>
      <c r="D555" s="56" t="s">
        <v>222</v>
      </c>
      <c r="E555" s="32">
        <v>16.0</v>
      </c>
      <c r="F555" s="218">
        <v>74.62</v>
      </c>
      <c r="G555" s="132">
        <v>-1194.99</v>
      </c>
      <c r="H555" s="353" t="str">
        <f t="shared" si="497"/>
        <v>SANOFI@BUY@16@-1194.99</v>
      </c>
      <c r="I555" s="134" t="str">
        <f t="shared" ref="I555:J555" si="561">IFS(AND($B555&lt;&gt;"",$E555&lt;&gt;""),IF(INDEX(N:N,MATCH($C555,$P:$P,0),1)&lt;&gt;"",$E555*INDEX(N:N,MATCH($C555,$P:$P,0),1)+$G555,""),AND($B555&lt;&gt;"",$D555="COST"),$G555,TRUE,)</f>
        <v/>
      </c>
      <c r="J555" s="134" t="str">
        <f t="shared" si="561"/>
        <v/>
      </c>
      <c r="K555" s="219" t="str">
        <f t="shared" si="3"/>
        <v>SANOFI</v>
      </c>
      <c r="L555" s="150">
        <f t="shared" si="4"/>
        <v>0</v>
      </c>
      <c r="M555" s="150">
        <f t="shared" si="5"/>
        <v>-32.19</v>
      </c>
      <c r="N555" s="139" t="str">
        <f t="array" ref="N555">IF($P555&lt;&gt;"",IF(MAXIFS(Investment!$L:$L,Investment!$D:$D,LEFT($P555,40)&amp;"*"),MAXIFS(Investment!$L:$L,Investment!$D:$D,LEFT($P555,40)&amp;"*"),IFERROR(INDEX(Selection!$H:$H, MATCH($P555,Selection!$F:$F,0))/IF(OR(INDEX(Selection!$C:$C, MATCH($P555,Selection!$F:$F,0))="LN",INDEX(Selection!$C:$C, MATCH($P555,Selection!$F:$F,0))="US"),Investment!$K$7,1),"")),"")</f>
        <v/>
      </c>
      <c r="O555" s="144" t="str">
        <f>IF($P555&lt;&gt;"",IF(MAXIFS(Investment!$AG:$AG,Investment!$D:$D,LEFT($P555,40)&amp;"*"),MAXIFS(Investment!$AG:$AG,Investment!$D:$D,LEFT($P555,40)&amp;"*"),""),"")</f>
        <v/>
      </c>
      <c r="P555" s="328"/>
      <c r="R555" s="53"/>
    </row>
    <row r="556">
      <c r="A556" s="125">
        <v>41509.0</v>
      </c>
      <c r="B556" s="56"/>
      <c r="C556" s="343" t="s">
        <v>1521</v>
      </c>
      <c r="D556" s="361" t="s">
        <v>263</v>
      </c>
      <c r="E556" s="32"/>
      <c r="F556" s="218"/>
      <c r="G556" s="132">
        <v>-2.39</v>
      </c>
      <c r="H556" s="353" t="str">
        <f t="shared" si="497"/>
        <v>SANOFI@COST@@-2.39</v>
      </c>
      <c r="I556" s="134" t="str">
        <f t="shared" ref="I556:J556" si="562">IFS(AND($B556&lt;&gt;"",$E556&lt;&gt;""),IF(INDEX(N:N,MATCH($C556,$P:$P,0),1)&lt;&gt;"",$E556*INDEX(N:N,MATCH($C556,$P:$P,0),1)+$G556,""),AND($B556&lt;&gt;"",$D556="COST"),$G556,TRUE,)</f>
        <v/>
      </c>
      <c r="J556" s="134" t="str">
        <f t="shared" si="562"/>
        <v/>
      </c>
      <c r="K556" s="219" t="str">
        <f t="shared" si="3"/>
        <v>SANOFI</v>
      </c>
      <c r="L556" s="150">
        <f t="shared" si="4"/>
        <v>0</v>
      </c>
      <c r="M556" s="150">
        <f t="shared" si="5"/>
        <v>-32.19</v>
      </c>
      <c r="N556" s="139" t="str">
        <f t="array" ref="N556">IF($P556&lt;&gt;"",IF(MAXIFS(Investment!$L:$L,Investment!$D:$D,LEFT($P556,40)&amp;"*"),MAXIFS(Investment!$L:$L,Investment!$D:$D,LEFT($P556,40)&amp;"*"),IFERROR(INDEX(Selection!$H:$H, MATCH($P556,Selection!$F:$F,0))/IF(OR(INDEX(Selection!$C:$C, MATCH($P556,Selection!$F:$F,0))="LN",INDEX(Selection!$C:$C, MATCH($P556,Selection!$F:$F,0))="US"),Investment!$K$7,1),"")),"")</f>
        <v/>
      </c>
      <c r="O556" s="144" t="str">
        <f>IF($P556&lt;&gt;"",IF(MAXIFS(Investment!$AG:$AG,Investment!$D:$D,LEFT($P556,40)&amp;"*"),MAXIFS(Investment!$AG:$AG,Investment!$D:$D,LEFT($P556,40)&amp;"*"),""),"")</f>
        <v/>
      </c>
      <c r="P556" s="328"/>
      <c r="R556" s="53"/>
    </row>
    <row r="557">
      <c r="A557" s="125">
        <v>41508.0</v>
      </c>
      <c r="C557" s="49" t="s">
        <v>1522</v>
      </c>
      <c r="D557" s="56" t="s">
        <v>222</v>
      </c>
      <c r="E557" s="32">
        <v>12.0</v>
      </c>
      <c r="F557" s="218">
        <v>175.4</v>
      </c>
      <c r="G557" s="132">
        <v>-2106.69</v>
      </c>
      <c r="H557" s="353" t="str">
        <f t="shared" si="497"/>
        <v>UNIBAIL RODAMCO SE@BUY@12@-2106.69</v>
      </c>
      <c r="I557" s="134" t="str">
        <f t="shared" ref="I557:J557" si="563">IFS(AND($B557&lt;&gt;"",$E557&lt;&gt;""),IF(INDEX(N:N,MATCH($C557,$P:$P,0),1)&lt;&gt;"",$E557*INDEX(N:N,MATCH($C557,$P:$P,0),1)+$G557,""),AND($B557&lt;&gt;"",$D557="COST"),$G557,TRUE,)</f>
        <v/>
      </c>
      <c r="J557" s="134" t="str">
        <f t="shared" si="563"/>
        <v/>
      </c>
      <c r="K557" s="219" t="str">
        <f t="shared" si="3"/>
        <v>UNIBAIL RODAMCO SE</v>
      </c>
      <c r="L557" s="150">
        <f t="shared" si="4"/>
        <v>0</v>
      </c>
      <c r="M557" s="150">
        <f t="shared" si="5"/>
        <v>107.7</v>
      </c>
      <c r="N557" s="139" t="str">
        <f t="array" ref="N557">IF($P557&lt;&gt;"",IF(MAXIFS(Investment!$L:$L,Investment!$D:$D,LEFT($P557,40)&amp;"*"),MAXIFS(Investment!$L:$L,Investment!$D:$D,LEFT($P557,40)&amp;"*"),IFERROR(INDEX(Selection!$H:$H, MATCH($P557,Selection!$F:$F,0))/IF(OR(INDEX(Selection!$C:$C, MATCH($P557,Selection!$F:$F,0))="LN",INDEX(Selection!$C:$C, MATCH($P557,Selection!$F:$F,0))="US"),Investment!$K$7,1),"")),"")</f>
        <v/>
      </c>
      <c r="O557" s="144" t="str">
        <f>IF($P557&lt;&gt;"",IF(MAXIFS(Investment!$AG:$AG,Investment!$D:$D,LEFT($P557,40)&amp;"*"),MAXIFS(Investment!$AG:$AG,Investment!$D:$D,LEFT($P557,40)&amp;"*"),""),"")</f>
        <v/>
      </c>
      <c r="P557" s="328"/>
      <c r="R557" s="53"/>
    </row>
    <row r="558">
      <c r="A558" s="125">
        <v>41508.0</v>
      </c>
      <c r="B558" s="56"/>
      <c r="C558" s="343" t="s">
        <v>1522</v>
      </c>
      <c r="D558" s="361" t="s">
        <v>263</v>
      </c>
      <c r="E558" s="32"/>
      <c r="F558" s="218"/>
      <c r="G558" s="132">
        <v>-4.21</v>
      </c>
      <c r="H558" s="353" t="str">
        <f t="shared" si="497"/>
        <v>UNIBAIL RODAMCO SE@COST@@-4.21</v>
      </c>
      <c r="I558" s="134" t="str">
        <f t="shared" ref="I558:J558" si="564">IFS(AND($B558&lt;&gt;"",$E558&lt;&gt;""),IF(INDEX(N:N,MATCH($C558,$P:$P,0),1)&lt;&gt;"",$E558*INDEX(N:N,MATCH($C558,$P:$P,0),1)+$G558,""),AND($B558&lt;&gt;"",$D558="COST"),$G558,TRUE,)</f>
        <v/>
      </c>
      <c r="J558" s="134" t="str">
        <f t="shared" si="564"/>
        <v/>
      </c>
      <c r="K558" s="219" t="str">
        <f t="shared" si="3"/>
        <v>UNIBAIL RODAMCO SE</v>
      </c>
      <c r="L558" s="150">
        <f t="shared" si="4"/>
        <v>0</v>
      </c>
      <c r="M558" s="150">
        <f t="shared" si="5"/>
        <v>107.7</v>
      </c>
      <c r="N558" s="139" t="str">
        <f t="array" ref="N558">IF($P558&lt;&gt;"",IF(MAXIFS(Investment!$L:$L,Investment!$D:$D,LEFT($P558,40)&amp;"*"),MAXIFS(Investment!$L:$L,Investment!$D:$D,LEFT($P558,40)&amp;"*"),IFERROR(INDEX(Selection!$H:$H, MATCH($P558,Selection!$F:$F,0))/IF(OR(INDEX(Selection!$C:$C, MATCH($P558,Selection!$F:$F,0))="LN",INDEX(Selection!$C:$C, MATCH($P558,Selection!$F:$F,0))="US"),Investment!$K$7,1),"")),"")</f>
        <v/>
      </c>
      <c r="O558" s="144" t="str">
        <f>IF($P558&lt;&gt;"",IF(MAXIFS(Investment!$AG:$AG,Investment!$D:$D,LEFT($P558,40)&amp;"*"),MAXIFS(Investment!$AG:$AG,Investment!$D:$D,LEFT($P558,40)&amp;"*"),""),"")</f>
        <v/>
      </c>
      <c r="P558" s="328"/>
      <c r="R558" s="53"/>
    </row>
    <row r="559">
      <c r="A559" s="125">
        <v>41508.0</v>
      </c>
      <c r="C559" s="49" t="s">
        <v>1523</v>
      </c>
      <c r="D559" s="56" t="s">
        <v>245</v>
      </c>
      <c r="E559" s="32">
        <v>-135.0</v>
      </c>
      <c r="F559" s="218">
        <v>7.8</v>
      </c>
      <c r="G559" s="132">
        <v>1052.01</v>
      </c>
      <c r="H559" s="353" t="str">
        <f t="shared" si="497"/>
        <v>ORANGE@SELL@-135@1052.01</v>
      </c>
      <c r="I559" s="134" t="str">
        <f t="shared" ref="I559:J559" si="565">IFS(AND($B559&lt;&gt;"",$E559&lt;&gt;""),IF(INDEX(N:N,MATCH($C559,$P:$P,0),1)&lt;&gt;"",$E559*INDEX(N:N,MATCH($C559,$P:$P,0),1)+$G559,""),AND($B559&lt;&gt;"",$D559="COST"),$G559,TRUE,)</f>
        <v/>
      </c>
      <c r="J559" s="134" t="str">
        <f t="shared" si="565"/>
        <v/>
      </c>
      <c r="K559" s="219" t="str">
        <f t="shared" si="3"/>
        <v>ORANGE</v>
      </c>
      <c r="L559" s="150">
        <f t="shared" si="4"/>
        <v>0</v>
      </c>
      <c r="M559" s="150">
        <f t="shared" si="5"/>
        <v>-68.12</v>
      </c>
      <c r="N559" s="139" t="str">
        <f t="array" ref="N559">IF($P559&lt;&gt;"",IF(MAXIFS(Investment!$L:$L,Investment!$D:$D,LEFT($P559,40)&amp;"*"),MAXIFS(Investment!$L:$L,Investment!$D:$D,LEFT($P559,40)&amp;"*"),IFERROR(INDEX(Selection!$H:$H, MATCH($P559,Selection!$F:$F,0))/IF(OR(INDEX(Selection!$C:$C, MATCH($P559,Selection!$F:$F,0))="LN",INDEX(Selection!$C:$C, MATCH($P559,Selection!$F:$F,0))="US"),Investment!$K$7,1),"")),"")</f>
        <v/>
      </c>
      <c r="O559" s="144" t="str">
        <f>IF($P559&lt;&gt;"",IF(MAXIFS(Investment!$AG:$AG,Investment!$D:$D,LEFT($P559,40)&amp;"*"),MAXIFS(Investment!$AG:$AG,Investment!$D:$D,LEFT($P559,40)&amp;"*"),""),"")</f>
        <v/>
      </c>
      <c r="P559" s="328"/>
      <c r="R559" s="53"/>
    </row>
    <row r="560">
      <c r="A560" s="125">
        <v>41508.0</v>
      </c>
      <c r="C560" s="49" t="s">
        <v>1524</v>
      </c>
      <c r="D560" s="56" t="s">
        <v>245</v>
      </c>
      <c r="E560" s="32">
        <v>-95.0</v>
      </c>
      <c r="F560" s="218">
        <v>16.74</v>
      </c>
      <c r="G560" s="132">
        <v>1588.87</v>
      </c>
      <c r="H560" s="353" t="str">
        <f t="shared" si="497"/>
        <v>GDF SUEZ@SELL@-95@1588.87</v>
      </c>
      <c r="I560" s="134" t="str">
        <f t="shared" ref="I560:J560" si="566">IFS(AND($B560&lt;&gt;"",$E560&lt;&gt;""),IF(INDEX(N:N,MATCH($C560,$P:$P,0),1)&lt;&gt;"",$E560*INDEX(N:N,MATCH($C560,$P:$P,0),1)+$G560,""),AND($B560&lt;&gt;"",$D560="COST"),$G560,TRUE,)</f>
        <v/>
      </c>
      <c r="J560" s="134" t="str">
        <f t="shared" si="566"/>
        <v/>
      </c>
      <c r="K560" s="219" t="str">
        <f t="shared" si="3"/>
        <v>GDF SUEZ</v>
      </c>
      <c r="L560" s="150">
        <f t="shared" si="4"/>
        <v>0</v>
      </c>
      <c r="M560" s="150">
        <f t="shared" si="5"/>
        <v>123.37</v>
      </c>
      <c r="N560" s="139" t="str">
        <f t="array" ref="N560">IF($P560&lt;&gt;"",IF(MAXIFS(Investment!$L:$L,Investment!$D:$D,LEFT($P560,40)&amp;"*"),MAXIFS(Investment!$L:$L,Investment!$D:$D,LEFT($P560,40)&amp;"*"),IFERROR(INDEX(Selection!$H:$H, MATCH($P560,Selection!$F:$F,0))/IF(OR(INDEX(Selection!$C:$C, MATCH($P560,Selection!$F:$F,0))="LN",INDEX(Selection!$C:$C, MATCH($P560,Selection!$F:$F,0))="US"),Investment!$K$7,1),"")),"")</f>
        <v/>
      </c>
      <c r="O560" s="144" t="str">
        <f>IF($P560&lt;&gt;"",IF(MAXIFS(Investment!$AG:$AG,Investment!$D:$D,LEFT($P560,40)&amp;"*"),MAXIFS(Investment!$AG:$AG,Investment!$D:$D,LEFT($P560,40)&amp;"*"),""),"")</f>
        <v/>
      </c>
      <c r="P560" s="328"/>
      <c r="R560" s="53"/>
    </row>
    <row r="561">
      <c r="A561" s="125">
        <v>41506.0</v>
      </c>
      <c r="C561" s="49" t="s">
        <v>1525</v>
      </c>
      <c r="D561" s="56" t="s">
        <v>245</v>
      </c>
      <c r="E561" s="32">
        <v>-355.0</v>
      </c>
      <c r="F561" s="218">
        <v>5.07</v>
      </c>
      <c r="G561" s="132">
        <v>1798.23</v>
      </c>
      <c r="H561" s="353" t="str">
        <f t="shared" si="497"/>
        <v>ABC ARBITRAGE@SELL@-355@1798.23</v>
      </c>
      <c r="I561" s="134" t="str">
        <f t="shared" ref="I561:J561" si="567">IFS(AND($B561&lt;&gt;"",$E561&lt;&gt;""),IF(INDEX(N:N,MATCH($C561,$P:$P,0),1)&lt;&gt;"",$E561*INDEX(N:N,MATCH($C561,$P:$P,0),1)+$G561,""),AND($B561&lt;&gt;"",$D561="COST"),$G561,TRUE,)</f>
        <v/>
      </c>
      <c r="J561" s="134" t="str">
        <f t="shared" si="567"/>
        <v/>
      </c>
      <c r="K561" s="219" t="str">
        <f t="shared" si="3"/>
        <v>ABC ARBITRAGE</v>
      </c>
      <c r="L561" s="150">
        <f t="shared" si="4"/>
        <v>0</v>
      </c>
      <c r="M561" s="150">
        <f t="shared" si="5"/>
        <v>217.06</v>
      </c>
      <c r="N561" s="139" t="str">
        <f t="array" ref="N561">IF($P561&lt;&gt;"",IF(MAXIFS(Investment!$L:$L,Investment!$D:$D,LEFT($P561,40)&amp;"*"),MAXIFS(Investment!$L:$L,Investment!$D:$D,LEFT($P561,40)&amp;"*"),IFERROR(INDEX(Selection!$H:$H, MATCH($P561,Selection!$F:$F,0))/IF(OR(INDEX(Selection!$C:$C, MATCH($P561,Selection!$F:$F,0))="LN",INDEX(Selection!$C:$C, MATCH($P561,Selection!$F:$F,0))="US"),Investment!$K$7,1),"")),"")</f>
        <v/>
      </c>
      <c r="O561" s="144" t="str">
        <f>IF($P561&lt;&gt;"",IF(MAXIFS(Investment!$AG:$AG,Investment!$D:$D,LEFT($P561,40)&amp;"*"),MAXIFS(Investment!$AG:$AG,Investment!$D:$D,LEFT($P561,40)&amp;"*"),""),"")</f>
        <v/>
      </c>
      <c r="P561" s="328"/>
      <c r="R561" s="53"/>
    </row>
    <row r="562">
      <c r="A562" s="125">
        <v>41491.0</v>
      </c>
      <c r="C562" s="343" t="s">
        <v>1526</v>
      </c>
      <c r="D562" s="56" t="s">
        <v>245</v>
      </c>
      <c r="E562" s="32">
        <v>-30.0</v>
      </c>
      <c r="F562" s="218">
        <v>40.655</v>
      </c>
      <c r="G562" s="132">
        <v>1218.55</v>
      </c>
      <c r="H562" s="353" t="str">
        <f t="shared" si="497"/>
        <v>TOTAL SA@SELL@-30@1218.55</v>
      </c>
      <c r="I562" s="134" t="str">
        <f t="shared" ref="I562:J562" si="568">IFS(AND($B562&lt;&gt;"",$E562&lt;&gt;""),IF(INDEX(N:N,MATCH($C562,$P:$P,0),1)&lt;&gt;"",$E562*INDEX(N:N,MATCH($C562,$P:$P,0),1)+$G562,""),AND($B562&lt;&gt;"",$D562="COST"),$G562,TRUE,)</f>
        <v/>
      </c>
      <c r="J562" s="134" t="str">
        <f t="shared" si="568"/>
        <v/>
      </c>
      <c r="K562" s="219" t="str">
        <f t="shared" si="3"/>
        <v>TOTAL SA</v>
      </c>
      <c r="L562" s="150">
        <f t="shared" si="4"/>
        <v>0</v>
      </c>
      <c r="M562" s="150">
        <f t="shared" si="5"/>
        <v>137.91</v>
      </c>
      <c r="N562" s="139" t="str">
        <f t="array" ref="N562">IF($P562&lt;&gt;"",IF(MAXIFS(Investment!$L:$L,Investment!$D:$D,LEFT($P562,40)&amp;"*"),MAXIFS(Investment!$L:$L,Investment!$D:$D,LEFT($P562,40)&amp;"*"),IFERROR(INDEX(Selection!$H:$H, MATCH($P562,Selection!$F:$F,0))/IF(OR(INDEX(Selection!$C:$C, MATCH($P562,Selection!$F:$F,0))="LN",INDEX(Selection!$C:$C, MATCH($P562,Selection!$F:$F,0))="US"),Investment!$K$7,1),"")),"")</f>
        <v/>
      </c>
      <c r="O562" s="144" t="str">
        <f>IF($P562&lt;&gt;"",IF(MAXIFS(Investment!$AG:$AG,Investment!$D:$D,LEFT($P562,40)&amp;"*"),MAXIFS(Investment!$AG:$AG,Investment!$D:$D,LEFT($P562,40)&amp;"*"),""),"")</f>
        <v/>
      </c>
      <c r="P562" s="328"/>
      <c r="R562" s="53"/>
    </row>
    <row r="563">
      <c r="A563" s="125">
        <v>41466.0</v>
      </c>
      <c r="C563" s="49" t="s">
        <v>1525</v>
      </c>
      <c r="D563" s="56" t="s">
        <v>222</v>
      </c>
      <c r="E563" s="32">
        <v>355.0</v>
      </c>
      <c r="F563" s="218">
        <v>4.45</v>
      </c>
      <c r="G563" s="132">
        <v>-1581.17</v>
      </c>
      <c r="H563" s="353" t="str">
        <f t="shared" si="497"/>
        <v>ABC ARBITRAGE@BUY@355@-1581.17</v>
      </c>
      <c r="I563" s="134" t="str">
        <f t="shared" ref="I563:J563" si="569">IFS(AND($B563&lt;&gt;"",$E563&lt;&gt;""),IF(INDEX(N:N,MATCH($C563,$P:$P,0),1)&lt;&gt;"",$E563*INDEX(N:N,MATCH($C563,$P:$P,0),1)+$G563,""),AND($B563&lt;&gt;"",$D563="COST"),$G563,TRUE,)</f>
        <v/>
      </c>
      <c r="J563" s="134" t="str">
        <f t="shared" si="569"/>
        <v/>
      </c>
      <c r="K563" s="219" t="str">
        <f t="shared" si="3"/>
        <v>ABC ARBITRAGE</v>
      </c>
      <c r="L563" s="150">
        <f t="shared" si="4"/>
        <v>0</v>
      </c>
      <c r="M563" s="150">
        <f t="shared" si="5"/>
        <v>217.06</v>
      </c>
      <c r="N563" s="139" t="str">
        <f t="array" ref="N563">IF($P563&lt;&gt;"",IF(MAXIFS(Investment!$L:$L,Investment!$D:$D,LEFT($P563,40)&amp;"*"),MAXIFS(Investment!$L:$L,Investment!$D:$D,LEFT($P563,40)&amp;"*"),IFERROR(INDEX(Selection!$H:$H, MATCH($P563,Selection!$F:$F,0))/IF(OR(INDEX(Selection!$C:$C, MATCH($P563,Selection!$F:$F,0))="LN",INDEX(Selection!$C:$C, MATCH($P563,Selection!$F:$F,0))="US"),Investment!$K$7,1),"")),"")</f>
        <v/>
      </c>
      <c r="O563" s="144" t="str">
        <f>IF($P563&lt;&gt;"",IF(MAXIFS(Investment!$AG:$AG,Investment!$D:$D,LEFT($P563,40)&amp;"*"),MAXIFS(Investment!$AG:$AG,Investment!$D:$D,LEFT($P563,40)&amp;"*"),""),"")</f>
        <v/>
      </c>
      <c r="P563" s="328"/>
      <c r="R563" s="53"/>
    </row>
    <row r="564">
      <c r="A564" s="125">
        <v>41466.0</v>
      </c>
      <c r="C564" s="49" t="s">
        <v>1515</v>
      </c>
      <c r="D564" s="56" t="s">
        <v>245</v>
      </c>
      <c r="E564" s="32">
        <v>-75.0</v>
      </c>
      <c r="F564" s="218">
        <v>19.625</v>
      </c>
      <c r="G564" s="132">
        <v>1470.56</v>
      </c>
      <c r="H564" s="353" t="str">
        <f t="shared" si="497"/>
        <v>EDF@SELL@-75@1470.56</v>
      </c>
      <c r="I564" s="134" t="str">
        <f t="shared" ref="I564:J564" si="570">IFS(AND($B564&lt;&gt;"",$E564&lt;&gt;""),IF(INDEX(N:N,MATCH($C564,$P:$P,0),1)&lt;&gt;"",$E564*INDEX(N:N,MATCH($C564,$P:$P,0),1)+$G564,""),AND($B564&lt;&gt;"",$D564="COST"),$G564,TRUE,)</f>
        <v/>
      </c>
      <c r="J564" s="134" t="str">
        <f t="shared" si="570"/>
        <v/>
      </c>
      <c r="K564" s="219" t="str">
        <f t="shared" si="3"/>
        <v>EDF</v>
      </c>
      <c r="L564" s="150">
        <f t="shared" si="4"/>
        <v>0</v>
      </c>
      <c r="M564" s="150">
        <f t="shared" si="5"/>
        <v>1451.96</v>
      </c>
      <c r="N564" s="139" t="str">
        <f t="array" ref="N564">IF($P564&lt;&gt;"",IF(MAXIFS(Investment!$L:$L,Investment!$D:$D,LEFT($P564,40)&amp;"*"),MAXIFS(Investment!$L:$L,Investment!$D:$D,LEFT($P564,40)&amp;"*"),IFERROR(INDEX(Selection!$H:$H, MATCH($P564,Selection!$F:$F,0))/IF(OR(INDEX(Selection!$C:$C, MATCH($P564,Selection!$F:$F,0))="LN",INDEX(Selection!$C:$C, MATCH($P564,Selection!$F:$F,0))="US"),Investment!$K$7,1),"")),"")</f>
        <v/>
      </c>
      <c r="O564" s="144" t="str">
        <f>IF($P564&lt;&gt;"",IF(MAXIFS(Investment!$AG:$AG,Investment!$D:$D,LEFT($P564,40)&amp;"*"),MAXIFS(Investment!$AG:$AG,Investment!$D:$D,LEFT($P564,40)&amp;"*"),""),"")</f>
        <v/>
      </c>
      <c r="P564" s="328"/>
      <c r="R564" s="53"/>
    </row>
    <row r="565">
      <c r="A565" s="125">
        <v>41464.0</v>
      </c>
      <c r="C565" s="49" t="s">
        <v>1515</v>
      </c>
      <c r="D565" s="56" t="s">
        <v>390</v>
      </c>
      <c r="E565" s="32"/>
      <c r="F565" s="218"/>
      <c r="G565" s="132">
        <v>27.67</v>
      </c>
      <c r="H565" s="353" t="str">
        <f t="shared" si="497"/>
        <v>EDF@DIVIDEND@@27.67</v>
      </c>
      <c r="I565" s="134" t="str">
        <f t="shared" ref="I565:J565" si="571">IFS(AND($B565&lt;&gt;"",$E565&lt;&gt;""),IF(INDEX(N:N,MATCH($C565,$P:$P,0),1)&lt;&gt;"",$E565*INDEX(N:N,MATCH($C565,$P:$P,0),1)+$G565,""),AND($B565&lt;&gt;"",$D565="COST"),$G565,TRUE,)</f>
        <v/>
      </c>
      <c r="J565" s="134" t="str">
        <f t="shared" si="571"/>
        <v/>
      </c>
      <c r="K565" s="219" t="str">
        <f t="shared" si="3"/>
        <v>EDF</v>
      </c>
      <c r="L565" s="150">
        <f t="shared" si="4"/>
        <v>0</v>
      </c>
      <c r="M565" s="150">
        <f t="shared" si="5"/>
        <v>1451.96</v>
      </c>
      <c r="N565" s="139" t="str">
        <f t="array" ref="N565">IF($P565&lt;&gt;"",IF(MAXIFS(Investment!$L:$L,Investment!$D:$D,LEFT($P565,40)&amp;"*"),MAXIFS(Investment!$L:$L,Investment!$D:$D,LEFT($P565,40)&amp;"*"),IFERROR(INDEX(Selection!$H:$H, MATCH($P565,Selection!$F:$F,0))/IF(OR(INDEX(Selection!$C:$C, MATCH($P565,Selection!$F:$F,0))="LN",INDEX(Selection!$C:$C, MATCH($P565,Selection!$F:$F,0))="US"),Investment!$K$7,1),"")),"")</f>
        <v/>
      </c>
      <c r="O565" s="144" t="str">
        <f>IF($P565&lt;&gt;"",IF(MAXIFS(Investment!$AG:$AG,Investment!$D:$D,LEFT($P565,40)&amp;"*"),MAXIFS(Investment!$AG:$AG,Investment!$D:$D,LEFT($P565,40)&amp;"*"),""),"")</f>
        <v/>
      </c>
      <c r="P565" s="328"/>
      <c r="R565" s="53"/>
    </row>
    <row r="566">
      <c r="A566" s="125">
        <v>41464.0</v>
      </c>
      <c r="C566" s="49" t="s">
        <v>1515</v>
      </c>
      <c r="D566" s="56" t="s">
        <v>390</v>
      </c>
      <c r="E566" s="32"/>
      <c r="F566" s="218"/>
      <c r="G566" s="132">
        <v>4.8</v>
      </c>
      <c r="H566" s="353" t="str">
        <f t="shared" si="497"/>
        <v>EDF@DIVIDEND@@4.8</v>
      </c>
      <c r="I566" s="134" t="str">
        <f t="shared" ref="I566:J566" si="572">IFS(AND($B566&lt;&gt;"",$E566&lt;&gt;""),IF(INDEX(N:N,MATCH($C566,$P:$P,0),1)&lt;&gt;"",$E566*INDEX(N:N,MATCH($C566,$P:$P,0),1)+$G566,""),AND($B566&lt;&gt;"",$D566="COST"),$G566,TRUE,)</f>
        <v/>
      </c>
      <c r="J566" s="134" t="str">
        <f t="shared" si="572"/>
        <v/>
      </c>
      <c r="K566" s="219" t="str">
        <f t="shared" si="3"/>
        <v>EDF</v>
      </c>
      <c r="L566" s="150">
        <f t="shared" si="4"/>
        <v>0</v>
      </c>
      <c r="M566" s="150">
        <f t="shared" si="5"/>
        <v>1451.96</v>
      </c>
      <c r="N566" s="139" t="str">
        <f t="array" ref="N566">IF($P566&lt;&gt;"",IF(MAXIFS(Investment!$L:$L,Investment!$D:$D,LEFT($P566,40)&amp;"*"),MAXIFS(Investment!$L:$L,Investment!$D:$D,LEFT($P566,40)&amp;"*"),IFERROR(INDEX(Selection!$H:$H, MATCH($P566,Selection!$F:$F,0))/IF(OR(INDEX(Selection!$C:$C, MATCH($P566,Selection!$F:$F,0))="LN",INDEX(Selection!$C:$C, MATCH($P566,Selection!$F:$F,0))="US"),Investment!$K$7,1),"")),"")</f>
        <v/>
      </c>
      <c r="O566" s="144" t="str">
        <f>IF($P566&lt;&gt;"",IF(MAXIFS(Investment!$AG:$AG,Investment!$D:$D,LEFT($P566,40)&amp;"*"),MAXIFS(Investment!$AG:$AG,Investment!$D:$D,LEFT($P566,40)&amp;"*"),""),"")</f>
        <v/>
      </c>
      <c r="P566" s="328"/>
      <c r="R566" s="53"/>
    </row>
    <row r="567">
      <c r="A567" s="125">
        <v>41452.0</v>
      </c>
      <c r="C567" s="343" t="s">
        <v>1526</v>
      </c>
      <c r="D567" s="56" t="s">
        <v>390</v>
      </c>
      <c r="E567" s="32"/>
      <c r="F567" s="218"/>
      <c r="G567" s="132">
        <v>11.29</v>
      </c>
      <c r="H567" s="353" t="str">
        <f t="shared" si="497"/>
        <v>TOTAL SA@DIVIDEND@@11.29</v>
      </c>
      <c r="I567" s="134" t="str">
        <f t="shared" ref="I567:J567" si="573">IFS(AND($B567&lt;&gt;"",$E567&lt;&gt;""),IF(INDEX(N:N,MATCH($C567,$P:$P,0),1)&lt;&gt;"",$E567*INDEX(N:N,MATCH($C567,$P:$P,0),1)+$G567,""),AND($B567&lt;&gt;"",$D567="COST"),$G567,TRUE,)</f>
        <v/>
      </c>
      <c r="J567" s="134" t="str">
        <f t="shared" si="573"/>
        <v/>
      </c>
      <c r="K567" s="219" t="str">
        <f t="shared" si="3"/>
        <v>TOTAL SA</v>
      </c>
      <c r="L567" s="150">
        <f t="shared" si="4"/>
        <v>0</v>
      </c>
      <c r="M567" s="150">
        <f t="shared" si="5"/>
        <v>137.91</v>
      </c>
      <c r="N567" s="139" t="str">
        <f t="array" ref="N567">IF($P567&lt;&gt;"",IF(MAXIFS(Investment!$L:$L,Investment!$D:$D,LEFT($P567,40)&amp;"*"),MAXIFS(Investment!$L:$L,Investment!$D:$D,LEFT($P567,40)&amp;"*"),IFERROR(INDEX(Selection!$H:$H, MATCH($P567,Selection!$F:$F,0))/IF(OR(INDEX(Selection!$C:$C, MATCH($P567,Selection!$F:$F,0))="LN",INDEX(Selection!$C:$C, MATCH($P567,Selection!$F:$F,0))="US"),Investment!$K$7,1),"")),"")</f>
        <v/>
      </c>
      <c r="O567" s="144" t="str">
        <f>IF($P567&lt;&gt;"",IF(MAXIFS(Investment!$AG:$AG,Investment!$D:$D,LEFT($P567,40)&amp;"*"),MAXIFS(Investment!$AG:$AG,Investment!$D:$D,LEFT($P567,40)&amp;"*"),""),"")</f>
        <v/>
      </c>
      <c r="P567" s="328"/>
      <c r="R567" s="53"/>
    </row>
    <row r="568">
      <c r="A568" s="125">
        <v>41436.0</v>
      </c>
      <c r="B568" s="56"/>
      <c r="C568" s="343" t="s">
        <v>1523</v>
      </c>
      <c r="D568" s="56" t="s">
        <v>390</v>
      </c>
      <c r="E568" s="32"/>
      <c r="F568" s="218"/>
      <c r="G568" s="132">
        <v>17.19</v>
      </c>
      <c r="H568" s="353" t="str">
        <f t="shared" si="497"/>
        <v>ORANGE@DIVIDEND@@17.19</v>
      </c>
      <c r="I568" s="134" t="str">
        <f t="shared" ref="I568:J568" si="574">IFS(AND($B568&lt;&gt;"",$E568&lt;&gt;""),IF(INDEX(N:N,MATCH($C568,$P:$P,0),1)&lt;&gt;"",$E568*INDEX(N:N,MATCH($C568,$P:$P,0),1)+$G568,""),AND($B568&lt;&gt;"",$D568="COST"),$G568,TRUE,)</f>
        <v/>
      </c>
      <c r="J568" s="134" t="str">
        <f t="shared" si="574"/>
        <v/>
      </c>
      <c r="K568" s="219" t="str">
        <f t="shared" si="3"/>
        <v>ORANGE</v>
      </c>
      <c r="L568" s="150">
        <f t="shared" si="4"/>
        <v>0</v>
      </c>
      <c r="M568" s="150">
        <f t="shared" si="5"/>
        <v>-68.12</v>
      </c>
      <c r="N568" s="139" t="str">
        <f t="array" ref="N568">IF($P568&lt;&gt;"",IF(MAXIFS(Investment!$L:$L,Investment!$D:$D,LEFT($P568,40)&amp;"*"),MAXIFS(Investment!$L:$L,Investment!$D:$D,LEFT($P568,40)&amp;"*"),IFERROR(INDEX(Selection!$H:$H, MATCH($P568,Selection!$F:$F,0))/IF(OR(INDEX(Selection!$C:$C, MATCH($P568,Selection!$F:$F,0))="LN",INDEX(Selection!$C:$C, MATCH($P568,Selection!$F:$F,0))="US"),Investment!$K$7,1),"")),"")</f>
        <v/>
      </c>
      <c r="O568" s="144" t="str">
        <f>IF($P568&lt;&gt;"",IF(MAXIFS(Investment!$AG:$AG,Investment!$D:$D,LEFT($P568,40)&amp;"*"),MAXIFS(Investment!$AG:$AG,Investment!$D:$D,LEFT($P568,40)&amp;"*"),""),"")</f>
        <v/>
      </c>
      <c r="P568" s="328"/>
      <c r="R568" s="53"/>
    </row>
    <row r="569">
      <c r="A569" s="125">
        <v>41394.0</v>
      </c>
      <c r="C569" s="49" t="s">
        <v>1524</v>
      </c>
      <c r="D569" s="56" t="s">
        <v>390</v>
      </c>
      <c r="E569" s="32"/>
      <c r="F569" s="218"/>
      <c r="G569" s="132">
        <v>40.46</v>
      </c>
      <c r="H569" s="353" t="str">
        <f t="shared" si="497"/>
        <v>GDF SUEZ@DIVIDEND@@40.46</v>
      </c>
      <c r="I569" s="134" t="str">
        <f t="shared" ref="I569:J569" si="575">IFS(AND($B569&lt;&gt;"",$E569&lt;&gt;""),IF(INDEX(N:N,MATCH($C569,$P:$P,0),1)&lt;&gt;"",$E569*INDEX(N:N,MATCH($C569,$P:$P,0),1)+$G569,""),AND($B569&lt;&gt;"",$D569="COST"),$G569,TRUE,)</f>
        <v/>
      </c>
      <c r="J569" s="134" t="str">
        <f t="shared" si="575"/>
        <v/>
      </c>
      <c r="K569" s="219" t="str">
        <f t="shared" si="3"/>
        <v>GDF SUEZ</v>
      </c>
      <c r="L569" s="150">
        <f t="shared" si="4"/>
        <v>0</v>
      </c>
      <c r="M569" s="150">
        <f t="shared" si="5"/>
        <v>123.37</v>
      </c>
      <c r="N569" s="139" t="str">
        <f t="array" ref="N569">IF($P569&lt;&gt;"",IF(MAXIFS(Investment!$L:$L,Investment!$D:$D,LEFT($P569,40)&amp;"*"),MAXIFS(Investment!$L:$L,Investment!$D:$D,LEFT($P569,40)&amp;"*"),IFERROR(INDEX(Selection!$H:$H, MATCH($P569,Selection!$F:$F,0))/IF(OR(INDEX(Selection!$C:$C, MATCH($P569,Selection!$F:$F,0))="LN",INDEX(Selection!$C:$C, MATCH($P569,Selection!$F:$F,0))="US"),Investment!$K$7,1),"")),"")</f>
        <v/>
      </c>
      <c r="O569" s="144" t="str">
        <f>IF($P569&lt;&gt;"",IF(MAXIFS(Investment!$AG:$AG,Investment!$D:$D,LEFT($P569,40)&amp;"*"),MAXIFS(Investment!$AG:$AG,Investment!$D:$D,LEFT($P569,40)&amp;"*"),""),"")</f>
        <v/>
      </c>
      <c r="P569" s="328"/>
      <c r="R569" s="53"/>
    </row>
    <row r="570">
      <c r="A570" s="125">
        <v>41355.0</v>
      </c>
      <c r="C570" s="343" t="s">
        <v>1526</v>
      </c>
      <c r="D570" s="56" t="s">
        <v>222</v>
      </c>
      <c r="E570" s="32">
        <v>30.0</v>
      </c>
      <c r="F570" s="218">
        <v>38.33</v>
      </c>
      <c r="G570" s="132">
        <v>-1150.93</v>
      </c>
      <c r="H570" s="353" t="str">
        <f t="shared" si="497"/>
        <v>TOTAL SA@BUY@30@-1150.93</v>
      </c>
      <c r="I570" s="134" t="str">
        <f t="shared" ref="I570:J570" si="576">IFS(AND($B570&lt;&gt;"",$E570&lt;&gt;""),IF(INDEX(N:N,MATCH($C570,$P:$P,0),1)&lt;&gt;"",$E570*INDEX(N:N,MATCH($C570,$P:$P,0),1)+$G570,""),AND($B570&lt;&gt;"",$D570="COST"),$G570,TRUE,)</f>
        <v/>
      </c>
      <c r="J570" s="134" t="str">
        <f t="shared" si="576"/>
        <v/>
      </c>
      <c r="K570" s="219" t="str">
        <f t="shared" si="3"/>
        <v>TOTAL SA</v>
      </c>
      <c r="L570" s="150">
        <f t="shared" si="4"/>
        <v>0</v>
      </c>
      <c r="M570" s="150">
        <f t="shared" si="5"/>
        <v>137.91</v>
      </c>
      <c r="N570" s="139" t="str">
        <f t="array" ref="N570">IF($P570&lt;&gt;"",IF(MAXIFS(Investment!$L:$L,Investment!$D:$D,LEFT($P570,40)&amp;"*"),MAXIFS(Investment!$L:$L,Investment!$D:$D,LEFT($P570,40)&amp;"*"),IFERROR(INDEX(Selection!$H:$H, MATCH($P570,Selection!$F:$F,0))/IF(OR(INDEX(Selection!$C:$C, MATCH($P570,Selection!$F:$F,0))="LN",INDEX(Selection!$C:$C, MATCH($P570,Selection!$F:$F,0))="US"),Investment!$K$7,1),"")),"")</f>
        <v/>
      </c>
      <c r="O570" s="144" t="str">
        <f>IF($P570&lt;&gt;"",IF(MAXIFS(Investment!$AG:$AG,Investment!$D:$D,LEFT($P570,40)&amp;"*"),MAXIFS(Investment!$AG:$AG,Investment!$D:$D,LEFT($P570,40)&amp;"*"),""),"")</f>
        <v/>
      </c>
      <c r="P570" s="328"/>
      <c r="R570" s="53"/>
    </row>
    <row r="571">
      <c r="A571" s="125">
        <v>41355.0</v>
      </c>
      <c r="B571" s="56"/>
      <c r="C571" s="343" t="s">
        <v>1523</v>
      </c>
      <c r="D571" s="56" t="s">
        <v>222</v>
      </c>
      <c r="E571" s="32">
        <v>135.0</v>
      </c>
      <c r="F571" s="218">
        <v>8.42</v>
      </c>
      <c r="G571" s="132">
        <v>-1137.32</v>
      </c>
      <c r="H571" s="353" t="str">
        <f t="shared" si="497"/>
        <v>ORANGE@BUY@135@-1137.32</v>
      </c>
      <c r="I571" s="134" t="str">
        <f t="shared" ref="I571:J571" si="577">IFS(AND($B571&lt;&gt;"",$E571&lt;&gt;""),IF(INDEX(N:N,MATCH($C571,$P:$P,0),1)&lt;&gt;"",$E571*INDEX(N:N,MATCH($C571,$P:$P,0),1)+$G571,""),AND($B571&lt;&gt;"",$D571="COST"),$G571,TRUE,)</f>
        <v/>
      </c>
      <c r="J571" s="134" t="str">
        <f t="shared" si="577"/>
        <v/>
      </c>
      <c r="K571" s="219" t="str">
        <f t="shared" si="3"/>
        <v>ORANGE</v>
      </c>
      <c r="L571" s="150">
        <f t="shared" si="4"/>
        <v>0</v>
      </c>
      <c r="M571" s="150">
        <f t="shared" si="5"/>
        <v>-68.12</v>
      </c>
      <c r="N571" s="139" t="str">
        <f t="array" ref="N571">IF($P571&lt;&gt;"",IF(MAXIFS(Investment!$L:$L,Investment!$D:$D,LEFT($P571,40)&amp;"*"),MAXIFS(Investment!$L:$L,Investment!$D:$D,LEFT($P571,40)&amp;"*"),IFERROR(INDEX(Selection!$H:$H, MATCH($P571,Selection!$F:$F,0))/IF(OR(INDEX(Selection!$C:$C, MATCH($P571,Selection!$F:$F,0))="LN",INDEX(Selection!$C:$C, MATCH($P571,Selection!$F:$F,0))="US"),Investment!$K$7,1),"")),"")</f>
        <v/>
      </c>
      <c r="O571" s="144" t="str">
        <f>IF($P571&lt;&gt;"",IF(MAXIFS(Investment!$AG:$AG,Investment!$D:$D,LEFT($P571,40)&amp;"*"),MAXIFS(Investment!$AG:$AG,Investment!$D:$D,LEFT($P571,40)&amp;"*"),""),"")</f>
        <v/>
      </c>
      <c r="P571" s="328"/>
      <c r="R571" s="53"/>
    </row>
    <row r="572">
      <c r="A572" s="125">
        <v>41355.0</v>
      </c>
      <c r="C572" s="49" t="s">
        <v>1524</v>
      </c>
      <c r="D572" s="56" t="s">
        <v>222</v>
      </c>
      <c r="E572" s="32">
        <v>95.0</v>
      </c>
      <c r="F572" s="218">
        <v>15.4</v>
      </c>
      <c r="G572" s="132">
        <v>-1464.32</v>
      </c>
      <c r="H572" s="353" t="str">
        <f t="shared" si="497"/>
        <v>GDF SUEZ@BUY@95@-1464.32</v>
      </c>
      <c r="I572" s="134" t="str">
        <f t="shared" ref="I572:J572" si="578">IFS(AND($B572&lt;&gt;"",$E572&lt;&gt;""),IF(INDEX(N:N,MATCH($C572,$P:$P,0),1)&lt;&gt;"",$E572*INDEX(N:N,MATCH($C572,$P:$P,0),1)+$G572,""),AND($B572&lt;&gt;"",$D572="COST"),$G572,TRUE,)</f>
        <v/>
      </c>
      <c r="J572" s="134" t="str">
        <f t="shared" si="578"/>
        <v/>
      </c>
      <c r="K572" s="219" t="str">
        <f t="shared" si="3"/>
        <v>GDF SUEZ</v>
      </c>
      <c r="L572" s="150">
        <f t="shared" si="4"/>
        <v>0</v>
      </c>
      <c r="M572" s="150">
        <f t="shared" si="5"/>
        <v>123.37</v>
      </c>
      <c r="N572" s="139" t="str">
        <f t="array" ref="N572">IF($P572&lt;&gt;"",IF(MAXIFS(Investment!$L:$L,Investment!$D:$D,LEFT($P572,40)&amp;"*"),MAXIFS(Investment!$L:$L,Investment!$D:$D,LEFT($P572,40)&amp;"*"),IFERROR(INDEX(Selection!$H:$H, MATCH($P572,Selection!$F:$F,0))/IF(OR(INDEX(Selection!$C:$C, MATCH($P572,Selection!$F:$F,0))="LN",INDEX(Selection!$C:$C, MATCH($P572,Selection!$F:$F,0))="US"),Investment!$K$7,1),"")),"")</f>
        <v/>
      </c>
      <c r="O572" s="144" t="str">
        <f>IF($P572&lt;&gt;"",IF(MAXIFS(Investment!$AG:$AG,Investment!$D:$D,LEFT($P572,40)&amp;"*"),MAXIFS(Investment!$AG:$AG,Investment!$D:$D,LEFT($P572,40)&amp;"*"),""),"")</f>
        <v/>
      </c>
      <c r="P572" s="328"/>
      <c r="R572" s="53"/>
    </row>
    <row r="573">
      <c r="A573" s="125">
        <v>41355.0</v>
      </c>
      <c r="C573" s="49" t="s">
        <v>1515</v>
      </c>
      <c r="D573" s="56" t="s">
        <v>222</v>
      </c>
      <c r="E573" s="32">
        <v>75.0</v>
      </c>
      <c r="F573" s="218">
        <v>15.15</v>
      </c>
      <c r="G573" s="132">
        <v>-1137.27</v>
      </c>
      <c r="H573" s="353" t="str">
        <f t="shared" si="497"/>
        <v>EDF@BUY@75@-1137.27</v>
      </c>
      <c r="I573" s="134" t="str">
        <f t="shared" ref="I573:J573" si="579">IFS(AND($B573&lt;&gt;"",$E573&lt;&gt;""),IF(INDEX(N:N,MATCH($C573,$P:$P,0),1)&lt;&gt;"",$E573*INDEX(N:N,MATCH($C573,$P:$P,0),1)+$G573,""),AND($B573&lt;&gt;"",$D573="COST"),$G573,TRUE,)</f>
        <v/>
      </c>
      <c r="J573" s="134" t="str">
        <f t="shared" si="579"/>
        <v/>
      </c>
      <c r="K573" s="219" t="str">
        <f t="shared" si="3"/>
        <v>EDF</v>
      </c>
      <c r="L573" s="150">
        <f t="shared" si="4"/>
        <v>0</v>
      </c>
      <c r="M573" s="150">
        <f t="shared" si="5"/>
        <v>1451.96</v>
      </c>
      <c r="N573" s="139" t="str">
        <f t="array" ref="N573">IF($P573&lt;&gt;"",IF(MAXIFS(Investment!$L:$L,Investment!$D:$D,LEFT($P573,40)&amp;"*"),MAXIFS(Investment!$L:$L,Investment!$D:$D,LEFT($P573,40)&amp;"*"),IFERROR(INDEX(Selection!$H:$H, MATCH($P573,Selection!$F:$F,0))/IF(OR(INDEX(Selection!$C:$C, MATCH($P573,Selection!$F:$F,0))="LN",INDEX(Selection!$C:$C, MATCH($P573,Selection!$F:$F,0))="US"),Investment!$K$7,1),"")),"")</f>
        <v/>
      </c>
      <c r="O573" s="144" t="str">
        <f>IF($P573&lt;&gt;"",IF(MAXIFS(Investment!$AG:$AG,Investment!$D:$D,LEFT($P573,40)&amp;"*"),MAXIFS(Investment!$AG:$AG,Investment!$D:$D,LEFT($P573,40)&amp;"*"),""),"")</f>
        <v/>
      </c>
      <c r="P573" s="328"/>
      <c r="R573" s="53"/>
    </row>
    <row r="574">
      <c r="A574" s="125">
        <v>41355.0</v>
      </c>
      <c r="B574" s="56"/>
      <c r="C574" s="343" t="s">
        <v>1526</v>
      </c>
      <c r="D574" s="361" t="s">
        <v>263</v>
      </c>
      <c r="E574" s="32"/>
      <c r="F574" s="218"/>
      <c r="G574" s="132">
        <v>-2.3</v>
      </c>
      <c r="H574" s="353" t="str">
        <f t="shared" si="497"/>
        <v>TOTAL SA@COST@@-2.3</v>
      </c>
      <c r="I574" s="134" t="str">
        <f t="shared" ref="I574:J574" si="580">IFS(AND($B574&lt;&gt;"",$E574&lt;&gt;""),IF(INDEX(N:N,MATCH($C574,$P:$P,0),1)&lt;&gt;"",$E574*INDEX(N:N,MATCH($C574,$P:$P,0),1)+$G574,""),AND($B574&lt;&gt;"",$D574="COST"),$G574,TRUE,)</f>
        <v/>
      </c>
      <c r="J574" s="134" t="str">
        <f t="shared" si="580"/>
        <v/>
      </c>
      <c r="K574" s="219" t="str">
        <f t="shared" si="3"/>
        <v>TOTAL SA</v>
      </c>
      <c r="L574" s="150">
        <f t="shared" si="4"/>
        <v>0</v>
      </c>
      <c r="M574" s="150">
        <f t="shared" si="5"/>
        <v>137.91</v>
      </c>
      <c r="N574" s="139" t="str">
        <f t="array" ref="N574">IF($P574&lt;&gt;"",IF(MAXIFS(Investment!$L:$L,Investment!$D:$D,LEFT($P574,40)&amp;"*"),MAXIFS(Investment!$L:$L,Investment!$D:$D,LEFT($P574,40)&amp;"*"),IFERROR(INDEX(Selection!$H:$H, MATCH($P574,Selection!$F:$F,0))/IF(OR(INDEX(Selection!$C:$C, MATCH($P574,Selection!$F:$F,0))="LN",INDEX(Selection!$C:$C, MATCH($P574,Selection!$F:$F,0))="US"),Investment!$K$7,1),"")),"")</f>
        <v/>
      </c>
      <c r="O574" s="144" t="str">
        <f>IF($P574&lt;&gt;"",IF(MAXIFS(Investment!$AG:$AG,Investment!$D:$D,LEFT($P574,40)&amp;"*"),MAXIFS(Investment!$AG:$AG,Investment!$D:$D,LEFT($P574,40)&amp;"*"),""),"")</f>
        <v/>
      </c>
      <c r="P574" s="328"/>
      <c r="R574" s="53"/>
    </row>
    <row r="575">
      <c r="A575" s="125">
        <v>41355.0</v>
      </c>
      <c r="B575" s="56"/>
      <c r="C575" s="343" t="s">
        <v>1527</v>
      </c>
      <c r="D575" s="361" t="s">
        <v>263</v>
      </c>
      <c r="E575" s="32"/>
      <c r="F575" s="218"/>
      <c r="G575" s="132">
        <v>-2.27</v>
      </c>
      <c r="H575" s="353" t="str">
        <f t="shared" si="497"/>
        <v>FRANCE TELECOM@COST@@-2.27</v>
      </c>
      <c r="I575" s="134" t="str">
        <f t="shared" ref="I575:J575" si="581">IFS(AND($B575&lt;&gt;"",$E575&lt;&gt;""),IF(INDEX(N:N,MATCH($C575,$P:$P,0),1)&lt;&gt;"",$E575*INDEX(N:N,MATCH($C575,$P:$P,0),1)+$G575,""),AND($B575&lt;&gt;"",$D575="COST"),$G575,TRUE,)</f>
        <v/>
      </c>
      <c r="J575" s="134" t="str">
        <f t="shared" si="581"/>
        <v/>
      </c>
      <c r="K575" s="219" t="str">
        <f t="shared" si="3"/>
        <v>FRANCE TELECOM</v>
      </c>
      <c r="L575" s="150">
        <f t="shared" si="4"/>
        <v>0</v>
      </c>
      <c r="M575" s="150">
        <f t="shared" si="5"/>
        <v>1049.82</v>
      </c>
      <c r="N575" s="139" t="str">
        <f t="array" ref="N575">IF($P575&lt;&gt;"",IF(MAXIFS(Investment!$L:$L,Investment!$D:$D,LEFT($P575,40)&amp;"*"),MAXIFS(Investment!$L:$L,Investment!$D:$D,LEFT($P575,40)&amp;"*"),IFERROR(INDEX(Selection!$H:$H, MATCH($P575,Selection!$F:$F,0))/IF(OR(INDEX(Selection!$C:$C, MATCH($P575,Selection!$F:$F,0))="LN",INDEX(Selection!$C:$C, MATCH($P575,Selection!$F:$F,0))="US"),Investment!$K$7,1),"")),"")</f>
        <v/>
      </c>
      <c r="O575" s="144" t="str">
        <f>IF($P575&lt;&gt;"",IF(MAXIFS(Investment!$AG:$AG,Investment!$D:$D,LEFT($P575,40)&amp;"*"),MAXIFS(Investment!$AG:$AG,Investment!$D:$D,LEFT($P575,40)&amp;"*"),""),"")</f>
        <v/>
      </c>
      <c r="P575" s="328"/>
      <c r="R575" s="53"/>
    </row>
    <row r="576">
      <c r="A576" s="125">
        <v>41355.0</v>
      </c>
      <c r="B576" s="56"/>
      <c r="C576" s="343" t="s">
        <v>1524</v>
      </c>
      <c r="D576" s="361" t="s">
        <v>263</v>
      </c>
      <c r="E576" s="32"/>
      <c r="F576" s="218"/>
      <c r="G576" s="132">
        <v>-2.93</v>
      </c>
      <c r="H576" s="353" t="str">
        <f t="shared" si="497"/>
        <v>GDF SUEZ@COST@@-2.93</v>
      </c>
      <c r="I576" s="134" t="str">
        <f t="shared" ref="I576:J576" si="582">IFS(AND($B576&lt;&gt;"",$E576&lt;&gt;""),IF(INDEX(N:N,MATCH($C576,$P:$P,0),1)&lt;&gt;"",$E576*INDEX(N:N,MATCH($C576,$P:$P,0),1)+$G576,""),AND($B576&lt;&gt;"",$D576="COST"),$G576,TRUE,)</f>
        <v/>
      </c>
      <c r="J576" s="134" t="str">
        <f t="shared" si="582"/>
        <v/>
      </c>
      <c r="K576" s="219" t="str">
        <f t="shared" si="3"/>
        <v>GDF SUEZ</v>
      </c>
      <c r="L576" s="150">
        <f t="shared" si="4"/>
        <v>0</v>
      </c>
      <c r="M576" s="150">
        <f t="shared" si="5"/>
        <v>123.37</v>
      </c>
      <c r="N576" s="139" t="str">
        <f t="array" ref="N576">IF($P576&lt;&gt;"",IF(MAXIFS(Investment!$L:$L,Investment!$D:$D,LEFT($P576,40)&amp;"*"),MAXIFS(Investment!$L:$L,Investment!$D:$D,LEFT($P576,40)&amp;"*"),IFERROR(INDEX(Selection!$H:$H, MATCH($P576,Selection!$F:$F,0))/IF(OR(INDEX(Selection!$C:$C, MATCH($P576,Selection!$F:$F,0))="LN",INDEX(Selection!$C:$C, MATCH($P576,Selection!$F:$F,0))="US"),Investment!$K$7,1),"")),"")</f>
        <v/>
      </c>
      <c r="O576" s="144" t="str">
        <f>IF($P576&lt;&gt;"",IF(MAXIFS(Investment!$AG:$AG,Investment!$D:$D,LEFT($P576,40)&amp;"*"),MAXIFS(Investment!$AG:$AG,Investment!$D:$D,LEFT($P576,40)&amp;"*"),""),"")</f>
        <v/>
      </c>
      <c r="P576" s="328"/>
      <c r="R576" s="53"/>
    </row>
    <row r="577">
      <c r="A577" s="125">
        <v>41355.0</v>
      </c>
      <c r="B577" s="56"/>
      <c r="C577" s="343" t="s">
        <v>1515</v>
      </c>
      <c r="D577" s="361" t="s">
        <v>263</v>
      </c>
      <c r="E577" s="32"/>
      <c r="F577" s="218"/>
      <c r="G577" s="132">
        <v>-2.27</v>
      </c>
      <c r="H577" s="353" t="str">
        <f t="shared" si="497"/>
        <v>EDF@COST@@-2.27</v>
      </c>
      <c r="I577" s="134" t="str">
        <f t="shared" ref="I577:J577" si="583">IFS(AND($B577&lt;&gt;"",$E577&lt;&gt;""),IF(INDEX(N:N,MATCH($C577,$P:$P,0),1)&lt;&gt;"",$E577*INDEX(N:N,MATCH($C577,$P:$P,0),1)+$G577,""),AND($B577&lt;&gt;"",$D577="COST"),$G577,TRUE,)</f>
        <v/>
      </c>
      <c r="J577" s="134" t="str">
        <f t="shared" si="583"/>
        <v/>
      </c>
      <c r="K577" s="219" t="str">
        <f t="shared" si="3"/>
        <v>EDF</v>
      </c>
      <c r="L577" s="150">
        <f t="shared" si="4"/>
        <v>0</v>
      </c>
      <c r="M577" s="150">
        <f t="shared" si="5"/>
        <v>1451.96</v>
      </c>
      <c r="N577" s="139" t="str">
        <f t="array" ref="N577">IF($P577&lt;&gt;"",IF(MAXIFS(Investment!$L:$L,Investment!$D:$D,LEFT($P577,40)&amp;"*"),MAXIFS(Investment!$L:$L,Investment!$D:$D,LEFT($P577,40)&amp;"*"),IFERROR(INDEX(Selection!$H:$H, MATCH($P577,Selection!$F:$F,0))/IF(OR(INDEX(Selection!$C:$C, MATCH($P577,Selection!$F:$F,0))="LN",INDEX(Selection!$C:$C, MATCH($P577,Selection!$F:$F,0))="US"),Investment!$K$7,1),"")),"")</f>
        <v/>
      </c>
      <c r="O577" s="144" t="str">
        <f>IF($P577&lt;&gt;"",IF(MAXIFS(Investment!$AG:$AG,Investment!$D:$D,LEFT($P577,40)&amp;"*"),MAXIFS(Investment!$AG:$AG,Investment!$D:$D,LEFT($P577,40)&amp;"*"),""),"")</f>
        <v/>
      </c>
      <c r="P577" s="328"/>
      <c r="R577" s="53"/>
    </row>
    <row r="578">
      <c r="A578" s="125">
        <v>41326.0</v>
      </c>
      <c r="B578" s="161"/>
      <c r="C578" s="228"/>
      <c r="D578" s="56" t="s">
        <v>263</v>
      </c>
      <c r="E578" s="161"/>
      <c r="F578" s="218"/>
      <c r="G578" s="132">
        <v>-6.0</v>
      </c>
      <c r="H578" s="353" t="str">
        <f t="shared" si="497"/>
        <v>@COST@@-6</v>
      </c>
      <c r="I578" s="134" t="str">
        <f t="shared" ref="I578:J578" si="584">IFS(AND($B578&lt;&gt;"",$E578&lt;&gt;""),IF(INDEX(N:N,MATCH($C578,$P:$P,0),1)&lt;&gt;"",$E578*INDEX(N:N,MATCH($C578,$P:$P,0),1)+$G578,""),AND($B578&lt;&gt;"",$D578="COST"),$G578,TRUE,)</f>
        <v/>
      </c>
      <c r="J578" s="134" t="str">
        <f t="shared" si="584"/>
        <v/>
      </c>
      <c r="K578" s="219" t="str">
        <f t="shared" si="3"/>
        <v/>
      </c>
      <c r="L578" s="150" t="str">
        <f t="shared" si="4"/>
        <v/>
      </c>
      <c r="M578" s="150" t="str">
        <f t="shared" si="5"/>
        <v/>
      </c>
      <c r="N578" s="139" t="str">
        <f t="array" ref="N578">IF($P578&lt;&gt;"",IF(MAXIFS(Investment!$L:$L,Investment!$D:$D,LEFT($P578,40)&amp;"*"),MAXIFS(Investment!$L:$L,Investment!$D:$D,LEFT($P578,40)&amp;"*"),IFERROR(INDEX(Selection!$H:$H, MATCH($P578,Selection!$F:$F,0))/IF(OR(INDEX(Selection!$C:$C, MATCH($P578,Selection!$F:$F,0))="LN",INDEX(Selection!$C:$C, MATCH($P578,Selection!$F:$F,0))="US"),Investment!$K$7,1),"")),"")</f>
        <v/>
      </c>
      <c r="O578" s="144" t="str">
        <f>IF($P578&lt;&gt;"",IF(MAXIFS(Investment!$AG:$AG,Investment!$D:$D,LEFT($P578,40)&amp;"*"),MAXIFS(Investment!$AG:$AG,Investment!$D:$D,LEFT($P578,40)&amp;"*"),""),"")</f>
        <v/>
      </c>
      <c r="P578" s="49"/>
    </row>
    <row r="579">
      <c r="A579" s="125">
        <v>41326.0</v>
      </c>
      <c r="B579" s="161"/>
      <c r="C579" s="228"/>
      <c r="D579" s="56" t="s">
        <v>268</v>
      </c>
      <c r="E579" s="161"/>
      <c r="F579" s="218"/>
      <c r="G579" s="132">
        <v>-9872.9</v>
      </c>
      <c r="H579" s="353" t="str">
        <f t="shared" si="497"/>
        <v>@APPROVISIONNEMENT@@-9872.9</v>
      </c>
      <c r="I579" s="134" t="str">
        <f t="shared" ref="I579:J579" si="585">IFS(AND($B579&lt;&gt;"",$E579&lt;&gt;""),IF(INDEX(N:N,MATCH($C579,$P:$P,0),1)&lt;&gt;"",$E579*INDEX(N:N,MATCH($C579,$P:$P,0),1)+$G579,""),AND($B579&lt;&gt;"",$D579="COST"),$G579,TRUE,)</f>
        <v/>
      </c>
      <c r="J579" s="134" t="str">
        <f t="shared" si="585"/>
        <v/>
      </c>
      <c r="K579" s="219" t="str">
        <f t="shared" si="3"/>
        <v/>
      </c>
      <c r="L579" s="150" t="str">
        <f t="shared" si="4"/>
        <v/>
      </c>
      <c r="M579" s="150" t="str">
        <f t="shared" si="5"/>
        <v/>
      </c>
      <c r="N579" s="139" t="str">
        <f t="array" ref="N579">IF($P579&lt;&gt;"",IF(MAXIFS(Investment!$L:$L,Investment!$D:$D,LEFT($P579,40)&amp;"*"),MAXIFS(Investment!$L:$L,Investment!$D:$D,LEFT($P579,40)&amp;"*"),IFERROR(INDEX(Selection!$H:$H, MATCH($P579,Selection!$F:$F,0))/IF(OR(INDEX(Selection!$C:$C, MATCH($P579,Selection!$F:$F,0))="LN",INDEX(Selection!$C:$C, MATCH($P579,Selection!$F:$F,0))="US"),Investment!$K$7,1),"")),"")</f>
        <v/>
      </c>
      <c r="O579" s="144" t="str">
        <f>IF($P579&lt;&gt;"",IF(MAXIFS(Investment!$AG:$AG,Investment!$D:$D,LEFT($P579,40)&amp;"*"),MAXIFS(Investment!$AG:$AG,Investment!$D:$D,LEFT($P579,40)&amp;"*"),""),"")</f>
        <v/>
      </c>
      <c r="P579" s="49"/>
    </row>
    <row r="580">
      <c r="A580" s="125">
        <v>41124.0</v>
      </c>
      <c r="C580" s="49" t="s">
        <v>1527</v>
      </c>
      <c r="D580" s="56" t="s">
        <v>245</v>
      </c>
      <c r="E580" s="32">
        <v>-455.0</v>
      </c>
      <c r="F580" s="218">
        <v>10.8</v>
      </c>
      <c r="G580" s="132">
        <v>4909.58</v>
      </c>
      <c r="H580" s="353" t="str">
        <f t="shared" si="497"/>
        <v>FRANCE TELECOM@SELL@-455@4909.58</v>
      </c>
      <c r="I580" s="134" t="str">
        <f t="shared" ref="I580:J580" si="586">IFS(AND($B580&lt;&gt;"",$E580&lt;&gt;""),IF(INDEX(N:N,MATCH($C580,$P:$P,0),1)&lt;&gt;"",$E580*INDEX(N:N,MATCH($C580,$P:$P,0),1)+$G580,""),AND($B580&lt;&gt;"",$D580="COST"),$G580,TRUE,)</f>
        <v/>
      </c>
      <c r="J580" s="134" t="str">
        <f t="shared" si="586"/>
        <v/>
      </c>
      <c r="K580" s="219" t="str">
        <f t="shared" si="3"/>
        <v>FRANCE TELECOM</v>
      </c>
      <c r="L580" s="150">
        <f t="shared" si="4"/>
        <v>0</v>
      </c>
      <c r="M580" s="150">
        <f t="shared" si="5"/>
        <v>1049.82</v>
      </c>
      <c r="N580" s="139" t="str">
        <f t="array" ref="N580">IF($P580&lt;&gt;"",IF(MAXIFS(Investment!$L:$L,Investment!$D:$D,LEFT($P580,40)&amp;"*"),MAXIFS(Investment!$L:$L,Investment!$D:$D,LEFT($P580,40)&amp;"*"),IFERROR(INDEX(Selection!$H:$H, MATCH($P580,Selection!$F:$F,0))/IF(OR(INDEX(Selection!$C:$C, MATCH($P580,Selection!$F:$F,0))="LN",INDEX(Selection!$C:$C, MATCH($P580,Selection!$F:$F,0))="US"),Investment!$K$7,1),"")),"")</f>
        <v/>
      </c>
      <c r="O580" s="144" t="str">
        <f>IF($P580&lt;&gt;"",IF(MAXIFS(Investment!$AG:$AG,Investment!$D:$D,LEFT($P580,40)&amp;"*"),MAXIFS(Investment!$AG:$AG,Investment!$D:$D,LEFT($P580,40)&amp;"*"),""),"")</f>
        <v/>
      </c>
      <c r="P580" s="328"/>
      <c r="R580" s="53"/>
    </row>
    <row r="581">
      <c r="A581" s="125">
        <v>41122.0</v>
      </c>
      <c r="C581" s="343" t="s">
        <v>1526</v>
      </c>
      <c r="D581" s="56" t="s">
        <v>245</v>
      </c>
      <c r="E581" s="32">
        <v>-33.0</v>
      </c>
      <c r="F581" s="218">
        <v>37.93</v>
      </c>
      <c r="G581" s="132">
        <v>1250.4</v>
      </c>
      <c r="H581" s="353" t="str">
        <f t="shared" si="497"/>
        <v>TOTAL SA@SELL@-33@1250.4</v>
      </c>
      <c r="I581" s="134" t="str">
        <f t="shared" ref="I581:J581" si="587">IFS(AND($B581&lt;&gt;"",$E581&lt;&gt;""),IF(INDEX(N:N,MATCH($C581,$P:$P,0),1)&lt;&gt;"",$E581*INDEX(N:N,MATCH($C581,$P:$P,0),1)+$G581,""),AND($B581&lt;&gt;"",$D581="COST"),$G581,TRUE,)</f>
        <v/>
      </c>
      <c r="J581" s="134" t="str">
        <f t="shared" si="587"/>
        <v/>
      </c>
      <c r="K581" s="219" t="str">
        <f t="shared" si="3"/>
        <v>TOTAL SA</v>
      </c>
      <c r="L581" s="150">
        <f t="shared" si="4"/>
        <v>0</v>
      </c>
      <c r="M581" s="150">
        <f t="shared" si="5"/>
        <v>137.91</v>
      </c>
      <c r="N581" s="139" t="str">
        <f t="array" ref="N581">IF($P581&lt;&gt;"",IF(MAXIFS(Investment!$L:$L,Investment!$D:$D,LEFT($P581,40)&amp;"*"),MAXIFS(Investment!$L:$L,Investment!$D:$D,LEFT($P581,40)&amp;"*"),IFERROR(INDEX(Selection!$H:$H, MATCH($P581,Selection!$F:$F,0))/IF(OR(INDEX(Selection!$C:$C, MATCH($P581,Selection!$F:$F,0))="LN",INDEX(Selection!$C:$C, MATCH($P581,Selection!$F:$F,0))="US"),Investment!$K$7,1),"")),"")</f>
        <v/>
      </c>
      <c r="O581" s="144" t="str">
        <f>IF($P581&lt;&gt;"",IF(MAXIFS(Investment!$AG:$AG,Investment!$D:$D,LEFT($P581,40)&amp;"*"),MAXIFS(Investment!$AG:$AG,Investment!$D:$D,LEFT($P581,40)&amp;"*"),""),"")</f>
        <v/>
      </c>
      <c r="P581" s="328"/>
      <c r="R581" s="53"/>
    </row>
    <row r="582">
      <c r="A582" s="125">
        <v>41122.0</v>
      </c>
      <c r="C582" s="49" t="s">
        <v>1516</v>
      </c>
      <c r="D582" s="56" t="s">
        <v>245</v>
      </c>
      <c r="E582" s="32">
        <v>-70.0</v>
      </c>
      <c r="F582" s="218">
        <v>20.6</v>
      </c>
      <c r="G582" s="132">
        <v>1440.7</v>
      </c>
      <c r="H582" s="353" t="str">
        <f t="shared" si="497"/>
        <v>BOUYGUES@SELL@-70@1440.7</v>
      </c>
      <c r="I582" s="134" t="str">
        <f t="shared" ref="I582:J582" si="588">IFS(AND($B582&lt;&gt;"",$E582&lt;&gt;""),IF(INDEX(N:N,MATCH($C582,$P:$P,0),1)&lt;&gt;"",$E582*INDEX(N:N,MATCH($C582,$P:$P,0),1)+$G582,""),AND($B582&lt;&gt;"",$D582="COST"),$G582,TRUE,)</f>
        <v/>
      </c>
      <c r="J582" s="134" t="str">
        <f t="shared" si="588"/>
        <v/>
      </c>
      <c r="K582" s="219" t="str">
        <f t="shared" si="3"/>
        <v>BOUYGUES</v>
      </c>
      <c r="L582" s="150">
        <f t="shared" si="4"/>
        <v>0</v>
      </c>
      <c r="M582" s="150">
        <f t="shared" si="5"/>
        <v>1091.52</v>
      </c>
      <c r="N582" s="139" t="str">
        <f t="array" ref="N582">IF($P582&lt;&gt;"",IF(MAXIFS(Investment!$L:$L,Investment!$D:$D,LEFT($P582,40)&amp;"*"),MAXIFS(Investment!$L:$L,Investment!$D:$D,LEFT($P582,40)&amp;"*"),IFERROR(INDEX(Selection!$H:$H, MATCH($P582,Selection!$F:$F,0))/IF(OR(INDEX(Selection!$C:$C, MATCH($P582,Selection!$F:$F,0))="LN",INDEX(Selection!$C:$C, MATCH($P582,Selection!$F:$F,0))="US"),Investment!$K$7,1),"")),"")</f>
        <v/>
      </c>
      <c r="O582" s="144" t="str">
        <f>IF($P582&lt;&gt;"",IF(MAXIFS(Investment!$AG:$AG,Investment!$D:$D,LEFT($P582,40)&amp;"*"),MAXIFS(Investment!$AG:$AG,Investment!$D:$D,LEFT($P582,40)&amp;"*"),""),"")</f>
        <v/>
      </c>
      <c r="P582" s="328"/>
      <c r="R582" s="53"/>
    </row>
    <row r="583">
      <c r="A583" s="125">
        <v>41122.0</v>
      </c>
      <c r="C583" s="49" t="s">
        <v>1524</v>
      </c>
      <c r="D583" s="56" t="s">
        <v>245</v>
      </c>
      <c r="E583" s="32">
        <v>-74.0</v>
      </c>
      <c r="F583" s="218">
        <v>18.27</v>
      </c>
      <c r="G583" s="132">
        <v>1350.39</v>
      </c>
      <c r="H583" s="353" t="str">
        <f t="shared" si="497"/>
        <v>GDF SUEZ@SELL@-74@1350.39</v>
      </c>
      <c r="I583" s="134" t="str">
        <f t="shared" ref="I583:J583" si="589">IFS(AND($B583&lt;&gt;"",$E583&lt;&gt;""),IF(INDEX(N:N,MATCH($C583,$P:$P,0),1)&lt;&gt;"",$E583*INDEX(N:N,MATCH($C583,$P:$P,0),1)+$G583,""),AND($B583&lt;&gt;"",$D583="COST"),$G583,TRUE,)</f>
        <v/>
      </c>
      <c r="J583" s="134" t="str">
        <f t="shared" si="589"/>
        <v/>
      </c>
      <c r="K583" s="219" t="str">
        <f t="shared" si="3"/>
        <v>GDF SUEZ</v>
      </c>
      <c r="L583" s="150">
        <f t="shared" si="4"/>
        <v>0</v>
      </c>
      <c r="M583" s="150">
        <f t="shared" si="5"/>
        <v>123.37</v>
      </c>
      <c r="N583" s="139" t="str">
        <f t="array" ref="N583">IF($P583&lt;&gt;"",IF(MAXIFS(Investment!$L:$L,Investment!$D:$D,LEFT($P583,40)&amp;"*"),MAXIFS(Investment!$L:$L,Investment!$D:$D,LEFT($P583,40)&amp;"*"),IFERROR(INDEX(Selection!$H:$H, MATCH($P583,Selection!$F:$F,0))/IF(OR(INDEX(Selection!$C:$C, MATCH($P583,Selection!$F:$F,0))="LN",INDEX(Selection!$C:$C, MATCH($P583,Selection!$F:$F,0))="US"),Investment!$K$7,1),"")),"")</f>
        <v/>
      </c>
      <c r="O583" s="144" t="str">
        <f>IF($P583&lt;&gt;"",IF(MAXIFS(Investment!$AG:$AG,Investment!$D:$D,LEFT($P583,40)&amp;"*"),MAXIFS(Investment!$AG:$AG,Investment!$D:$D,LEFT($P583,40)&amp;"*"),""),"")</f>
        <v/>
      </c>
      <c r="P583" s="328"/>
      <c r="R583" s="53"/>
    </row>
    <row r="584">
      <c r="A584" s="125">
        <v>41122.0</v>
      </c>
      <c r="C584" s="49" t="s">
        <v>1515</v>
      </c>
      <c r="D584" s="56" t="s">
        <v>245</v>
      </c>
      <c r="E584" s="32">
        <v>-70.0</v>
      </c>
      <c r="F584" s="218">
        <v>16.67</v>
      </c>
      <c r="G584" s="132">
        <v>1165.5</v>
      </c>
      <c r="H584" s="353" t="str">
        <f t="shared" si="497"/>
        <v>EDF@SELL@-70@1165.5</v>
      </c>
      <c r="I584" s="134" t="str">
        <f t="shared" ref="I584:J584" si="590">IFS(AND($B584&lt;&gt;"",$E584&lt;&gt;""),IF(INDEX(N:N,MATCH($C584,$P:$P,0),1)&lt;&gt;"",$E584*INDEX(N:N,MATCH($C584,$P:$P,0),1)+$G584,""),AND($B584&lt;&gt;"",$D584="COST"),$G584,TRUE,)</f>
        <v/>
      </c>
      <c r="J584" s="134" t="str">
        <f t="shared" si="590"/>
        <v/>
      </c>
      <c r="K584" s="219" t="str">
        <f t="shared" si="3"/>
        <v>EDF</v>
      </c>
      <c r="L584" s="150">
        <f t="shared" si="4"/>
        <v>0</v>
      </c>
      <c r="M584" s="150">
        <f t="shared" si="5"/>
        <v>1451.96</v>
      </c>
      <c r="N584" s="139" t="str">
        <f t="array" ref="N584">IF($P584&lt;&gt;"",IF(MAXIFS(Investment!$L:$L,Investment!$D:$D,LEFT($P584,40)&amp;"*"),MAXIFS(Investment!$L:$L,Investment!$D:$D,LEFT($P584,40)&amp;"*"),IFERROR(INDEX(Selection!$H:$H, MATCH($P584,Selection!$F:$F,0))/IF(OR(INDEX(Selection!$C:$C, MATCH($P584,Selection!$F:$F,0))="LN",INDEX(Selection!$C:$C, MATCH($P584,Selection!$F:$F,0))="US"),Investment!$K$7,1),"")),"")</f>
        <v/>
      </c>
      <c r="O584" s="144" t="str">
        <f>IF($P584&lt;&gt;"",IF(MAXIFS(Investment!$AG:$AG,Investment!$D:$D,LEFT($P584,40)&amp;"*"),MAXIFS(Investment!$AG:$AG,Investment!$D:$D,LEFT($P584,40)&amp;"*"),""),"")</f>
        <v/>
      </c>
      <c r="P584" s="328"/>
      <c r="R584" s="53"/>
    </row>
    <row r="585">
      <c r="A585" s="125">
        <v>41100.0</v>
      </c>
      <c r="C585" s="49" t="s">
        <v>1528</v>
      </c>
      <c r="D585" s="56" t="s">
        <v>245</v>
      </c>
      <c r="E585" s="32">
        <v>-263.0</v>
      </c>
      <c r="F585" s="218">
        <v>15.08</v>
      </c>
      <c r="G585" s="132">
        <v>3962.47</v>
      </c>
      <c r="H585" s="353" t="str">
        <f t="shared" si="497"/>
        <v>VIVENDI@SELL@-263@3962.47</v>
      </c>
      <c r="I585" s="134" t="str">
        <f t="shared" ref="I585:J585" si="591">IFS(AND($B585&lt;&gt;"",$E585&lt;&gt;""),IF(INDEX(N:N,MATCH($C585,$P:$P,0),1)&lt;&gt;"",$E585*INDEX(N:N,MATCH($C585,$P:$P,0),1)+$G585,""),AND($B585&lt;&gt;"",$D585="COST"),$G585,TRUE,)</f>
        <v/>
      </c>
      <c r="J585" s="134" t="str">
        <f t="shared" si="591"/>
        <v/>
      </c>
      <c r="K585" s="219" t="str">
        <f t="shared" si="3"/>
        <v>VIVENDI</v>
      </c>
      <c r="L585" s="150">
        <f t="shared" si="4"/>
        <v>0</v>
      </c>
      <c r="M585" s="150">
        <f t="shared" si="5"/>
        <v>460.31</v>
      </c>
      <c r="N585" s="139" t="str">
        <f t="array" ref="N585">IF($P585&lt;&gt;"",IF(MAXIFS(Investment!$L:$L,Investment!$D:$D,LEFT($P585,40)&amp;"*"),MAXIFS(Investment!$L:$L,Investment!$D:$D,LEFT($P585,40)&amp;"*"),IFERROR(INDEX(Selection!$H:$H, MATCH($P585,Selection!$F:$F,0))/IF(OR(INDEX(Selection!$C:$C, MATCH($P585,Selection!$F:$F,0))="LN",INDEX(Selection!$C:$C, MATCH($P585,Selection!$F:$F,0))="US"),Investment!$K$7,1),"")),"")</f>
        <v/>
      </c>
      <c r="O585" s="144" t="str">
        <f>IF($P585&lt;&gt;"",IF(MAXIFS(Investment!$AG:$AG,Investment!$D:$D,LEFT($P585,40)&amp;"*"),MAXIFS(Investment!$AG:$AG,Investment!$D:$D,LEFT($P585,40)&amp;"*"),""),"")</f>
        <v/>
      </c>
      <c r="P585" s="328"/>
      <c r="R585" s="53"/>
    </row>
    <row r="586">
      <c r="A586" s="125">
        <v>41081.0</v>
      </c>
      <c r="C586" s="343" t="s">
        <v>1526</v>
      </c>
      <c r="D586" s="56" t="s">
        <v>390</v>
      </c>
      <c r="E586" s="32"/>
      <c r="F586" s="218"/>
      <c r="G586" s="132">
        <v>16.32</v>
      </c>
      <c r="H586" s="353" t="str">
        <f t="shared" si="497"/>
        <v>TOTAL SA@DIVIDEND@@16.32</v>
      </c>
      <c r="I586" s="134" t="str">
        <f t="shared" ref="I586:J586" si="592">IFS(AND($B586&lt;&gt;"",$E586&lt;&gt;""),IF(INDEX(N:N,MATCH($C586,$P:$P,0),1)&lt;&gt;"",$E586*INDEX(N:N,MATCH($C586,$P:$P,0),1)+$G586,""),AND($B586&lt;&gt;"",$D586="COST"),$G586,TRUE,)</f>
        <v/>
      </c>
      <c r="J586" s="134" t="str">
        <f t="shared" si="592"/>
        <v/>
      </c>
      <c r="K586" s="219" t="str">
        <f t="shared" si="3"/>
        <v>TOTAL SA</v>
      </c>
      <c r="L586" s="150">
        <f t="shared" si="4"/>
        <v>0</v>
      </c>
      <c r="M586" s="150">
        <f t="shared" si="5"/>
        <v>137.91</v>
      </c>
      <c r="N586" s="139" t="str">
        <f t="array" ref="N586">IF($P586&lt;&gt;"",IF(MAXIFS(Investment!$L:$L,Investment!$D:$D,LEFT($P586,40)&amp;"*"),MAXIFS(Investment!$L:$L,Investment!$D:$D,LEFT($P586,40)&amp;"*"),IFERROR(INDEX(Selection!$H:$H, MATCH($P586,Selection!$F:$F,0))/IF(OR(INDEX(Selection!$C:$C, MATCH($P586,Selection!$F:$F,0))="LN",INDEX(Selection!$C:$C, MATCH($P586,Selection!$F:$F,0))="US"),Investment!$K$7,1),"")),"")</f>
        <v/>
      </c>
      <c r="O586" s="144" t="str">
        <f>IF($P586&lt;&gt;"",IF(MAXIFS(Investment!$AG:$AG,Investment!$D:$D,LEFT($P586,40)&amp;"*"),MAXIFS(Investment!$AG:$AG,Investment!$D:$D,LEFT($P586,40)&amp;"*"),""),"")</f>
        <v/>
      </c>
      <c r="P586" s="328"/>
      <c r="R586" s="53"/>
    </row>
    <row r="587">
      <c r="A587" s="125">
        <v>41073.0</v>
      </c>
      <c r="B587" s="56"/>
      <c r="C587" s="343" t="s">
        <v>1527</v>
      </c>
      <c r="D587" s="56" t="s">
        <v>390</v>
      </c>
      <c r="E587" s="32"/>
      <c r="F587" s="218"/>
      <c r="G587" s="132">
        <v>314.9</v>
      </c>
      <c r="H587" s="353" t="str">
        <f t="shared" si="497"/>
        <v>FRANCE TELECOM@DIVIDEND@@314.9</v>
      </c>
      <c r="I587" s="134" t="str">
        <f t="shared" ref="I587:J587" si="593">IFS(AND($B587&lt;&gt;"",$E587&lt;&gt;""),IF(INDEX(N:N,MATCH($C587,$P:$P,0),1)&lt;&gt;"",$E587*INDEX(N:N,MATCH($C587,$P:$P,0),1)+$G587,""),AND($B587&lt;&gt;"",$D587="COST"),$G587,TRUE,)</f>
        <v/>
      </c>
      <c r="J587" s="134" t="str">
        <f t="shared" si="593"/>
        <v/>
      </c>
      <c r="K587" s="219" t="str">
        <f t="shared" si="3"/>
        <v>FRANCE TELECOM</v>
      </c>
      <c r="L587" s="150">
        <f t="shared" si="4"/>
        <v>0</v>
      </c>
      <c r="M587" s="150">
        <f t="shared" si="5"/>
        <v>1049.82</v>
      </c>
      <c r="N587" s="139" t="str">
        <f t="array" ref="N587">IF($P587&lt;&gt;"",IF(MAXIFS(Investment!$L:$L,Investment!$D:$D,LEFT($P587,40)&amp;"*"),MAXIFS(Investment!$L:$L,Investment!$D:$D,LEFT($P587,40)&amp;"*"),IFERROR(INDEX(Selection!$H:$H, MATCH($P587,Selection!$F:$F,0))/IF(OR(INDEX(Selection!$C:$C, MATCH($P587,Selection!$F:$F,0))="LN",INDEX(Selection!$C:$C, MATCH($P587,Selection!$F:$F,0))="US"),Investment!$K$7,1),"")),"")</f>
        <v/>
      </c>
      <c r="O587" s="144" t="str">
        <f>IF($P587&lt;&gt;"",IF(MAXIFS(Investment!$AG:$AG,Investment!$D:$D,LEFT($P587,40)&amp;"*"),MAXIFS(Investment!$AG:$AG,Investment!$D:$D,LEFT($P587,40)&amp;"*"),""),"")</f>
        <v/>
      </c>
      <c r="P587" s="328"/>
      <c r="R587" s="53"/>
    </row>
    <row r="588">
      <c r="A588" s="125">
        <v>41066.0</v>
      </c>
      <c r="B588" s="56"/>
      <c r="C588" s="343" t="s">
        <v>1515</v>
      </c>
      <c r="D588" s="56" t="s">
        <v>390</v>
      </c>
      <c r="E588" s="32"/>
      <c r="F588" s="218"/>
      <c r="G588" s="132">
        <v>35.14</v>
      </c>
      <c r="H588" s="353" t="str">
        <f t="shared" si="497"/>
        <v>EDF@DIVIDEND@@35.14</v>
      </c>
      <c r="I588" s="134" t="str">
        <f t="shared" ref="I588:J588" si="594">IFS(AND($B588&lt;&gt;"",$E588&lt;&gt;""),IF(INDEX(N:N,MATCH($C588,$P:$P,0),1)&lt;&gt;"",$E588*INDEX(N:N,MATCH($C588,$P:$P,0),1)+$G588,""),AND($B588&lt;&gt;"",$D588="COST"),$G588,TRUE,)</f>
        <v/>
      </c>
      <c r="J588" s="134" t="str">
        <f t="shared" si="594"/>
        <v/>
      </c>
      <c r="K588" s="219" t="str">
        <f t="shared" si="3"/>
        <v>EDF</v>
      </c>
      <c r="L588" s="150">
        <f t="shared" si="4"/>
        <v>0</v>
      </c>
      <c r="M588" s="150">
        <f t="shared" si="5"/>
        <v>1451.96</v>
      </c>
      <c r="N588" s="139" t="str">
        <f t="array" ref="N588">IF($P588&lt;&gt;"",IF(MAXIFS(Investment!$L:$L,Investment!$D:$D,LEFT($P588,40)&amp;"*"),MAXIFS(Investment!$L:$L,Investment!$D:$D,LEFT($P588,40)&amp;"*"),IFERROR(INDEX(Selection!$H:$H, MATCH($P588,Selection!$F:$F,0))/IF(OR(INDEX(Selection!$C:$C, MATCH($P588,Selection!$F:$F,0))="LN",INDEX(Selection!$C:$C, MATCH($P588,Selection!$F:$F,0))="US"),Investment!$K$7,1),"")),"")</f>
        <v/>
      </c>
      <c r="O588" s="144" t="str">
        <f>IF($P588&lt;&gt;"",IF(MAXIFS(Investment!$AG:$AG,Investment!$D:$D,LEFT($P588,40)&amp;"*"),MAXIFS(Investment!$AG:$AG,Investment!$D:$D,LEFT($P588,40)&amp;"*"),""),"")</f>
        <v/>
      </c>
      <c r="P588" s="328"/>
      <c r="R588" s="53"/>
    </row>
    <row r="589">
      <c r="A589" s="125">
        <v>41061.0</v>
      </c>
      <c r="B589" s="56"/>
      <c r="C589" s="343" t="s">
        <v>1528</v>
      </c>
      <c r="D589" s="56" t="s">
        <v>390</v>
      </c>
      <c r="E589" s="32"/>
      <c r="F589" s="218"/>
      <c r="G589" s="132">
        <v>6.5</v>
      </c>
      <c r="H589" s="353" t="str">
        <f t="shared" si="497"/>
        <v>VIVENDI@DIVIDEND@@6.5</v>
      </c>
      <c r="I589" s="134" t="str">
        <f t="shared" ref="I589:J589" si="595">IFS(AND($B589&lt;&gt;"",$E589&lt;&gt;""),IF(INDEX(N:N,MATCH($C589,$P:$P,0),1)&lt;&gt;"",$E589*INDEX(N:N,MATCH($C589,$P:$P,0),1)+$G589,""),AND($B589&lt;&gt;"",$D589="COST"),$G589,TRUE,)</f>
        <v/>
      </c>
      <c r="J589" s="134" t="str">
        <f t="shared" si="595"/>
        <v/>
      </c>
      <c r="K589" s="219" t="str">
        <f t="shared" si="3"/>
        <v>VIVENDI</v>
      </c>
      <c r="L589" s="150">
        <f t="shared" si="4"/>
        <v>0</v>
      </c>
      <c r="M589" s="150">
        <f t="shared" si="5"/>
        <v>460.31</v>
      </c>
      <c r="N589" s="139" t="str">
        <f t="array" ref="N589">IF($P589&lt;&gt;"",IF(MAXIFS(Investment!$L:$L,Investment!$D:$D,LEFT($P589,40)&amp;"*"),MAXIFS(Investment!$L:$L,Investment!$D:$D,LEFT($P589,40)&amp;"*"),IFERROR(INDEX(Selection!$H:$H, MATCH($P589,Selection!$F:$F,0))/IF(OR(INDEX(Selection!$C:$C, MATCH($P589,Selection!$F:$F,0))="LN",INDEX(Selection!$C:$C, MATCH($P589,Selection!$F:$F,0))="US"),Investment!$K$7,1),"")),"")</f>
        <v/>
      </c>
      <c r="O589" s="144" t="str">
        <f>IF($P589&lt;&gt;"",IF(MAXIFS(Investment!$AG:$AG,Investment!$D:$D,LEFT($P589,40)&amp;"*"),MAXIFS(Investment!$AG:$AG,Investment!$D:$D,LEFT($P589,40)&amp;"*"),""),"")</f>
        <v/>
      </c>
      <c r="P589" s="328"/>
      <c r="R589" s="53"/>
    </row>
    <row r="590">
      <c r="A590" s="125">
        <v>41061.0</v>
      </c>
      <c r="B590" s="56"/>
      <c r="C590" s="343" t="s">
        <v>1528</v>
      </c>
      <c r="D590" s="56" t="s">
        <v>390</v>
      </c>
      <c r="E590" s="32">
        <v>-15.0</v>
      </c>
      <c r="F590" s="218">
        <v>0.0</v>
      </c>
      <c r="G590" s="132">
        <v>0.0</v>
      </c>
      <c r="H590" s="353" t="str">
        <f t="shared" si="497"/>
        <v>VIVENDI@DIVIDEND@-15@0</v>
      </c>
      <c r="I590" s="134" t="str">
        <f t="shared" ref="I590:J590" si="596">IFS(AND($B590&lt;&gt;"",$E590&lt;&gt;""),IF(INDEX(N:N,MATCH($C590,$P:$P,0),1)&lt;&gt;"",$E590*INDEX(N:N,MATCH($C590,$P:$P,0),1)+$G590,""),AND($B590&lt;&gt;"",$D590="COST"),$G590,TRUE,)</f>
        <v/>
      </c>
      <c r="J590" s="134" t="str">
        <f t="shared" si="596"/>
        <v/>
      </c>
      <c r="K590" s="219" t="str">
        <f t="shared" si="3"/>
        <v>VIVENDI</v>
      </c>
      <c r="L590" s="150">
        <f t="shared" si="4"/>
        <v>0</v>
      </c>
      <c r="M590" s="150">
        <f t="shared" si="5"/>
        <v>460.31</v>
      </c>
      <c r="N590" s="139" t="str">
        <f t="array" ref="N590">IF($P590&lt;&gt;"",IF(MAXIFS(Investment!$L:$L,Investment!$D:$D,LEFT($P590,40)&amp;"*"),MAXIFS(Investment!$L:$L,Investment!$D:$D,LEFT($P590,40)&amp;"*"),IFERROR(INDEX(Selection!$H:$H, MATCH($P590,Selection!$F:$F,0))/IF(OR(INDEX(Selection!$C:$C, MATCH($P590,Selection!$F:$F,0))="LN",INDEX(Selection!$C:$C, MATCH($P590,Selection!$F:$F,0))="US"),Investment!$K$7,1),"")),"")</f>
        <v/>
      </c>
      <c r="O590" s="144" t="str">
        <f>IF($P590&lt;&gt;"",IF(MAXIFS(Investment!$AG:$AG,Investment!$D:$D,LEFT($P590,40)&amp;"*"),MAXIFS(Investment!$AG:$AG,Investment!$D:$D,LEFT($P590,40)&amp;"*"),""),"")</f>
        <v/>
      </c>
      <c r="P590" s="328"/>
      <c r="R590" s="53"/>
    </row>
    <row r="591">
      <c r="A591" s="125">
        <v>41053.0</v>
      </c>
      <c r="C591" s="49" t="s">
        <v>1524</v>
      </c>
      <c r="D591" s="56" t="s">
        <v>390</v>
      </c>
      <c r="E591" s="32"/>
      <c r="F591" s="218"/>
      <c r="G591" s="132">
        <v>41.75</v>
      </c>
      <c r="H591" s="353" t="str">
        <f t="shared" si="497"/>
        <v>GDF SUEZ@DIVIDEND@@41.75</v>
      </c>
      <c r="I591" s="134" t="str">
        <f t="shared" ref="I591:J591" si="597">IFS(AND($B591&lt;&gt;"",$E591&lt;&gt;""),IF(INDEX(N:N,MATCH($C591,$P:$P,0),1)&lt;&gt;"",$E591*INDEX(N:N,MATCH($C591,$P:$P,0),1)+$G591,""),AND($B591&lt;&gt;"",$D591="COST"),$G591,TRUE,)</f>
        <v/>
      </c>
      <c r="J591" s="134" t="str">
        <f t="shared" si="597"/>
        <v/>
      </c>
      <c r="K591" s="219" t="str">
        <f t="shared" si="3"/>
        <v>GDF SUEZ</v>
      </c>
      <c r="L591" s="150">
        <f t="shared" si="4"/>
        <v>0</v>
      </c>
      <c r="M591" s="150">
        <f t="shared" si="5"/>
        <v>123.37</v>
      </c>
      <c r="N591" s="139" t="str">
        <f t="array" ref="N591">IF($P591&lt;&gt;"",IF(MAXIFS(Investment!$L:$L,Investment!$D:$D,LEFT($P591,40)&amp;"*"),MAXIFS(Investment!$L:$L,Investment!$D:$D,LEFT($P591,40)&amp;"*"),IFERROR(INDEX(Selection!$H:$H, MATCH($P591,Selection!$F:$F,0))/IF(OR(INDEX(Selection!$C:$C, MATCH($P591,Selection!$F:$F,0))="LN",INDEX(Selection!$C:$C, MATCH($P591,Selection!$F:$F,0))="US"),Investment!$K$7,1),"")),"")</f>
        <v/>
      </c>
      <c r="O591" s="144" t="str">
        <f>IF($P591&lt;&gt;"",IF(MAXIFS(Investment!$AG:$AG,Investment!$D:$D,LEFT($P591,40)&amp;"*"),MAXIFS(Investment!$AG:$AG,Investment!$D:$D,LEFT($P591,40)&amp;"*"),""),"")</f>
        <v/>
      </c>
      <c r="P591" s="328"/>
      <c r="R591" s="53"/>
    </row>
    <row r="592">
      <c r="A592" s="125">
        <v>41050.0</v>
      </c>
      <c r="B592" s="56"/>
      <c r="C592" s="343" t="s">
        <v>1528</v>
      </c>
      <c r="D592" s="56" t="s">
        <v>390</v>
      </c>
      <c r="E592" s="32">
        <v>8.0</v>
      </c>
      <c r="F592" s="218">
        <v>13.2</v>
      </c>
      <c r="G592" s="132">
        <v>0.0</v>
      </c>
      <c r="H592" s="353" t="str">
        <f t="shared" si="497"/>
        <v>VIVENDI@DIVIDEND@8@0</v>
      </c>
      <c r="I592" s="134" t="str">
        <f t="shared" ref="I592:J592" si="598">IFS(AND($B592&lt;&gt;"",$E592&lt;&gt;""),IF(INDEX(N:N,MATCH($C592,$P:$P,0),1)&lt;&gt;"",$E592*INDEX(N:N,MATCH($C592,$P:$P,0),1)+$G592,""),AND($B592&lt;&gt;"",$D592="COST"),$G592,TRUE,)</f>
        <v/>
      </c>
      <c r="J592" s="134" t="str">
        <f t="shared" si="598"/>
        <v/>
      </c>
      <c r="K592" s="219" t="str">
        <f t="shared" si="3"/>
        <v>VIVENDI</v>
      </c>
      <c r="L592" s="150">
        <f t="shared" si="4"/>
        <v>0</v>
      </c>
      <c r="M592" s="150">
        <f t="shared" si="5"/>
        <v>460.31</v>
      </c>
      <c r="N592" s="139" t="str">
        <f t="array" ref="N592">IF($P592&lt;&gt;"",IF(MAXIFS(Investment!$L:$L,Investment!$D:$D,LEFT($P592,40)&amp;"*"),MAXIFS(Investment!$L:$L,Investment!$D:$D,LEFT($P592,40)&amp;"*"),IFERROR(INDEX(Selection!$H:$H, MATCH($P592,Selection!$F:$F,0))/IF(OR(INDEX(Selection!$C:$C, MATCH($P592,Selection!$F:$F,0))="LN",INDEX(Selection!$C:$C, MATCH($P592,Selection!$F:$F,0))="US"),Investment!$K$7,1),"")),"")</f>
        <v/>
      </c>
      <c r="O592" s="144" t="str">
        <f>IF($P592&lt;&gt;"",IF(MAXIFS(Investment!$AG:$AG,Investment!$D:$D,LEFT($P592,40)&amp;"*"),MAXIFS(Investment!$AG:$AG,Investment!$D:$D,LEFT($P592,40)&amp;"*"),""),"")</f>
        <v/>
      </c>
      <c r="P592" s="328"/>
      <c r="R592" s="53"/>
    </row>
    <row r="593">
      <c r="A593" s="125">
        <v>41050.0</v>
      </c>
      <c r="B593" s="56"/>
      <c r="C593" s="343" t="s">
        <v>1528</v>
      </c>
      <c r="D593" s="56" t="s">
        <v>390</v>
      </c>
      <c r="E593" s="32">
        <v>-240.0</v>
      </c>
      <c r="F593" s="218">
        <v>0.0</v>
      </c>
      <c r="G593" s="132">
        <v>0.0</v>
      </c>
      <c r="H593" s="353" t="str">
        <f t="shared" si="497"/>
        <v>VIVENDI@DIVIDEND@-240@0</v>
      </c>
      <c r="I593" s="134" t="str">
        <f t="shared" ref="I593:J593" si="599">IFS(AND($B593&lt;&gt;"",$E593&lt;&gt;""),IF(INDEX(N:N,MATCH($C593,$P:$P,0),1)&lt;&gt;"",$E593*INDEX(N:N,MATCH($C593,$P:$P,0),1)+$G593,""),AND($B593&lt;&gt;"",$D593="COST"),$G593,TRUE,)</f>
        <v/>
      </c>
      <c r="J593" s="134" t="str">
        <f t="shared" si="599"/>
        <v/>
      </c>
      <c r="K593" s="219" t="str">
        <f t="shared" si="3"/>
        <v>VIVENDI</v>
      </c>
      <c r="L593" s="150">
        <f t="shared" si="4"/>
        <v>0</v>
      </c>
      <c r="M593" s="150">
        <f t="shared" si="5"/>
        <v>460.31</v>
      </c>
      <c r="N593" s="139" t="str">
        <f t="array" ref="N593">IF($P593&lt;&gt;"",IF(MAXIFS(Investment!$L:$L,Investment!$D:$D,LEFT($P593,40)&amp;"*"),MAXIFS(Investment!$L:$L,Investment!$D:$D,LEFT($P593,40)&amp;"*"),IFERROR(INDEX(Selection!$H:$H, MATCH($P593,Selection!$F:$F,0))/IF(OR(INDEX(Selection!$C:$C, MATCH($P593,Selection!$F:$F,0))="LN",INDEX(Selection!$C:$C, MATCH($P593,Selection!$F:$F,0))="US"),Investment!$K$7,1),"")),"")</f>
        <v/>
      </c>
      <c r="O593" s="144" t="str">
        <f>IF($P593&lt;&gt;"",IF(MAXIFS(Investment!$AG:$AG,Investment!$D:$D,LEFT($P593,40)&amp;"*"),MAXIFS(Investment!$AG:$AG,Investment!$D:$D,LEFT($P593,40)&amp;"*"),""),"")</f>
        <v/>
      </c>
      <c r="P593" s="328"/>
      <c r="R593" s="53"/>
    </row>
    <row r="594">
      <c r="A594" s="125">
        <v>41038.0</v>
      </c>
      <c r="C594" s="49" t="s">
        <v>1528</v>
      </c>
      <c r="D594" s="56" t="s">
        <v>390</v>
      </c>
      <c r="E594" s="32"/>
      <c r="F594" s="218"/>
      <c r="G594" s="132">
        <v>220.61</v>
      </c>
      <c r="H594" s="353" t="str">
        <f t="shared" si="497"/>
        <v>VIVENDI@DIVIDEND@@220.61</v>
      </c>
      <c r="I594" s="134" t="str">
        <f t="shared" ref="I594:J594" si="600">IFS(AND($B594&lt;&gt;"",$E594&lt;&gt;""),IF(INDEX(N:N,MATCH($C594,$P:$P,0),1)&lt;&gt;"",$E594*INDEX(N:N,MATCH($C594,$P:$P,0),1)+$G594,""),AND($B594&lt;&gt;"",$D594="COST"),$G594,TRUE,)</f>
        <v/>
      </c>
      <c r="J594" s="134" t="str">
        <f t="shared" si="600"/>
        <v/>
      </c>
      <c r="K594" s="219" t="str">
        <f t="shared" si="3"/>
        <v>VIVENDI</v>
      </c>
      <c r="L594" s="150">
        <f t="shared" si="4"/>
        <v>0</v>
      </c>
      <c r="M594" s="150">
        <f t="shared" si="5"/>
        <v>460.31</v>
      </c>
      <c r="N594" s="139" t="str">
        <f t="array" ref="N594">IF($P594&lt;&gt;"",IF(MAXIFS(Investment!$L:$L,Investment!$D:$D,LEFT($P594,40)&amp;"*"),MAXIFS(Investment!$L:$L,Investment!$D:$D,LEFT($P594,40)&amp;"*"),IFERROR(INDEX(Selection!$H:$H, MATCH($P594,Selection!$F:$F,0))/IF(OR(INDEX(Selection!$C:$C, MATCH($P594,Selection!$F:$F,0))="LN",INDEX(Selection!$C:$C, MATCH($P594,Selection!$F:$F,0))="US"),Investment!$K$7,1),"")),"")</f>
        <v/>
      </c>
      <c r="O594" s="144" t="str">
        <f>IF($P594&lt;&gt;"",IF(MAXIFS(Investment!$AG:$AG,Investment!$D:$D,LEFT($P594,40)&amp;"*"),MAXIFS(Investment!$AG:$AG,Investment!$D:$D,LEFT($P594,40)&amp;"*"),""),"")</f>
        <v/>
      </c>
      <c r="P594" s="328"/>
      <c r="R594" s="53"/>
    </row>
    <row r="595">
      <c r="A595" s="125">
        <v>41038.0</v>
      </c>
      <c r="B595" s="56"/>
      <c r="C595" s="343" t="s">
        <v>1528</v>
      </c>
      <c r="D595" s="56" t="s">
        <v>390</v>
      </c>
      <c r="E595" s="32">
        <v>255.0</v>
      </c>
      <c r="F595" s="218">
        <v>0.0</v>
      </c>
      <c r="G595" s="132">
        <v>0.0</v>
      </c>
      <c r="H595" s="353" t="str">
        <f t="shared" si="497"/>
        <v>VIVENDI@DIVIDEND@255@0</v>
      </c>
      <c r="I595" s="134" t="str">
        <f t="shared" ref="I595:J595" si="601">IFS(AND($B595&lt;&gt;"",$E595&lt;&gt;""),IF(INDEX(N:N,MATCH($C595,$P:$P,0),1)&lt;&gt;"",$E595*INDEX(N:N,MATCH($C595,$P:$P,0),1)+$G595,""),AND($B595&lt;&gt;"",$D595="COST"),$G595,TRUE,)</f>
        <v/>
      </c>
      <c r="J595" s="134" t="str">
        <f t="shared" si="601"/>
        <v/>
      </c>
      <c r="K595" s="219" t="str">
        <f t="shared" si="3"/>
        <v>VIVENDI</v>
      </c>
      <c r="L595" s="150">
        <f t="shared" si="4"/>
        <v>0</v>
      </c>
      <c r="M595" s="150">
        <f t="shared" si="5"/>
        <v>460.31</v>
      </c>
      <c r="N595" s="139" t="str">
        <f t="array" ref="N595">IF($P595&lt;&gt;"",IF(MAXIFS(Investment!$L:$L,Investment!$D:$D,LEFT($P595,40)&amp;"*"),MAXIFS(Investment!$L:$L,Investment!$D:$D,LEFT($P595,40)&amp;"*"),IFERROR(INDEX(Selection!$H:$H, MATCH($P595,Selection!$F:$F,0))/IF(OR(INDEX(Selection!$C:$C, MATCH($P595,Selection!$F:$F,0))="LN",INDEX(Selection!$C:$C, MATCH($P595,Selection!$F:$F,0))="US"),Investment!$K$7,1),"")),"")</f>
        <v/>
      </c>
      <c r="O595" s="144" t="str">
        <f>IF($P595&lt;&gt;"",IF(MAXIFS(Investment!$AG:$AG,Investment!$D:$D,LEFT($P595,40)&amp;"*"),MAXIFS(Investment!$AG:$AG,Investment!$D:$D,LEFT($P595,40)&amp;"*"),""),"")</f>
        <v/>
      </c>
      <c r="P595" s="328"/>
      <c r="R595" s="53"/>
    </row>
    <row r="596">
      <c r="A596" s="125">
        <v>41033.0</v>
      </c>
      <c r="C596" s="49" t="s">
        <v>1516</v>
      </c>
      <c r="D596" s="56" t="s">
        <v>390</v>
      </c>
      <c r="E596" s="32"/>
      <c r="F596" s="218"/>
      <c r="G596" s="132">
        <v>96.91</v>
      </c>
      <c r="H596" s="353" t="str">
        <f t="shared" si="497"/>
        <v>BOUYGUES@DIVIDEND@@96.91</v>
      </c>
      <c r="I596" s="134" t="str">
        <f t="shared" ref="I596:J596" si="602">IFS(AND($B596&lt;&gt;"",$E596&lt;&gt;""),IF(INDEX(N:N,MATCH($C596,$P:$P,0),1)&lt;&gt;"",$E596*INDEX(N:N,MATCH($C596,$P:$P,0),1)+$G596,""),AND($B596&lt;&gt;"",$D596="COST"),$G596,TRUE,)</f>
        <v/>
      </c>
      <c r="J596" s="134" t="str">
        <f t="shared" si="602"/>
        <v/>
      </c>
      <c r="K596" s="219" t="str">
        <f t="shared" si="3"/>
        <v>BOUYGUES</v>
      </c>
      <c r="L596" s="150">
        <f t="shared" si="4"/>
        <v>0</v>
      </c>
      <c r="M596" s="150">
        <f t="shared" si="5"/>
        <v>1091.52</v>
      </c>
      <c r="N596" s="139" t="str">
        <f t="array" ref="N596">IF($P596&lt;&gt;"",IF(MAXIFS(Investment!$L:$L,Investment!$D:$D,LEFT($P596,40)&amp;"*"),MAXIFS(Investment!$L:$L,Investment!$D:$D,LEFT($P596,40)&amp;"*"),IFERROR(INDEX(Selection!$H:$H, MATCH($P596,Selection!$F:$F,0))/IF(OR(INDEX(Selection!$C:$C, MATCH($P596,Selection!$F:$F,0))="LN",INDEX(Selection!$C:$C, MATCH($P596,Selection!$F:$F,0))="US"),Investment!$K$7,1),"")),"")</f>
        <v/>
      </c>
      <c r="O596" s="144" t="str">
        <f>IF($P596&lt;&gt;"",IF(MAXIFS(Investment!$AG:$AG,Investment!$D:$D,LEFT($P596,40)&amp;"*"),MAXIFS(Investment!$AG:$AG,Investment!$D:$D,LEFT($P596,40)&amp;"*"),""),"")</f>
        <v/>
      </c>
      <c r="P596" s="328"/>
      <c r="R596" s="53"/>
    </row>
    <row r="597">
      <c r="A597" s="125">
        <v>41025.0</v>
      </c>
      <c r="C597" s="343" t="s">
        <v>1526</v>
      </c>
      <c r="D597" s="56" t="s">
        <v>222</v>
      </c>
      <c r="E597" s="32">
        <v>33.0</v>
      </c>
      <c r="F597" s="218">
        <v>36.5</v>
      </c>
      <c r="G597" s="132">
        <v>-1205.42</v>
      </c>
      <c r="H597" s="353" t="str">
        <f t="shared" si="497"/>
        <v>TOTAL SA@BUY@33@-1205.42</v>
      </c>
      <c r="I597" s="134" t="str">
        <f t="shared" ref="I597:J597" si="603">IFS(AND($B597&lt;&gt;"",$E597&lt;&gt;""),IF(INDEX(N:N,MATCH($C597,$P:$P,0),1)&lt;&gt;"",$E597*INDEX(N:N,MATCH($C597,$P:$P,0),1)+$G597,""),AND($B597&lt;&gt;"",$D597="COST"),$G597,TRUE,)</f>
        <v/>
      </c>
      <c r="J597" s="134" t="str">
        <f t="shared" si="603"/>
        <v/>
      </c>
      <c r="K597" s="219" t="str">
        <f t="shared" si="3"/>
        <v>TOTAL SA</v>
      </c>
      <c r="L597" s="150">
        <f t="shared" si="4"/>
        <v>0</v>
      </c>
      <c r="M597" s="150">
        <f t="shared" si="5"/>
        <v>137.91</v>
      </c>
      <c r="N597" s="139" t="str">
        <f t="array" ref="N597">IF($P597&lt;&gt;"",IF(MAXIFS(Investment!$L:$L,Investment!$D:$D,LEFT($P597,40)&amp;"*"),MAXIFS(Investment!$L:$L,Investment!$D:$D,LEFT($P597,40)&amp;"*"),IFERROR(INDEX(Selection!$H:$H, MATCH($P597,Selection!$F:$F,0))/IF(OR(INDEX(Selection!$C:$C, MATCH($P597,Selection!$F:$F,0))="LN",INDEX(Selection!$C:$C, MATCH($P597,Selection!$F:$F,0))="US"),Investment!$K$7,1),"")),"")</f>
        <v/>
      </c>
      <c r="O597" s="144" t="str">
        <f>IF($P597&lt;&gt;"",IF(MAXIFS(Investment!$AG:$AG,Investment!$D:$D,LEFT($P597,40)&amp;"*"),MAXIFS(Investment!$AG:$AG,Investment!$D:$D,LEFT($P597,40)&amp;"*"),""),"")</f>
        <v/>
      </c>
      <c r="P597" s="353"/>
      <c r="R597" s="307"/>
    </row>
    <row r="598">
      <c r="A598" s="125">
        <v>41025.0</v>
      </c>
      <c r="C598" s="49" t="s">
        <v>1529</v>
      </c>
      <c r="D598" s="56" t="s">
        <v>245</v>
      </c>
      <c r="E598" s="32">
        <v>-135.0</v>
      </c>
      <c r="F598" s="218">
        <v>9.03</v>
      </c>
      <c r="G598" s="132">
        <v>1218.49</v>
      </c>
      <c r="H598" s="353" t="str">
        <f t="shared" si="497"/>
        <v>PEUGEOT@SELL@-135@1218.49</v>
      </c>
      <c r="I598" s="134" t="str">
        <f t="shared" ref="I598:J598" si="604">IFS(AND($B598&lt;&gt;"",$E598&lt;&gt;""),IF(INDEX(N:N,MATCH($C598,$P:$P,0),1)&lt;&gt;"",$E598*INDEX(N:N,MATCH($C598,$P:$P,0),1)+$G598,""),AND($B598&lt;&gt;"",$D598="COST"),$G598,TRUE,)</f>
        <v/>
      </c>
      <c r="J598" s="134" t="str">
        <f t="shared" si="604"/>
        <v/>
      </c>
      <c r="K598" s="219" t="str">
        <f t="shared" si="3"/>
        <v>PEUGEOT</v>
      </c>
      <c r="L598" s="150">
        <f t="shared" si="4"/>
        <v>0</v>
      </c>
      <c r="M598" s="150">
        <f t="shared" si="5"/>
        <v>-532.01</v>
      </c>
      <c r="N598" s="139" t="str">
        <f t="array" ref="N598">IF($P598&lt;&gt;"",IF(MAXIFS(Investment!$L:$L,Investment!$D:$D,LEFT($P598,40)&amp;"*"),MAXIFS(Investment!$L:$L,Investment!$D:$D,LEFT($P598,40)&amp;"*"),IFERROR(INDEX(Selection!$H:$H, MATCH($P598,Selection!$F:$F,0))/IF(OR(INDEX(Selection!$C:$C, MATCH($P598,Selection!$F:$F,0))="LN",INDEX(Selection!$C:$C, MATCH($P598,Selection!$F:$F,0))="US"),Investment!$K$7,1),"")),"")</f>
        <v/>
      </c>
      <c r="O598" s="144" t="str">
        <f>IF($P598&lt;&gt;"",IF(MAXIFS(Investment!$AG:$AG,Investment!$D:$D,LEFT($P598,40)&amp;"*"),MAXIFS(Investment!$AG:$AG,Investment!$D:$D,LEFT($P598,40)&amp;"*"),""),"")</f>
        <v/>
      </c>
      <c r="P598" s="328"/>
      <c r="R598" s="53"/>
    </row>
    <row r="599">
      <c r="A599" s="125">
        <v>41024.0</v>
      </c>
      <c r="B599" s="56"/>
      <c r="C599" s="343" t="s">
        <v>1524</v>
      </c>
      <c r="D599" s="361" t="s">
        <v>390</v>
      </c>
      <c r="E599" s="32">
        <v>2.0</v>
      </c>
      <c r="F599" s="218">
        <v>16.43</v>
      </c>
      <c r="G599" s="132">
        <v>0.0</v>
      </c>
      <c r="H599" s="353" t="str">
        <f t="shared" si="497"/>
        <v>GDF SUEZ@DIVIDEND@2@0</v>
      </c>
      <c r="I599" s="134" t="str">
        <f t="shared" ref="I599:J599" si="605">IFS(AND($B599&lt;&gt;"",$E599&lt;&gt;""),IF(INDEX(N:N,MATCH($C599,$P:$P,0),1)&lt;&gt;"",$E599*INDEX(N:N,MATCH($C599,$P:$P,0),1)+$G599,""),AND($B599&lt;&gt;"",$D599="COST"),$G599,TRUE,)</f>
        <v/>
      </c>
      <c r="J599" s="134" t="str">
        <f t="shared" si="605"/>
        <v/>
      </c>
      <c r="K599" s="219" t="str">
        <f t="shared" si="3"/>
        <v>GDF SUEZ</v>
      </c>
      <c r="L599" s="150">
        <f t="shared" si="4"/>
        <v>0</v>
      </c>
      <c r="M599" s="150">
        <f t="shared" si="5"/>
        <v>123.37</v>
      </c>
      <c r="N599" s="139" t="str">
        <f t="array" ref="N599">IF($P599&lt;&gt;"",IF(MAXIFS(Investment!$L:$L,Investment!$D:$D,LEFT($P599,40)&amp;"*"),MAXIFS(Investment!$L:$L,Investment!$D:$D,LEFT($P599,40)&amp;"*"),IFERROR(INDEX(Selection!$H:$H, MATCH($P599,Selection!$F:$F,0))/IF(OR(INDEX(Selection!$C:$C, MATCH($P599,Selection!$F:$F,0))="LN",INDEX(Selection!$C:$C, MATCH($P599,Selection!$F:$F,0))="US"),Investment!$K$7,1),"")),"")</f>
        <v/>
      </c>
      <c r="O599" s="144" t="str">
        <f>IF($P599&lt;&gt;"",IF(MAXIFS(Investment!$AG:$AG,Investment!$D:$D,LEFT($P599,40)&amp;"*"),MAXIFS(Investment!$AG:$AG,Investment!$D:$D,LEFT($P599,40)&amp;"*"),""),"")</f>
        <v/>
      </c>
      <c r="P599" s="328"/>
      <c r="R599" s="53"/>
    </row>
    <row r="600">
      <c r="A600" s="125">
        <v>41024.0</v>
      </c>
      <c r="B600" s="56"/>
      <c r="C600" s="343" t="s">
        <v>1528</v>
      </c>
      <c r="D600" s="361" t="s">
        <v>390</v>
      </c>
      <c r="E600" s="32"/>
      <c r="F600" s="218"/>
      <c r="G600" s="132">
        <v>-32.86</v>
      </c>
      <c r="H600" s="353" t="str">
        <f t="shared" si="497"/>
        <v>VIVENDI@DIVIDEND@@-32.86</v>
      </c>
      <c r="I600" s="134" t="str">
        <f t="shared" ref="I600:J600" si="606">IFS(AND($B600&lt;&gt;"",$E600&lt;&gt;""),IF(INDEX(N:N,MATCH($C600,$P:$P,0),1)&lt;&gt;"",$E600*INDEX(N:N,MATCH($C600,$P:$P,0),1)+$G600,""),AND($B600&lt;&gt;"",$D600="COST"),$G600,TRUE,)</f>
        <v/>
      </c>
      <c r="J600" s="134" t="str">
        <f t="shared" si="606"/>
        <v/>
      </c>
      <c r="K600" s="219" t="str">
        <f t="shared" si="3"/>
        <v>VIVENDI</v>
      </c>
      <c r="L600" s="150">
        <f t="shared" si="4"/>
        <v>0</v>
      </c>
      <c r="M600" s="150">
        <f t="shared" si="5"/>
        <v>460.31</v>
      </c>
      <c r="N600" s="139" t="str">
        <f t="array" ref="N600">IF($P600&lt;&gt;"",IF(MAXIFS(Investment!$L:$L,Investment!$D:$D,LEFT($P600,40)&amp;"*"),MAXIFS(Investment!$L:$L,Investment!$D:$D,LEFT($P600,40)&amp;"*"),IFERROR(INDEX(Selection!$H:$H, MATCH($P600,Selection!$F:$F,0))/IF(OR(INDEX(Selection!$C:$C, MATCH($P600,Selection!$F:$F,0))="LN",INDEX(Selection!$C:$C, MATCH($P600,Selection!$F:$F,0))="US"),Investment!$K$7,1),"")),"")</f>
        <v/>
      </c>
      <c r="O600" s="144" t="str">
        <f>IF($P600&lt;&gt;"",IF(MAXIFS(Investment!$AG:$AG,Investment!$D:$D,LEFT($P600,40)&amp;"*"),MAXIFS(Investment!$AG:$AG,Investment!$D:$D,LEFT($P600,40)&amp;"*"),""),"")</f>
        <v/>
      </c>
      <c r="P600" s="328"/>
      <c r="R600" s="53"/>
    </row>
    <row r="601">
      <c r="A601" s="125">
        <v>41004.0</v>
      </c>
      <c r="C601" s="49" t="s">
        <v>1516</v>
      </c>
      <c r="D601" s="56" t="s">
        <v>222</v>
      </c>
      <c r="E601" s="32">
        <v>70.0</v>
      </c>
      <c r="F601" s="218">
        <v>21.5</v>
      </c>
      <c r="G601" s="132">
        <v>-1506.35</v>
      </c>
      <c r="H601" s="353" t="str">
        <f t="shared" si="497"/>
        <v>BOUYGUES@BUY@70@-1506.35</v>
      </c>
      <c r="I601" s="134" t="str">
        <f t="shared" ref="I601:J601" si="607">IFS(AND($B601&lt;&gt;"",$E601&lt;&gt;""),IF(INDEX(N:N,MATCH($C601,$P:$P,0),1)&lt;&gt;"",$E601*INDEX(N:N,MATCH($C601,$P:$P,0),1)+$G601,""),AND($B601&lt;&gt;"",$D601="COST"),$G601,TRUE,)</f>
        <v/>
      </c>
      <c r="J601" s="134" t="str">
        <f t="shared" si="607"/>
        <v/>
      </c>
      <c r="K601" s="219" t="str">
        <f t="shared" si="3"/>
        <v>BOUYGUES</v>
      </c>
      <c r="L601" s="150">
        <f t="shared" si="4"/>
        <v>0</v>
      </c>
      <c r="M601" s="150">
        <f t="shared" si="5"/>
        <v>1091.52</v>
      </c>
      <c r="N601" s="139" t="str">
        <f t="array" ref="N601">IF($P601&lt;&gt;"",IF(MAXIFS(Investment!$L:$L,Investment!$D:$D,LEFT($P601,40)&amp;"*"),MAXIFS(Investment!$L:$L,Investment!$D:$D,LEFT($P601,40)&amp;"*"),IFERROR(INDEX(Selection!$H:$H, MATCH($P601,Selection!$F:$F,0))/IF(OR(INDEX(Selection!$C:$C, MATCH($P601,Selection!$F:$F,0))="LN",INDEX(Selection!$C:$C, MATCH($P601,Selection!$F:$F,0))="US"),Investment!$K$7,1),"")),"")</f>
        <v/>
      </c>
      <c r="O601" s="144" t="str">
        <f>IF($P601&lt;&gt;"",IF(MAXIFS(Investment!$AG:$AG,Investment!$D:$D,LEFT($P601,40)&amp;"*"),MAXIFS(Investment!$AG:$AG,Investment!$D:$D,LEFT($P601,40)&amp;"*"),""),"")</f>
        <v/>
      </c>
      <c r="P601" s="328"/>
      <c r="R601" s="53"/>
    </row>
    <row r="602">
      <c r="A602" s="125">
        <v>41002.0</v>
      </c>
      <c r="B602" s="161"/>
      <c r="C602" s="228"/>
      <c r="D602" s="56" t="s">
        <v>268</v>
      </c>
      <c r="E602" s="161"/>
      <c r="F602" s="218"/>
      <c r="G602" s="132">
        <v>1520.0</v>
      </c>
      <c r="H602" s="353" t="str">
        <f t="shared" si="497"/>
        <v>@APPROVISIONNEMENT@@1520</v>
      </c>
      <c r="I602" s="134" t="str">
        <f t="shared" ref="I602:J602" si="608">IFS(AND($B602&lt;&gt;"",$E602&lt;&gt;""),IF(INDEX(N:N,MATCH($C602,$P:$P,0),1)&lt;&gt;"",$E602*INDEX(N:N,MATCH($C602,$P:$P,0),1)+$G602,""),AND($B602&lt;&gt;"",$D602="COST"),$G602,TRUE,)</f>
        <v/>
      </c>
      <c r="J602" s="134" t="str">
        <f t="shared" si="608"/>
        <v/>
      </c>
      <c r="K602" s="219" t="str">
        <f t="shared" si="3"/>
        <v/>
      </c>
      <c r="L602" s="150" t="str">
        <f t="shared" si="4"/>
        <v/>
      </c>
      <c r="M602" s="150" t="str">
        <f t="shared" si="5"/>
        <v/>
      </c>
      <c r="N602" s="139" t="str">
        <f t="array" ref="N602">IF($P602&lt;&gt;"",IF(MAXIFS(Investment!$L:$L,Investment!$D:$D,LEFT($P602,40)&amp;"*"),MAXIFS(Investment!$L:$L,Investment!$D:$D,LEFT($P602,40)&amp;"*"),IFERROR(INDEX(Selection!$H:$H, MATCH($P602,Selection!$F:$F,0))/IF(OR(INDEX(Selection!$C:$C, MATCH($P602,Selection!$F:$F,0))="LN",INDEX(Selection!$C:$C, MATCH($P602,Selection!$F:$F,0))="US"),Investment!$K$7,1),"")),"")</f>
        <v/>
      </c>
      <c r="O602" s="144" t="str">
        <f>IF($P602&lt;&gt;"",IF(MAXIFS(Investment!$AG:$AG,Investment!$D:$D,LEFT($P602,40)&amp;"*"),MAXIFS(Investment!$AG:$AG,Investment!$D:$D,LEFT($P602,40)&amp;"*"),""),"")</f>
        <v/>
      </c>
      <c r="P602" s="49"/>
    </row>
    <row r="603">
      <c r="A603" s="125">
        <v>40987.0</v>
      </c>
      <c r="C603" s="49" t="s">
        <v>1524</v>
      </c>
      <c r="D603" s="56" t="s">
        <v>222</v>
      </c>
      <c r="E603" s="32">
        <v>72.0</v>
      </c>
      <c r="F603" s="218">
        <v>19.86</v>
      </c>
      <c r="G603" s="132">
        <v>-1430.85</v>
      </c>
      <c r="H603" s="353" t="str">
        <f t="shared" si="497"/>
        <v>GDF SUEZ@BUY@72@-1430.85</v>
      </c>
      <c r="I603" s="134" t="str">
        <f t="shared" ref="I603:J603" si="609">IFS(AND($B603&lt;&gt;"",$E603&lt;&gt;""),IF(INDEX(N:N,MATCH($C603,$P:$P,0),1)&lt;&gt;"",$E603*INDEX(N:N,MATCH($C603,$P:$P,0),1)+$G603,""),AND($B603&lt;&gt;"",$D603="COST"),$G603,TRUE,)</f>
        <v/>
      </c>
      <c r="J603" s="134" t="str">
        <f t="shared" si="609"/>
        <v/>
      </c>
      <c r="K603" s="219" t="str">
        <f t="shared" si="3"/>
        <v>GDF SUEZ</v>
      </c>
      <c r="L603" s="150">
        <f t="shared" si="4"/>
        <v>0</v>
      </c>
      <c r="M603" s="150">
        <f t="shared" si="5"/>
        <v>123.37</v>
      </c>
      <c r="N603" s="139" t="str">
        <f t="array" ref="N603">IF($P603&lt;&gt;"",IF(MAXIFS(Investment!$L:$L,Investment!$D:$D,LEFT($P603,40)&amp;"*"),MAXIFS(Investment!$L:$L,Investment!$D:$D,LEFT($P603,40)&amp;"*"),IFERROR(INDEX(Selection!$H:$H, MATCH($P603,Selection!$F:$F,0))/IF(OR(INDEX(Selection!$C:$C, MATCH($P603,Selection!$F:$F,0))="LN",INDEX(Selection!$C:$C, MATCH($P603,Selection!$F:$F,0))="US"),Investment!$K$7,1),"")),"")</f>
        <v/>
      </c>
      <c r="O603" s="144" t="str">
        <f>IF($P603&lt;&gt;"",IF(MAXIFS(Investment!$AG:$AG,Investment!$D:$D,LEFT($P603,40)&amp;"*"),MAXIFS(Investment!$AG:$AG,Investment!$D:$D,LEFT($P603,40)&amp;"*"),""),"")</f>
        <v/>
      </c>
      <c r="P603" s="328"/>
      <c r="R603" s="53"/>
    </row>
    <row r="604">
      <c r="A604" s="125">
        <v>40983.0</v>
      </c>
      <c r="B604" s="367"/>
      <c r="C604" s="368" t="s">
        <v>1529</v>
      </c>
      <c r="D604" s="369" t="s">
        <v>222</v>
      </c>
      <c r="E604" s="32">
        <v>135.0</v>
      </c>
      <c r="F604" s="218">
        <v>12.96</v>
      </c>
      <c r="G604" s="132">
        <v>-1750.5</v>
      </c>
      <c r="H604" s="353"/>
      <c r="I604" s="134" t="str">
        <f t="shared" ref="I604:J604" si="610">IFS(AND($B604&lt;&gt;"",$E604&lt;&gt;""),IF(INDEX(N:N,MATCH($C604,$P:$P,0),1)&lt;&gt;"",$E604*INDEX(N:N,MATCH($C604,$P:$P,0),1)+$G604,""),AND($B604&lt;&gt;"",$D604="COST"),$G604,TRUE,)</f>
        <v/>
      </c>
      <c r="J604" s="134" t="str">
        <f t="shared" si="610"/>
        <v/>
      </c>
      <c r="K604" s="219" t="str">
        <f t="shared" si="3"/>
        <v>PEUGEOT</v>
      </c>
      <c r="L604" s="150">
        <f t="shared" si="4"/>
        <v>0</v>
      </c>
      <c r="M604" s="150">
        <f t="shared" si="5"/>
        <v>-532.01</v>
      </c>
      <c r="N604" s="139" t="str">
        <f t="array" ref="N604">IF($P604&lt;&gt;"",IF(MAXIFS(Investment!$L:$L,Investment!$D:$D,LEFT($P604,40)&amp;"*"),MAXIFS(Investment!$L:$L,Investment!$D:$D,LEFT($P604,40)&amp;"*"),IFERROR(INDEX(Selection!$H:$H, MATCH($P604,Selection!$F:$F,0))/IF(OR(INDEX(Selection!$C:$C, MATCH($P604,Selection!$F:$F,0))="LN",INDEX(Selection!$C:$C, MATCH($P604,Selection!$F:$F,0))="US"),Investment!$K$7,1),"")),"")</f>
        <v/>
      </c>
      <c r="O604" s="144" t="str">
        <f>IF($P604&lt;&gt;"",IF(MAXIFS(Investment!$AG:$AG,Investment!$D:$D,LEFT($P604,40)&amp;"*"),MAXIFS(Investment!$AG:$AG,Investment!$D:$D,LEFT($P604,40)&amp;"*"),""),"")</f>
        <v/>
      </c>
      <c r="P604" s="328"/>
      <c r="R604" s="53"/>
    </row>
    <row r="605">
      <c r="A605" s="125">
        <v>40983.0</v>
      </c>
      <c r="C605" s="49" t="s">
        <v>1527</v>
      </c>
      <c r="D605" s="56" t="s">
        <v>222</v>
      </c>
      <c r="E605" s="32">
        <v>110.0</v>
      </c>
      <c r="F605" s="218">
        <v>11.24</v>
      </c>
      <c r="G605" s="132">
        <v>-1236.96</v>
      </c>
      <c r="H605" s="353" t="str">
        <f t="shared" ref="H605:H621" si="612">IF(D605&lt;&gt;"",C605 &amp; "@" &amp; D605 &amp; "@" &amp; E605 &amp; "@" &amp; G605,"")</f>
        <v>FRANCE TELECOM@BUY@110@-1236.96</v>
      </c>
      <c r="I605" s="134" t="str">
        <f t="shared" ref="I605:J605" si="611">IFS(AND($B605&lt;&gt;"",$E605&lt;&gt;""),IF(INDEX(N:N,MATCH($C605,$P:$P,0),1)&lt;&gt;"",$E605*INDEX(N:N,MATCH($C605,$P:$P,0),1)+$G605,""),AND($B605&lt;&gt;"",$D605="COST"),$G605,TRUE,)</f>
        <v/>
      </c>
      <c r="J605" s="134" t="str">
        <f t="shared" si="611"/>
        <v/>
      </c>
      <c r="K605" s="219" t="str">
        <f t="shared" si="3"/>
        <v>FRANCE TELECOM</v>
      </c>
      <c r="L605" s="150">
        <f t="shared" si="4"/>
        <v>0</v>
      </c>
      <c r="M605" s="150">
        <f t="shared" si="5"/>
        <v>1049.82</v>
      </c>
      <c r="N605" s="139" t="str">
        <f t="array" ref="N605">IF($P605&lt;&gt;"",IF(MAXIFS(Investment!$L:$L,Investment!$D:$D,LEFT($P605,40)&amp;"*"),MAXIFS(Investment!$L:$L,Investment!$D:$D,LEFT($P605,40)&amp;"*"),IFERROR(INDEX(Selection!$H:$H, MATCH($P605,Selection!$F:$F,0))/IF(OR(INDEX(Selection!$C:$C, MATCH($P605,Selection!$F:$F,0))="LN",INDEX(Selection!$C:$C, MATCH($P605,Selection!$F:$F,0))="US"),Investment!$K$7,1),"")),"")</f>
        <v/>
      </c>
      <c r="O605" s="144" t="str">
        <f>IF($P605&lt;&gt;"",IF(MAXIFS(Investment!$AG:$AG,Investment!$D:$D,LEFT($P605,40)&amp;"*"),MAXIFS(Investment!$AG:$AG,Investment!$D:$D,LEFT($P605,40)&amp;"*"),""),"")</f>
        <v/>
      </c>
      <c r="P605" s="328"/>
      <c r="R605" s="53"/>
    </row>
    <row r="606">
      <c r="A606" s="125">
        <v>40983.0</v>
      </c>
      <c r="C606" s="49" t="s">
        <v>1530</v>
      </c>
      <c r="D606" s="56" t="s">
        <v>245</v>
      </c>
      <c r="E606" s="32">
        <v>-445.0</v>
      </c>
      <c r="F606" s="218">
        <v>5.09</v>
      </c>
      <c r="G606" s="132">
        <v>2262.12</v>
      </c>
      <c r="H606" s="353" t="str">
        <f t="shared" si="612"/>
        <v>CREDIT AGRICOLE@SELL@-445@2262.12</v>
      </c>
      <c r="I606" s="134" t="str">
        <f t="shared" ref="I606:J606" si="613">IFS(AND($B606&lt;&gt;"",$E606&lt;&gt;""),IF(INDEX(N:N,MATCH($C606,$P:$P,0),1)&lt;&gt;"",$E606*INDEX(N:N,MATCH($C606,$P:$P,0),1)+$G606,""),AND($B606&lt;&gt;"",$D606="COST"),$G606,TRUE,)</f>
        <v/>
      </c>
      <c r="J606" s="134" t="str">
        <f t="shared" si="613"/>
        <v/>
      </c>
      <c r="K606" s="219" t="str">
        <f t="shared" si="3"/>
        <v>CREDIT AGRICOLE</v>
      </c>
      <c r="L606" s="150">
        <f t="shared" si="4"/>
        <v>0</v>
      </c>
      <c r="M606" s="150">
        <f t="shared" si="5"/>
        <v>173.19</v>
      </c>
      <c r="N606" s="139" t="str">
        <f t="array" ref="N606">IF($P606&lt;&gt;"",IF(MAXIFS(Investment!$L:$L,Investment!$D:$D,LEFT($P606,40)&amp;"*"),MAXIFS(Investment!$L:$L,Investment!$D:$D,LEFT($P606,40)&amp;"*"),IFERROR(INDEX(Selection!$H:$H, MATCH($P606,Selection!$F:$F,0))/IF(OR(INDEX(Selection!$C:$C, MATCH($P606,Selection!$F:$F,0))="LN",INDEX(Selection!$C:$C, MATCH($P606,Selection!$F:$F,0))="US"),Investment!$K$7,1),"")),"")</f>
        <v/>
      </c>
      <c r="O606" s="144" t="str">
        <f>IF($P606&lt;&gt;"",IF(MAXIFS(Investment!$AG:$AG,Investment!$D:$D,LEFT($P606,40)&amp;"*"),MAXIFS(Investment!$AG:$AG,Investment!$D:$D,LEFT($P606,40)&amp;"*"),""),"")</f>
        <v/>
      </c>
      <c r="P606" s="328"/>
      <c r="R606" s="53"/>
    </row>
    <row r="607">
      <c r="A607" s="125">
        <v>40980.0</v>
      </c>
      <c r="B607" s="161"/>
      <c r="C607" s="228"/>
      <c r="D607" s="56" t="s">
        <v>268</v>
      </c>
      <c r="E607" s="161"/>
      <c r="F607" s="218"/>
      <c r="G607" s="132">
        <v>1700.0</v>
      </c>
      <c r="H607" s="353" t="str">
        <f t="shared" si="612"/>
        <v>@APPROVISIONNEMENT@@1700</v>
      </c>
      <c r="I607" s="134" t="str">
        <f t="shared" ref="I607:J607" si="614">IFS(AND($B607&lt;&gt;"",$E607&lt;&gt;""),IF(INDEX(N:N,MATCH($C607,$P:$P,0),1)&lt;&gt;"",$E607*INDEX(N:N,MATCH($C607,$P:$P,0),1)+$G607,""),AND($B607&lt;&gt;"",$D607="COST"),$G607,TRUE,)</f>
        <v/>
      </c>
      <c r="J607" s="134" t="str">
        <f t="shared" si="614"/>
        <v/>
      </c>
      <c r="K607" s="219" t="str">
        <f t="shared" si="3"/>
        <v/>
      </c>
      <c r="L607" s="150" t="str">
        <f t="shared" si="4"/>
        <v/>
      </c>
      <c r="M607" s="150" t="str">
        <f t="shared" si="5"/>
        <v/>
      </c>
      <c r="N607" s="139" t="str">
        <f t="array" ref="N607">IF($P607&lt;&gt;"",IF(MAXIFS(Investment!$L:$L,Investment!$D:$D,LEFT($P607,40)&amp;"*"),MAXIFS(Investment!$L:$L,Investment!$D:$D,LEFT($P607,40)&amp;"*"),IFERROR(INDEX(Selection!$H:$H, MATCH($P607,Selection!$F:$F,0))/IF(OR(INDEX(Selection!$C:$C, MATCH($P607,Selection!$F:$F,0))="LN",INDEX(Selection!$C:$C, MATCH($P607,Selection!$F:$F,0))="US"),Investment!$K$7,1),"")),"")</f>
        <v/>
      </c>
      <c r="O607" s="144" t="str">
        <f>IF($P607&lt;&gt;"",IF(MAXIFS(Investment!$AG:$AG,Investment!$D:$D,LEFT($P607,40)&amp;"*"),MAXIFS(Investment!$AG:$AG,Investment!$D:$D,LEFT($P607,40)&amp;"*"),""),"")</f>
        <v/>
      </c>
      <c r="P607" s="49"/>
    </row>
    <row r="608">
      <c r="A608" s="125">
        <v>40970.0</v>
      </c>
      <c r="C608" s="49" t="s">
        <v>1528</v>
      </c>
      <c r="D608" s="56" t="s">
        <v>222</v>
      </c>
      <c r="E608" s="32">
        <v>100.0</v>
      </c>
      <c r="F608" s="218">
        <v>14.2</v>
      </c>
      <c r="G608" s="132">
        <v>-1421.28</v>
      </c>
      <c r="H608" s="353" t="str">
        <f t="shared" si="612"/>
        <v>VIVENDI@BUY@100@-1421.28</v>
      </c>
      <c r="I608" s="134" t="str">
        <f t="shared" ref="I608:J608" si="615">IFS(AND($B608&lt;&gt;"",$E608&lt;&gt;""),IF(INDEX(N:N,MATCH($C608,$P:$P,0),1)&lt;&gt;"",$E608*INDEX(N:N,MATCH($C608,$P:$P,0),1)+$G608,""),AND($B608&lt;&gt;"",$D608="COST"),$G608,TRUE,)</f>
        <v/>
      </c>
      <c r="J608" s="134" t="str">
        <f t="shared" si="615"/>
        <v/>
      </c>
      <c r="K608" s="219" t="str">
        <f t="shared" si="3"/>
        <v>VIVENDI</v>
      </c>
      <c r="L608" s="150">
        <f t="shared" si="4"/>
        <v>0</v>
      </c>
      <c r="M608" s="150">
        <f t="shared" si="5"/>
        <v>460.31</v>
      </c>
      <c r="N608" s="139" t="str">
        <f t="array" ref="N608">IF($P608&lt;&gt;"",IF(MAXIFS(Investment!$L:$L,Investment!$D:$D,LEFT($P608,40)&amp;"*"),MAXIFS(Investment!$L:$L,Investment!$D:$D,LEFT($P608,40)&amp;"*"),IFERROR(INDEX(Selection!$H:$H, MATCH($P608,Selection!$F:$F,0))/IF(OR(INDEX(Selection!$C:$C, MATCH($P608,Selection!$F:$F,0))="LN",INDEX(Selection!$C:$C, MATCH($P608,Selection!$F:$F,0))="US"),Investment!$K$7,1),"")),"")</f>
        <v/>
      </c>
      <c r="O608" s="144" t="str">
        <f>IF($P608&lt;&gt;"",IF(MAXIFS(Investment!$AG:$AG,Investment!$D:$D,LEFT($P608,40)&amp;"*"),MAXIFS(Investment!$AG:$AG,Investment!$D:$D,LEFT($P608,40)&amp;"*"),""),"")</f>
        <v/>
      </c>
      <c r="P608" s="328"/>
      <c r="R608" s="53"/>
    </row>
    <row r="609">
      <c r="A609" s="125">
        <v>40969.0</v>
      </c>
      <c r="C609" s="49" t="s">
        <v>1528</v>
      </c>
      <c r="D609" s="56" t="s">
        <v>222</v>
      </c>
      <c r="E609" s="32">
        <v>155.0</v>
      </c>
      <c r="F609" s="218">
        <v>14.67</v>
      </c>
      <c r="G609" s="132">
        <v>-2275.13</v>
      </c>
      <c r="H609" s="353" t="str">
        <f t="shared" si="612"/>
        <v>VIVENDI@BUY@155@-2275.13</v>
      </c>
      <c r="I609" s="134" t="str">
        <f t="shared" ref="I609:J609" si="616">IFS(AND($B609&lt;&gt;"",$E609&lt;&gt;""),IF(INDEX(N:N,MATCH($C609,$P:$P,0),1)&lt;&gt;"",$E609*INDEX(N:N,MATCH($C609,$P:$P,0),1)+$G609,""),AND($B609&lt;&gt;"",$D609="COST"),$G609,TRUE,)</f>
        <v/>
      </c>
      <c r="J609" s="134" t="str">
        <f t="shared" si="616"/>
        <v/>
      </c>
      <c r="K609" s="219" t="str">
        <f t="shared" si="3"/>
        <v>VIVENDI</v>
      </c>
      <c r="L609" s="150">
        <f t="shared" si="4"/>
        <v>0</v>
      </c>
      <c r="M609" s="150">
        <f t="shared" si="5"/>
        <v>460.31</v>
      </c>
      <c r="N609" s="139" t="str">
        <f t="array" ref="N609">IF($P609&lt;&gt;"",IF(MAXIFS(Investment!$L:$L,Investment!$D:$D,LEFT($P609,40)&amp;"*"),MAXIFS(Investment!$L:$L,Investment!$D:$D,LEFT($P609,40)&amp;"*"),IFERROR(INDEX(Selection!$H:$H, MATCH($P609,Selection!$F:$F,0))/IF(OR(INDEX(Selection!$C:$C, MATCH($P609,Selection!$F:$F,0))="LN",INDEX(Selection!$C:$C, MATCH($P609,Selection!$F:$F,0))="US"),Investment!$K$7,1),"")),"")</f>
        <v/>
      </c>
      <c r="O609" s="144" t="str">
        <f>IF($P609&lt;&gt;"",IF(MAXIFS(Investment!$AG:$AG,Investment!$D:$D,LEFT($P609,40)&amp;"*"),MAXIFS(Investment!$AG:$AG,Investment!$D:$D,LEFT($P609,40)&amp;"*"),""),"")</f>
        <v/>
      </c>
      <c r="P609" s="328"/>
      <c r="R609" s="53"/>
    </row>
    <row r="610">
      <c r="A610" s="125">
        <v>40969.0</v>
      </c>
      <c r="C610" s="49" t="s">
        <v>1531</v>
      </c>
      <c r="D610" s="56" t="s">
        <v>245</v>
      </c>
      <c r="E610" s="32">
        <v>-250.0</v>
      </c>
      <c r="F610" s="218">
        <v>9.68</v>
      </c>
      <c r="G610" s="132">
        <v>2416.57</v>
      </c>
      <c r="H610" s="353" t="str">
        <f t="shared" si="612"/>
        <v>VEOLIA ENVIRON@SELL@-250@2416.57</v>
      </c>
      <c r="I610" s="134" t="str">
        <f t="shared" ref="I610:J610" si="617">IFS(AND($B610&lt;&gt;"",$E610&lt;&gt;""),IF(INDEX(N:N,MATCH($C610,$P:$P,0),1)&lt;&gt;"",$E610*INDEX(N:N,MATCH($C610,$P:$P,0),1)+$G610,""),AND($B610&lt;&gt;"",$D610="COST"),$G610,TRUE,)</f>
        <v/>
      </c>
      <c r="J610" s="134" t="str">
        <f t="shared" si="617"/>
        <v/>
      </c>
      <c r="K610" s="219" t="str">
        <f t="shared" si="3"/>
        <v>VEOLIA ENVIRON</v>
      </c>
      <c r="L610" s="150">
        <f t="shared" si="4"/>
        <v>0</v>
      </c>
      <c r="M610" s="150">
        <f t="shared" si="5"/>
        <v>401.01</v>
      </c>
      <c r="N610" s="139" t="str">
        <f t="array" ref="N610">IF($P610&lt;&gt;"",IF(MAXIFS(Investment!$L:$L,Investment!$D:$D,LEFT($P610,40)&amp;"*"),MAXIFS(Investment!$L:$L,Investment!$D:$D,LEFT($P610,40)&amp;"*"),IFERROR(INDEX(Selection!$H:$H, MATCH($P610,Selection!$F:$F,0))/IF(OR(INDEX(Selection!$C:$C, MATCH($P610,Selection!$F:$F,0))="LN",INDEX(Selection!$C:$C, MATCH($P610,Selection!$F:$F,0))="US"),Investment!$K$7,1),"")),"")</f>
        <v/>
      </c>
      <c r="O610" s="144" t="str">
        <f>IF($P610&lt;&gt;"",IF(MAXIFS(Investment!$AG:$AG,Investment!$D:$D,LEFT($P610,40)&amp;"*"),MAXIFS(Investment!$AG:$AG,Investment!$D:$D,LEFT($P610,40)&amp;"*"),""),"")</f>
        <v/>
      </c>
      <c r="P610" s="328"/>
      <c r="R610" s="53"/>
    </row>
    <row r="611">
      <c r="A611" s="125">
        <v>40968.0</v>
      </c>
      <c r="B611" s="161"/>
      <c r="C611" s="228"/>
      <c r="D611" s="56" t="s">
        <v>268</v>
      </c>
      <c r="E611" s="161"/>
      <c r="F611" s="218"/>
      <c r="G611" s="132">
        <v>1280.0</v>
      </c>
      <c r="H611" s="353" t="str">
        <f t="shared" si="612"/>
        <v>@APPROVISIONNEMENT@@1280</v>
      </c>
      <c r="I611" s="134" t="str">
        <f t="shared" ref="I611:J611" si="618">IFS(AND($B611&lt;&gt;"",$E611&lt;&gt;""),IF(INDEX(N:N,MATCH($C611,$P:$P,0),1)&lt;&gt;"",$E611*INDEX(N:N,MATCH($C611,$P:$P,0),1)+$G611,""),AND($B611&lt;&gt;"",$D611="COST"),$G611,TRUE,)</f>
        <v/>
      </c>
      <c r="J611" s="134" t="str">
        <f t="shared" si="618"/>
        <v/>
      </c>
      <c r="K611" s="219" t="str">
        <f t="shared" si="3"/>
        <v/>
      </c>
      <c r="L611" s="150" t="str">
        <f t="shared" si="4"/>
        <v/>
      </c>
      <c r="M611" s="150" t="str">
        <f t="shared" si="5"/>
        <v/>
      </c>
      <c r="N611" s="139" t="str">
        <f t="array" ref="N611">IF($P611&lt;&gt;"",IF(MAXIFS(Investment!$L:$L,Investment!$D:$D,LEFT($P611,40)&amp;"*"),MAXIFS(Investment!$L:$L,Investment!$D:$D,LEFT($P611,40)&amp;"*"),IFERROR(INDEX(Selection!$H:$H, MATCH($P611,Selection!$F:$F,0))/IF(OR(INDEX(Selection!$C:$C, MATCH($P611,Selection!$F:$F,0))="LN",INDEX(Selection!$C:$C, MATCH($P611,Selection!$F:$F,0))="US"),Investment!$K$7,1),"")),"")</f>
        <v/>
      </c>
      <c r="O611" s="144" t="str">
        <f>IF($P611&lt;&gt;"",IF(MAXIFS(Investment!$AG:$AG,Investment!$D:$D,LEFT($P611,40)&amp;"*"),MAXIFS(Investment!$AG:$AG,Investment!$D:$D,LEFT($P611,40)&amp;"*"),""),"")</f>
        <v/>
      </c>
      <c r="P611" s="49"/>
    </row>
    <row r="612">
      <c r="A612" s="125">
        <v>40967.0</v>
      </c>
      <c r="C612" s="49" t="s">
        <v>1530</v>
      </c>
      <c r="D612" s="56" t="s">
        <v>222</v>
      </c>
      <c r="E612" s="32">
        <v>445.0</v>
      </c>
      <c r="F612" s="218">
        <v>4.69</v>
      </c>
      <c r="G612" s="132">
        <v>-2088.93</v>
      </c>
      <c r="H612" s="353" t="str">
        <f t="shared" si="612"/>
        <v>CREDIT AGRICOLE@BUY@445@-2088.93</v>
      </c>
      <c r="I612" s="134" t="str">
        <f t="shared" ref="I612:J612" si="619">IFS(AND($B612&lt;&gt;"",$E612&lt;&gt;""),IF(INDEX(N:N,MATCH($C612,$P:$P,0),1)&lt;&gt;"",$E612*INDEX(N:N,MATCH($C612,$P:$P,0),1)+$G612,""),AND($B612&lt;&gt;"",$D612="COST"),$G612,TRUE,)</f>
        <v/>
      </c>
      <c r="J612" s="134" t="str">
        <f t="shared" si="619"/>
        <v/>
      </c>
      <c r="K612" s="219" t="str">
        <f t="shared" si="3"/>
        <v>CREDIT AGRICOLE</v>
      </c>
      <c r="L612" s="150">
        <f t="shared" si="4"/>
        <v>0</v>
      </c>
      <c r="M612" s="150">
        <f t="shared" si="5"/>
        <v>173.19</v>
      </c>
      <c r="N612" s="139" t="str">
        <f t="array" ref="N612">IF($P612&lt;&gt;"",IF(MAXIFS(Investment!$L:$L,Investment!$D:$D,LEFT($P612,40)&amp;"*"),MAXIFS(Investment!$L:$L,Investment!$D:$D,LEFT($P612,40)&amp;"*"),IFERROR(INDEX(Selection!$H:$H, MATCH($P612,Selection!$F:$F,0))/IF(OR(INDEX(Selection!$C:$C, MATCH($P612,Selection!$F:$F,0))="LN",INDEX(Selection!$C:$C, MATCH($P612,Selection!$F:$F,0))="US"),Investment!$K$7,1),"")),"")</f>
        <v/>
      </c>
      <c r="O612" s="144" t="str">
        <f>IF($P612&lt;&gt;"",IF(MAXIFS(Investment!$AG:$AG,Investment!$D:$D,LEFT($P612,40)&amp;"*"),MAXIFS(Investment!$AG:$AG,Investment!$D:$D,LEFT($P612,40)&amp;"*"),""),"")</f>
        <v/>
      </c>
      <c r="P612" s="328"/>
      <c r="R612" s="53"/>
    </row>
    <row r="613">
      <c r="A613" s="125">
        <v>40967.0</v>
      </c>
      <c r="C613" s="49" t="s">
        <v>1527</v>
      </c>
      <c r="D613" s="56" t="s">
        <v>222</v>
      </c>
      <c r="E613" s="32">
        <v>100.0</v>
      </c>
      <c r="F613" s="218">
        <v>11.66</v>
      </c>
      <c r="G613" s="132">
        <v>-1166.55</v>
      </c>
      <c r="H613" s="353" t="str">
        <f t="shared" si="612"/>
        <v>FRANCE TELECOM@BUY@100@-1166.55</v>
      </c>
      <c r="I613" s="134" t="str">
        <f t="shared" ref="I613:J613" si="620">IFS(AND($B613&lt;&gt;"",$E613&lt;&gt;""),IF(INDEX(N:N,MATCH($C613,$P:$P,0),1)&lt;&gt;"",$E613*INDEX(N:N,MATCH($C613,$P:$P,0),1)+$G613,""),AND($B613&lt;&gt;"",$D613="COST"),$G613,TRUE,)</f>
        <v/>
      </c>
      <c r="J613" s="134" t="str">
        <f t="shared" si="620"/>
        <v/>
      </c>
      <c r="K613" s="219" t="str">
        <f t="shared" si="3"/>
        <v>FRANCE TELECOM</v>
      </c>
      <c r="L613" s="150">
        <f t="shared" si="4"/>
        <v>0</v>
      </c>
      <c r="M613" s="150">
        <f t="shared" si="5"/>
        <v>1049.82</v>
      </c>
      <c r="N613" s="139" t="str">
        <f t="array" ref="N613">IF($P613&lt;&gt;"",IF(MAXIFS(Investment!$L:$L,Investment!$D:$D,LEFT($P613,40)&amp;"*"),MAXIFS(Investment!$L:$L,Investment!$D:$D,LEFT($P613,40)&amp;"*"),IFERROR(INDEX(Selection!$H:$H, MATCH($P613,Selection!$F:$F,0))/IF(OR(INDEX(Selection!$C:$C, MATCH($P613,Selection!$F:$F,0))="LN",INDEX(Selection!$C:$C, MATCH($P613,Selection!$F:$F,0))="US"),Investment!$K$7,1),"")),"")</f>
        <v/>
      </c>
      <c r="O613" s="144" t="str">
        <f>IF($P613&lt;&gt;"",IF(MAXIFS(Investment!$AG:$AG,Investment!$D:$D,LEFT($P613,40)&amp;"*"),MAXIFS(Investment!$AG:$AG,Investment!$D:$D,LEFT($P613,40)&amp;"*"),""),"")</f>
        <v/>
      </c>
      <c r="P613" s="328"/>
      <c r="R613" s="53"/>
    </row>
    <row r="614">
      <c r="A614" s="125">
        <v>40967.0</v>
      </c>
      <c r="C614" s="49" t="s">
        <v>1515</v>
      </c>
      <c r="D614" s="56" t="s">
        <v>222</v>
      </c>
      <c r="E614" s="32">
        <v>70.0</v>
      </c>
      <c r="F614" s="218">
        <v>18.58</v>
      </c>
      <c r="G614" s="132">
        <v>-1301.77</v>
      </c>
      <c r="H614" s="353" t="str">
        <f t="shared" si="612"/>
        <v>EDF@BUY@70@-1301.77</v>
      </c>
      <c r="I614" s="134" t="str">
        <f t="shared" ref="I614:J614" si="621">IFS(AND($B614&lt;&gt;"",$E614&lt;&gt;""),IF(INDEX(N:N,MATCH($C614,$P:$P,0),1)&lt;&gt;"",$E614*INDEX(N:N,MATCH($C614,$P:$P,0),1)+$G614,""),AND($B614&lt;&gt;"",$D614="COST"),$G614,TRUE,)</f>
        <v/>
      </c>
      <c r="J614" s="134" t="str">
        <f t="shared" si="621"/>
        <v/>
      </c>
      <c r="K614" s="219" t="str">
        <f t="shared" si="3"/>
        <v>EDF</v>
      </c>
      <c r="L614" s="150">
        <f t="shared" si="4"/>
        <v>0</v>
      </c>
      <c r="M614" s="150">
        <f t="shared" si="5"/>
        <v>1451.96</v>
      </c>
      <c r="N614" s="139" t="str">
        <f t="array" ref="N614">IF($P614&lt;&gt;"",IF(MAXIFS(Investment!$L:$L,Investment!$D:$D,LEFT($P614,40)&amp;"*"),MAXIFS(Investment!$L:$L,Investment!$D:$D,LEFT($P614,40)&amp;"*"),IFERROR(INDEX(Selection!$H:$H, MATCH($P614,Selection!$F:$F,0))/IF(OR(INDEX(Selection!$C:$C, MATCH($P614,Selection!$F:$F,0))="LN",INDEX(Selection!$C:$C, MATCH($P614,Selection!$F:$F,0))="US"),Investment!$K$7,1),"")),"")</f>
        <v/>
      </c>
      <c r="O614" s="144" t="str">
        <f>IF($P614&lt;&gt;"",IF(MAXIFS(Investment!$AG:$AG,Investment!$D:$D,LEFT($P614,40)&amp;"*"),MAXIFS(Investment!$AG:$AG,Investment!$D:$D,LEFT($P614,40)&amp;"*"),""),"")</f>
        <v/>
      </c>
      <c r="P614" s="328"/>
      <c r="R614" s="53"/>
    </row>
    <row r="615">
      <c r="A615" s="125">
        <v>40963.0</v>
      </c>
      <c r="B615" s="161"/>
      <c r="C615" s="228"/>
      <c r="D615" s="56" t="s">
        <v>268</v>
      </c>
      <c r="E615" s="161"/>
      <c r="F615" s="218"/>
      <c r="G615" s="132">
        <v>5000.0</v>
      </c>
      <c r="H615" s="353" t="str">
        <f t="shared" si="612"/>
        <v>@APPROVISIONNEMENT@@5000</v>
      </c>
      <c r="I615" s="134" t="str">
        <f t="shared" ref="I615:J615" si="622">IFS(AND($B615&lt;&gt;"",$E615&lt;&gt;""),IF(INDEX(N:N,MATCH($C615,$P:$P,0),1)&lt;&gt;"",$E615*INDEX(N:N,MATCH($C615,$P:$P,0),1)+$G615,""),AND($B615&lt;&gt;"",$D615="COST"),$G615,TRUE,)</f>
        <v/>
      </c>
      <c r="J615" s="134" t="str">
        <f t="shared" si="622"/>
        <v/>
      </c>
      <c r="K615" s="219" t="str">
        <f t="shared" si="3"/>
        <v/>
      </c>
      <c r="L615" s="150" t="str">
        <f t="shared" si="4"/>
        <v/>
      </c>
      <c r="M615" s="150" t="str">
        <f t="shared" si="5"/>
        <v/>
      </c>
      <c r="N615" s="139" t="str">
        <f t="array" ref="N615">IF($P615&lt;&gt;"",IF(MAXIFS(Investment!$L:$L,Investment!$D:$D,LEFT($P615,40)&amp;"*"),MAXIFS(Investment!$L:$L,Investment!$D:$D,LEFT($P615,40)&amp;"*"),IFERROR(INDEX(Selection!$H:$H, MATCH($P615,Selection!$F:$F,0))/IF(OR(INDEX(Selection!$C:$C, MATCH($P615,Selection!$F:$F,0))="LN",INDEX(Selection!$C:$C, MATCH($P615,Selection!$F:$F,0))="US"),Investment!$K$7,1),"")),"")</f>
        <v/>
      </c>
      <c r="O615" s="144" t="str">
        <f>IF($P615&lt;&gt;"",IF(MAXIFS(Investment!$AG:$AG,Investment!$D:$D,LEFT($P615,40)&amp;"*"),MAXIFS(Investment!$AG:$AG,Investment!$D:$D,LEFT($P615,40)&amp;"*"),""),"")</f>
        <v/>
      </c>
      <c r="P615" s="49"/>
      <c r="R615" s="53"/>
    </row>
    <row r="616">
      <c r="A616" s="125">
        <v>40917.0</v>
      </c>
      <c r="C616" s="49" t="s">
        <v>1531</v>
      </c>
      <c r="D616" s="56" t="s">
        <v>222</v>
      </c>
      <c r="E616" s="32">
        <v>250.0</v>
      </c>
      <c r="F616" s="218">
        <v>8.06</v>
      </c>
      <c r="G616" s="132">
        <v>-2015.56</v>
      </c>
      <c r="H616" s="353" t="str">
        <f t="shared" si="612"/>
        <v>VEOLIA ENVIRON@BUY@250@-2015.56</v>
      </c>
      <c r="I616" s="134" t="str">
        <f t="shared" ref="I616:J616" si="623">IFS(AND($B616&lt;&gt;"",$E616&lt;&gt;""),IF(INDEX(N:N,MATCH($C616,$P:$P,0),1)&lt;&gt;"",$E616*INDEX(N:N,MATCH($C616,$P:$P,0),1)+$G616,""),AND($B616&lt;&gt;"",$D616="COST"),$G616,TRUE,)</f>
        <v/>
      </c>
      <c r="J616" s="134" t="str">
        <f t="shared" si="623"/>
        <v/>
      </c>
      <c r="K616" s="219" t="str">
        <f t="shared" si="3"/>
        <v>VEOLIA ENVIRON</v>
      </c>
      <c r="L616" s="150">
        <f t="shared" si="4"/>
        <v>0</v>
      </c>
      <c r="M616" s="150">
        <f t="shared" si="5"/>
        <v>401.01</v>
      </c>
      <c r="N616" s="139" t="str">
        <f t="array" ref="N616">IF($P616&lt;&gt;"",IF(MAXIFS(Investment!$L:$L,Investment!$D:$D,LEFT($P616,40)&amp;"*"),MAXIFS(Investment!$L:$L,Investment!$D:$D,LEFT($P616,40)&amp;"*"),IFERROR(INDEX(Selection!$H:$H, MATCH($P616,Selection!$F:$F,0))/IF(OR(INDEX(Selection!$C:$C, MATCH($P616,Selection!$F:$F,0))="LN",INDEX(Selection!$C:$C, MATCH($P616,Selection!$F:$F,0))="US"),Investment!$K$7,1),"")),"")</f>
        <v/>
      </c>
      <c r="O616" s="144" t="str">
        <f>IF($P616&lt;&gt;"",IF(MAXIFS(Investment!$AG:$AG,Investment!$D:$D,LEFT($P616,40)&amp;"*"),MAXIFS(Investment!$AG:$AG,Investment!$D:$D,LEFT($P616,40)&amp;"*"),""),"")</f>
        <v/>
      </c>
      <c r="P616" s="328"/>
      <c r="R616" s="53"/>
    </row>
    <row r="617">
      <c r="A617" s="125">
        <v>40914.0</v>
      </c>
      <c r="B617" s="161"/>
      <c r="C617" s="228"/>
      <c r="D617" s="56" t="s">
        <v>268</v>
      </c>
      <c r="E617" s="161"/>
      <c r="F617" s="218"/>
      <c r="G617" s="132">
        <v>2000.0</v>
      </c>
      <c r="H617" s="353" t="str">
        <f t="shared" si="612"/>
        <v>@APPROVISIONNEMENT@@2000</v>
      </c>
      <c r="I617" s="134" t="str">
        <f t="shared" ref="I617:J617" si="624">IFS(AND($B617&lt;&gt;"",$E617&lt;&gt;""),IF(INDEX(N:N,MATCH($C617,$P:$P,0),1)&lt;&gt;"",$E617*INDEX(N:N,MATCH($C617,$P:$P,0),1)+$G617,""),AND($B617&lt;&gt;"",$D617="COST"),$G617,TRUE,)</f>
        <v/>
      </c>
      <c r="J617" s="134" t="str">
        <f t="shared" si="624"/>
        <v/>
      </c>
      <c r="K617" s="219" t="str">
        <f t="shared" si="3"/>
        <v/>
      </c>
      <c r="L617" s="150" t="str">
        <f t="shared" si="4"/>
        <v/>
      </c>
      <c r="M617" s="150" t="str">
        <f t="shared" si="5"/>
        <v/>
      </c>
      <c r="N617" s="139" t="str">
        <f t="array" ref="N617">IF($P617&lt;&gt;"",IF(MAXIFS(Investment!$L:$L,Investment!$D:$D,LEFT($P617,40)&amp;"*"),MAXIFS(Investment!$L:$L,Investment!$D:$D,LEFT($P617,40)&amp;"*"),IFERROR(INDEX(Selection!$H:$H, MATCH($P617,Selection!$F:$F,0))/IF(OR(INDEX(Selection!$C:$C, MATCH($P617,Selection!$F:$F,0))="LN",INDEX(Selection!$C:$C, MATCH($P617,Selection!$F:$F,0))="US"),Investment!$K$7,1),"")),"")</f>
        <v/>
      </c>
      <c r="O617" s="144" t="str">
        <f>IF($P617&lt;&gt;"",IF(MAXIFS(Investment!$AG:$AG,Investment!$D:$D,LEFT($P617,40)&amp;"*"),MAXIFS(Investment!$AG:$AG,Investment!$D:$D,LEFT($P617,40)&amp;"*"),""),"")</f>
        <v/>
      </c>
      <c r="P617" s="49"/>
    </row>
    <row r="618">
      <c r="A618" s="125">
        <v>40906.0</v>
      </c>
      <c r="C618" s="49" t="s">
        <v>1527</v>
      </c>
      <c r="D618" s="56" t="s">
        <v>222</v>
      </c>
      <c r="E618" s="32">
        <v>245.0</v>
      </c>
      <c r="F618" s="218">
        <v>11.815</v>
      </c>
      <c r="G618" s="132">
        <v>-2897.57</v>
      </c>
      <c r="H618" s="353" t="str">
        <f t="shared" si="612"/>
        <v>FRANCE TELECOM@BUY@245@-2897.57</v>
      </c>
      <c r="I618" s="134" t="str">
        <f t="shared" ref="I618:J618" si="625">IFS(AND($B618&lt;&gt;"",$E618&lt;&gt;""),IF(INDEX(N:N,MATCH($C618,$P:$P,0),1)&lt;&gt;"",$E618*INDEX(N:N,MATCH($C618,$P:$P,0),1)+$G618,""),AND($B618&lt;&gt;"",$D618="COST"),$G618,TRUE,)</f>
        <v/>
      </c>
      <c r="J618" s="134" t="str">
        <f t="shared" si="625"/>
        <v/>
      </c>
      <c r="K618" s="219" t="str">
        <f t="shared" si="3"/>
        <v>FRANCE TELECOM</v>
      </c>
      <c r="L618" s="150">
        <f t="shared" si="4"/>
        <v>0</v>
      </c>
      <c r="M618" s="150">
        <f t="shared" si="5"/>
        <v>1049.82</v>
      </c>
      <c r="N618" s="139" t="str">
        <f t="array" ref="N618">IF($P618&lt;&gt;"",IF(MAXIFS(Investment!$L:$L,Investment!$D:$D,LEFT($P618,40)&amp;"*"),MAXIFS(Investment!$L:$L,Investment!$D:$D,LEFT($P618,40)&amp;"*"),IFERROR(INDEX(Selection!$H:$H, MATCH($P618,Selection!$F:$F,0))/IF(OR(INDEX(Selection!$C:$C, MATCH($P618,Selection!$F:$F,0))="LN",INDEX(Selection!$C:$C, MATCH($P618,Selection!$F:$F,0))="US"),Investment!$K$7,1),"")),"")</f>
        <v/>
      </c>
      <c r="O618" s="144" t="str">
        <f>IF($P618&lt;&gt;"",IF(MAXIFS(Investment!$AG:$AG,Investment!$D:$D,LEFT($P618,40)&amp;"*"),MAXIFS(Investment!$AG:$AG,Investment!$D:$D,LEFT($P618,40)&amp;"*"),""),"")</f>
        <v/>
      </c>
      <c r="P618" s="328"/>
      <c r="R618" s="53"/>
    </row>
    <row r="619">
      <c r="A619" s="125">
        <v>40828.0</v>
      </c>
      <c r="B619" s="208"/>
      <c r="C619" s="366" t="s">
        <v>1527</v>
      </c>
      <c r="D619" s="208" t="s">
        <v>245</v>
      </c>
      <c r="E619" s="32">
        <v>-555.0</v>
      </c>
      <c r="F619" s="218">
        <f t="shared" ref="F619:F620" si="627">-G619/E619</f>
        <v>17.61367568</v>
      </c>
      <c r="G619" s="132">
        <v>9775.59</v>
      </c>
      <c r="H619" s="353" t="str">
        <f t="shared" si="612"/>
        <v>FRANCE TELECOM@SELL@-555@9775.59</v>
      </c>
      <c r="I619" s="134" t="str">
        <f t="shared" ref="I619:J619" si="626">IFS(AND($B619&lt;&gt;"",$E619&lt;&gt;""),IF(INDEX(N:N,MATCH($C619,$P:$P,0),1)&lt;&gt;"",$E619*INDEX(N:N,MATCH($C619,$P:$P,0),1)+$G619,""),AND($B619&lt;&gt;"",$D619="COST"),$G619,TRUE,)</f>
        <v/>
      </c>
      <c r="J619" s="134" t="str">
        <f t="shared" si="626"/>
        <v/>
      </c>
      <c r="K619" s="219" t="str">
        <f t="shared" si="3"/>
        <v>FRANCE TELECOM</v>
      </c>
      <c r="L619" s="150">
        <f t="shared" si="4"/>
        <v>0</v>
      </c>
      <c r="M619" s="150">
        <f t="shared" si="5"/>
        <v>1049.82</v>
      </c>
      <c r="N619" s="139" t="str">
        <f t="array" ref="N619">IF($P619&lt;&gt;"",IF(MAXIFS(Investment!$L:$L,Investment!$D:$D,LEFT($P619,40)&amp;"*"),MAXIFS(Investment!$L:$L,Investment!$D:$D,LEFT($P619,40)&amp;"*"),IFERROR(INDEX(Selection!$H:$H, MATCH($P619,Selection!$F:$F,0))/IF(OR(INDEX(Selection!$C:$C, MATCH($P619,Selection!$F:$F,0))="LN",INDEX(Selection!$C:$C, MATCH($P619,Selection!$F:$F,0))="US"),Investment!$K$7,1),"")),"")</f>
        <v/>
      </c>
      <c r="O619" s="144" t="str">
        <f>IF($P619&lt;&gt;"",IF(MAXIFS(Investment!$AG:$AG,Investment!$D:$D,LEFT($P619,40)&amp;"*"),MAXIFS(Investment!$AG:$AG,Investment!$D:$D,LEFT($P619,40)&amp;"*"),""),"")</f>
        <v/>
      </c>
      <c r="P619" s="328"/>
      <c r="R619" s="53"/>
    </row>
    <row r="620">
      <c r="A620" s="125">
        <v>40668.0</v>
      </c>
      <c r="B620" s="208"/>
      <c r="C620" s="366" t="s">
        <v>1527</v>
      </c>
      <c r="D620" s="208" t="s">
        <v>222</v>
      </c>
      <c r="E620" s="32">
        <v>555.0</v>
      </c>
      <c r="F620" s="218">
        <f t="shared" si="627"/>
        <v>15.58</v>
      </c>
      <c r="G620" s="132">
        <v>-8646.9</v>
      </c>
      <c r="H620" s="353" t="str">
        <f t="shared" si="612"/>
        <v>FRANCE TELECOM@BUY@555@-8646.9</v>
      </c>
      <c r="I620" s="134" t="str">
        <f t="shared" ref="I620:J620" si="628">IFS(AND($B620&lt;&gt;"",$E620&lt;&gt;""),IF(INDEX(N:N,MATCH($C620,$P:$P,0),1)&lt;&gt;"",$E620*INDEX(N:N,MATCH($C620,$P:$P,0),1)+$G620,""),AND($B620&lt;&gt;"",$D620="COST"),$G620,TRUE,)</f>
        <v/>
      </c>
      <c r="J620" s="134" t="str">
        <f t="shared" si="628"/>
        <v/>
      </c>
      <c r="K620" s="219" t="str">
        <f t="shared" si="3"/>
        <v>FRANCE TELECOM</v>
      </c>
      <c r="L620" s="150">
        <f t="shared" si="4"/>
        <v>0</v>
      </c>
      <c r="M620" s="150">
        <f t="shared" si="5"/>
        <v>1049.82</v>
      </c>
      <c r="N620" s="139" t="str">
        <f t="array" ref="N620">IF($P620&lt;&gt;"",IF(MAXIFS(Investment!$L:$L,Investment!$D:$D,LEFT($P620,40)&amp;"*"),MAXIFS(Investment!$L:$L,Investment!$D:$D,LEFT($P620,40)&amp;"*"),IFERROR(INDEX(Selection!$H:$H, MATCH($P620,Selection!$F:$F,0))/IF(OR(INDEX(Selection!$C:$C, MATCH($P620,Selection!$F:$F,0))="LN",INDEX(Selection!$C:$C, MATCH($P620,Selection!$F:$F,0))="US"),Investment!$K$7,1),"")),"")</f>
        <v/>
      </c>
      <c r="O620" s="144" t="str">
        <f>IF($P620&lt;&gt;"",IF(MAXIFS(Investment!$AG:$AG,Investment!$D:$D,LEFT($P620,40)&amp;"*"),MAXIFS(Investment!$AG:$AG,Investment!$D:$D,LEFT($P620,40)&amp;"*"),""),"")</f>
        <v/>
      </c>
      <c r="P620" s="49"/>
      <c r="Q620" s="53"/>
    </row>
    <row r="621">
      <c r="A621" s="125">
        <v>40639.0</v>
      </c>
      <c r="B621" s="370"/>
      <c r="C621" s="371"/>
      <c r="D621" s="372" t="s">
        <v>268</v>
      </c>
      <c r="E621" s="372"/>
      <c r="F621" s="218"/>
      <c r="G621" s="132">
        <f>10000-133.41</f>
        <v>9866.59</v>
      </c>
      <c r="H621" s="353" t="str">
        <f t="shared" si="612"/>
        <v>@APPROVISIONNEMENT@@9866.59</v>
      </c>
      <c r="I621" s="134" t="str">
        <f t="shared" ref="I621:J621" si="629">IFS(AND($B621&lt;&gt;"",$E621&lt;&gt;""),IF(INDEX(N:N,MATCH($C621,$P:$P,0),1)&lt;&gt;"",$E621*INDEX(N:N,MATCH($C621,$P:$P,0),1)+$G621,""),AND($B621&lt;&gt;"",$D621="COST"),$G621,TRUE,)</f>
        <v/>
      </c>
      <c r="J621" s="134" t="str">
        <f t="shared" si="629"/>
        <v/>
      </c>
      <c r="K621" s="219" t="str">
        <f t="shared" si="3"/>
        <v/>
      </c>
      <c r="L621" s="150" t="str">
        <f t="shared" si="4"/>
        <v/>
      </c>
      <c r="M621" s="150" t="str">
        <f t="shared" si="5"/>
        <v/>
      </c>
      <c r="N621" s="139" t="str">
        <f t="array" ref="N621">IF($P621&lt;&gt;"",IF(MAXIFS(Investment!$L:$L,Investment!$D:$D,LEFT($P621,40)&amp;"*"),MAXIFS(Investment!$L:$L,Investment!$D:$D,LEFT($P621,40)&amp;"*"),IFERROR(INDEX(Selection!$H:$H, MATCH($P621,Selection!$F:$F,0))/IF(OR(INDEX(Selection!$C:$C, MATCH($P621,Selection!$F:$F,0))="LN",INDEX(Selection!$C:$C, MATCH($P621,Selection!$F:$F,0))="US"),Investment!$K$7,1),"")),"")</f>
        <v/>
      </c>
      <c r="O621" s="144" t="str">
        <f>IF($P621&lt;&gt;"",IF(MAXIFS(Investment!$AG:$AG,Investment!$D:$D,LEFT($P621,40)&amp;"*"),MAXIFS(Investment!$AG:$AG,Investment!$D:$D,LEFT($P621,40)&amp;"*"),""),"")</f>
        <v/>
      </c>
      <c r="P621" s="328"/>
      <c r="R621" s="53"/>
    </row>
  </sheetData>
  <autoFilter ref="$A$1:$J$621"/>
  <conditionalFormatting sqref="I2:J621">
    <cfRule type="cellIs" dxfId="7" priority="1" operator="greaterThan">
      <formula>0.01</formula>
    </cfRule>
  </conditionalFormatting>
  <conditionalFormatting sqref="I2:J621">
    <cfRule type="cellIs" dxfId="8" priority="2" operator="lessThan">
      <formula>-0.01</formula>
    </cfRule>
  </conditionalFormatting>
  <conditionalFormatting sqref="A1:G621">
    <cfRule type="expression" dxfId="15" priority="3">
      <formula>$H1="XXXXXX"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9" width="12.29"/>
  </cols>
  <sheetData>
    <row r="1">
      <c r="A1" s="3" t="s">
        <v>2</v>
      </c>
      <c r="B1" s="3" t="s">
        <v>233</v>
      </c>
      <c r="C1" s="3" t="s">
        <v>356</v>
      </c>
      <c r="D1" s="3" t="s">
        <v>234</v>
      </c>
      <c r="E1" s="3" t="s">
        <v>357</v>
      </c>
      <c r="F1" s="3" t="s">
        <v>358</v>
      </c>
      <c r="G1" s="3" t="s">
        <v>359</v>
      </c>
      <c r="H1" s="3" t="s">
        <v>209</v>
      </c>
      <c r="I1" s="3" t="s">
        <v>210</v>
      </c>
      <c r="J1" s="207" t="str">
        <f t="array" ref="J1:N1">TRANSPOSE(Investment!E2:E6)</f>
        <v>Long term US bonds (20-25 year)</v>
      </c>
      <c r="K1" s="3" t="s">
        <v>307</v>
      </c>
      <c r="L1" s="3" t="s">
        <v>277</v>
      </c>
      <c r="M1" s="3" t="s">
        <v>217</v>
      </c>
      <c r="N1" s="3" t="s">
        <v>361</v>
      </c>
      <c r="O1" s="207" t="str">
        <f t="shared" ref="O1:S1" si="1">J1</f>
        <v>Long term US bonds (20-25 year)</v>
      </c>
      <c r="P1" s="3" t="str">
        <f t="shared" si="1"/>
        <v>Stocks</v>
      </c>
      <c r="Q1" s="3" t="str">
        <f t="shared" si="1"/>
        <v>Intermediate US bonds (7-10 year)</v>
      </c>
      <c r="R1" s="3" t="str">
        <f t="shared" si="1"/>
        <v>Commodities</v>
      </c>
      <c r="S1" s="3" t="str">
        <f t="shared" si="1"/>
        <v>Gold</v>
      </c>
    </row>
    <row r="2">
      <c r="A2" s="208">
        <f>NOW()-TIME(2,0,0)</f>
        <v>43599.63423</v>
      </c>
      <c r="B2" s="30">
        <f>Dashboard!$B$37</f>
        <v>0.1432779284</v>
      </c>
      <c r="C2" s="30">
        <f>Dashboard!$B$39</f>
        <v>0.04390717244</v>
      </c>
      <c r="D2" s="30">
        <f>Dashboard!$B$35</f>
        <v>0.1661786233</v>
      </c>
      <c r="E2" s="30">
        <f>$F2/Dashboard!$B$31</f>
        <v>0.003232557743</v>
      </c>
      <c r="F2" s="209">
        <f>$G2-$G3</f>
        <v>2341.1114</v>
      </c>
      <c r="G2" s="209">
        <f>Dashboard!$B$34</f>
        <v>57517.1754</v>
      </c>
      <c r="H2" s="210">
        <f>SUM(Historic!I:I)</f>
        <v>53016.6154</v>
      </c>
      <c r="I2" s="210">
        <f>SUM(Historic!J:J)</f>
        <v>24243.7376</v>
      </c>
      <c r="J2" s="211">
        <f>Investment!$L$2</f>
        <v>4.2148</v>
      </c>
      <c r="K2" s="212">
        <f>Investment!$L$3</f>
        <v>48.03</v>
      </c>
      <c r="L2" s="212">
        <f>Investment!$L$4</f>
        <v>176.49</v>
      </c>
      <c r="M2" s="212">
        <f>Investment!$L$5</f>
        <v>7.175</v>
      </c>
      <c r="N2" s="212">
        <f>Investment!$L$6</f>
        <v>110.33</v>
      </c>
      <c r="O2" s="213">
        <f t="shared" ref="O2:S2" si="2">SUM(1-J5/J4+1-J4/J3+1-J3/J2)/3</f>
        <v>0.001874497763</v>
      </c>
      <c r="P2" s="214">
        <f t="shared" si="2"/>
        <v>-0.0001796051475</v>
      </c>
      <c r="Q2" s="214">
        <f t="shared" si="2"/>
        <v>0.001569389652</v>
      </c>
      <c r="R2" s="214">
        <f t="shared" si="2"/>
        <v>0.003616246355</v>
      </c>
      <c r="S2" s="214">
        <f t="shared" si="2"/>
        <v>0.003631698212</v>
      </c>
    </row>
    <row r="3">
      <c r="A3" s="208">
        <v>43598.97569363426</v>
      </c>
      <c r="B3" s="30">
        <v>0.13651398937452033</v>
      </c>
      <c r="C3" s="30">
        <v>0.04390717243786243</v>
      </c>
      <c r="D3" s="30">
        <v>0.15941468424626828</v>
      </c>
      <c r="E3" s="30">
        <v>0.0014832185940067387</v>
      </c>
      <c r="F3" s="209">
        <v>1065.8420000000624</v>
      </c>
      <c r="G3" s="209">
        <v>55176.06400000013</v>
      </c>
      <c r="H3" s="209">
        <v>50675.504000000015</v>
      </c>
      <c r="I3" s="209">
        <v>23974.12714960644</v>
      </c>
      <c r="J3" s="211">
        <v>4.22</v>
      </c>
      <c r="K3" s="212">
        <v>47.61</v>
      </c>
      <c r="L3" s="212">
        <v>176.11</v>
      </c>
      <c r="M3" s="212">
        <v>7.104</v>
      </c>
      <c r="N3" s="212">
        <v>110.27</v>
      </c>
      <c r="O3" s="213">
        <v>0.0014904108626011918</v>
      </c>
      <c r="P3" s="214">
        <v>-0.008983780566980126</v>
      </c>
      <c r="Q3" s="214">
        <v>5.101218811881155E-4</v>
      </c>
      <c r="R3" s="214">
        <v>-0.004426032227485462</v>
      </c>
      <c r="S3" s="214">
        <v>0.0032977008014890194</v>
      </c>
    </row>
    <row r="4">
      <c r="A4" s="208">
        <v>43595.97561037037</v>
      </c>
      <c r="B4" s="30">
        <v>0.13374415160900405</v>
      </c>
      <c r="C4" s="30">
        <v>0.04400904522774146</v>
      </c>
      <c r="D4" s="30">
        <v>0.15669798034356344</v>
      </c>
      <c r="E4" s="30">
        <v>-1.9834180599040716E-4</v>
      </c>
      <c r="F4" s="209">
        <v>-142.77700000000186</v>
      </c>
      <c r="G4" s="209">
        <v>54110.22200000007</v>
      </c>
      <c r="H4" s="209">
        <v>49609.66199999998</v>
      </c>
      <c r="I4" s="209">
        <v>23578.648188976484</v>
      </c>
      <c r="J4" s="211">
        <v>4.1984</v>
      </c>
      <c r="K4" s="212">
        <v>47.814</v>
      </c>
      <c r="L4" s="212">
        <v>175.65</v>
      </c>
      <c r="M4" s="212">
        <v>7.141</v>
      </c>
      <c r="N4" s="212">
        <v>109.29</v>
      </c>
      <c r="O4" s="213">
        <v>-2.950945735549215E-4</v>
      </c>
      <c r="P4" s="214">
        <v>-0.008857432770460768</v>
      </c>
      <c r="Q4" s="214">
        <v>-8.723750079487521E-4</v>
      </c>
      <c r="R4" s="214">
        <v>-0.002782539436278079</v>
      </c>
      <c r="S4" s="214">
        <v>-6.72235293076214E-4</v>
      </c>
    </row>
    <row r="5">
      <c r="A5" s="208">
        <v>43594.975676284725</v>
      </c>
      <c r="B5" s="30">
        <v>0.1342614571877629</v>
      </c>
      <c r="C5" s="30">
        <v>0.04404310795624591</v>
      </c>
      <c r="D5" s="30">
        <v>0.1572330520436339</v>
      </c>
      <c r="E5" s="30">
        <v>-0.007449758832638305</v>
      </c>
      <c r="F5" s="209">
        <v>-5363.7970000000205</v>
      </c>
      <c r="G5" s="209">
        <v>54252.99900000007</v>
      </c>
      <c r="H5" s="209">
        <v>49752.43900000002</v>
      </c>
      <c r="I5" s="209">
        <v>23350.269874015867</v>
      </c>
      <c r="J5" s="211">
        <v>4.1911</v>
      </c>
      <c r="K5" s="212">
        <v>48.053</v>
      </c>
      <c r="L5" s="212">
        <v>175.66</v>
      </c>
      <c r="M5" s="212">
        <v>7.097</v>
      </c>
      <c r="N5" s="212">
        <v>109.13</v>
      </c>
      <c r="O5" s="213">
        <v>0.0011084549688800127</v>
      </c>
      <c r="P5" s="214">
        <v>-0.009880028472931087</v>
      </c>
      <c r="Q5" s="214">
        <v>1.686905920416463E-4</v>
      </c>
      <c r="R5" s="214">
        <v>-0.0059475178862306395</v>
      </c>
      <c r="S5" s="214">
        <v>1.7906571787344264E-4</v>
      </c>
    </row>
    <row r="6">
      <c r="A6" s="208">
        <v>43593.975623425926</v>
      </c>
      <c r="B6" s="30">
        <v>0.14992255720748204</v>
      </c>
      <c r="C6" s="30">
        <v>0.04407722345427553</v>
      </c>
      <c r="D6" s="30">
        <v>0.17291194570770307</v>
      </c>
      <c r="E6" s="30">
        <v>-0.001734147526355597</v>
      </c>
      <c r="F6" s="209">
        <v>-1257.8810000000522</v>
      </c>
      <c r="G6" s="209">
        <v>59616.79600000009</v>
      </c>
      <c r="H6" s="209">
        <v>55116.23599999998</v>
      </c>
      <c r="I6" s="209">
        <v>23121.217169291413</v>
      </c>
      <c r="J6" s="211">
        <v>4.2011</v>
      </c>
      <c r="K6" s="212">
        <v>48.902</v>
      </c>
      <c r="L6" s="212">
        <v>175.84</v>
      </c>
      <c r="M6" s="212">
        <v>7.198</v>
      </c>
      <c r="N6" s="212">
        <v>109.18</v>
      </c>
      <c r="O6" s="213">
        <v>0.0034199945443231052</v>
      </c>
      <c r="P6" s="214">
        <v>-0.006294240143356185</v>
      </c>
      <c r="Q6" s="214">
        <v>0.0015165058535445326</v>
      </c>
      <c r="R6" s="214">
        <v>-0.004341418615215605</v>
      </c>
      <c r="S6" s="214">
        <v>-4.386774866323624E-6</v>
      </c>
    </row>
    <row r="7">
      <c r="A7" s="208">
        <v>43592.97561809028</v>
      </c>
      <c r="B7" s="30">
        <v>0.15368994961282198</v>
      </c>
      <c r="C7" s="30">
        <v>0.044111391844550166</v>
      </c>
      <c r="D7" s="30">
        <v>0.17669715934443847</v>
      </c>
      <c r="E7" s="30">
        <v>4.982025248714331E-4</v>
      </c>
      <c r="F7" s="209">
        <v>364.29530000011437</v>
      </c>
      <c r="G7" s="209">
        <v>60874.67700000014</v>
      </c>
      <c r="H7" s="209">
        <v>56374.11700000002</v>
      </c>
      <c r="I7" s="209">
        <v>22551.249881889853</v>
      </c>
      <c r="J7" s="211">
        <v>4.2021</v>
      </c>
      <c r="K7" s="212">
        <v>49.093</v>
      </c>
      <c r="L7" s="212">
        <v>176.11</v>
      </c>
      <c r="M7" s="212">
        <v>7.2</v>
      </c>
      <c r="N7" s="212">
        <v>109.51</v>
      </c>
      <c r="O7" s="213">
        <v>0.004068509056998441</v>
      </c>
      <c r="P7" s="214">
        <v>-0.0024236344226626163</v>
      </c>
      <c r="Q7" s="214">
        <v>0.00252345971276724</v>
      </c>
      <c r="R7" s="214">
        <v>-0.0025574490427977548</v>
      </c>
      <c r="S7" s="214">
        <v>0.0034455735353248937</v>
      </c>
    </row>
    <row r="8">
      <c r="A8" s="208">
        <v>43591.975612152775</v>
      </c>
      <c r="B8" s="30">
        <v>0.15275094376438997</v>
      </c>
      <c r="C8" s="30">
        <v>0.044145613250170454</v>
      </c>
      <c r="D8" s="30">
        <v>0.1757760023786532</v>
      </c>
      <c r="E8" s="30">
        <v>-5.621038966049825E-4</v>
      </c>
      <c r="F8" s="209">
        <v>-411.4688333332888</v>
      </c>
      <c r="G8" s="209">
        <v>60510.38170000003</v>
      </c>
      <c r="H8" s="209">
        <v>56009.8217</v>
      </c>
      <c r="I8" s="209">
        <v>22205.77880354339</v>
      </c>
      <c r="J8" s="211">
        <v>4.1771</v>
      </c>
      <c r="K8" s="212">
        <v>49.489</v>
      </c>
      <c r="L8" s="212">
        <v>175.57</v>
      </c>
      <c r="M8" s="212">
        <v>7.224</v>
      </c>
      <c r="N8" s="212">
        <v>109.07</v>
      </c>
      <c r="O8" s="213">
        <v>0.003040966670371755</v>
      </c>
      <c r="P8" s="214">
        <v>-0.0012246706946456392</v>
      </c>
      <c r="Q8" s="214">
        <v>9.673665918629911E-4</v>
      </c>
      <c r="R8" s="214">
        <v>-0.004938182636487857</v>
      </c>
      <c r="S8" s="214">
        <v>-4.7722825886527726E-4</v>
      </c>
    </row>
    <row r="9">
      <c r="A9" s="208">
        <v>43588.97567346065</v>
      </c>
      <c r="B9" s="30">
        <v>0.15429805461936905</v>
      </c>
      <c r="C9" s="30">
        <v>0.04424859679585514</v>
      </c>
      <c r="D9" s="30">
        <v>0.17738411530610107</v>
      </c>
      <c r="E9" s="30">
        <v>0.004151441443614708</v>
      </c>
      <c r="F9" s="209">
        <v>3061.0572000000393</v>
      </c>
      <c r="G9" s="209">
        <v>60921.850533333316</v>
      </c>
      <c r="H9" s="209">
        <v>56418.78720000007</v>
      </c>
      <c r="I9" s="209">
        <v>21619.40184015759</v>
      </c>
      <c r="J9" s="211">
        <v>4.1581</v>
      </c>
      <c r="K9" s="212">
        <v>49.831</v>
      </c>
      <c r="L9" s="212">
        <v>175.04</v>
      </c>
      <c r="M9" s="212">
        <v>7.292</v>
      </c>
      <c r="N9" s="212">
        <v>109.18</v>
      </c>
      <c r="O9" s="213">
        <v>7.194351933705878E-4</v>
      </c>
      <c r="P9" s="214">
        <v>-0.0015183742048728484</v>
      </c>
      <c r="Q9" s="214">
        <v>-8.00523356589126E-4</v>
      </c>
      <c r="R9" s="214">
        <v>-0.002755342722509435</v>
      </c>
      <c r="S9" s="214">
        <v>-4.767665638303331E-4</v>
      </c>
    </row>
    <row r="10">
      <c r="A10" s="208">
        <v>43587.97564416667</v>
      </c>
      <c r="B10" s="30">
        <v>0.14549841700821908</v>
      </c>
      <c r="C10" s="30">
        <v>0.04428303150153285</v>
      </c>
      <c r="D10" s="30">
        <v>0.16860244350093304</v>
      </c>
      <c r="E10" s="30">
        <v>-0.002543957247593961</v>
      </c>
      <c r="F10" s="209">
        <v>-1871.117366666731</v>
      </c>
      <c r="G10" s="209">
        <v>57860.79333333328</v>
      </c>
      <c r="H10" s="209">
        <v>53357.73000000002</v>
      </c>
      <c r="I10" s="209">
        <v>21258.77670748044</v>
      </c>
      <c r="J10" s="211">
        <v>4.151</v>
      </c>
      <c r="K10" s="212">
        <v>49.447</v>
      </c>
      <c r="L10" s="212">
        <v>174.78</v>
      </c>
      <c r="M10" s="212">
        <v>7.255</v>
      </c>
      <c r="N10" s="212">
        <v>108.38</v>
      </c>
      <c r="O10" s="213">
        <v>-0.0017778640124188987</v>
      </c>
      <c r="P10" s="214">
        <v>-0.0027418693895156685</v>
      </c>
      <c r="Q10" s="214">
        <v>-0.0020555555717265417</v>
      </c>
      <c r="R10" s="214">
        <v>-0.005580172393594503</v>
      </c>
      <c r="S10" s="214">
        <v>-0.005266848890729703</v>
      </c>
    </row>
    <row r="11">
      <c r="A11" s="208">
        <v>43585.975535219906</v>
      </c>
      <c r="B11" s="30">
        <v>0.15679535711783452</v>
      </c>
      <c r="C11" s="30">
        <v>0.04648933063111279</v>
      </c>
      <c r="D11" s="30">
        <v>0.18272662668687267</v>
      </c>
      <c r="E11" s="30">
        <v>-0.003929887294238058</v>
      </c>
      <c r="F11" s="209">
        <v>-2895.6889999998966</v>
      </c>
      <c r="G11" s="209">
        <v>59731.91070000001</v>
      </c>
      <c r="H11" s="209">
        <v>54680.9307</v>
      </c>
      <c r="I11" s="209">
        <v>20844.664183137338</v>
      </c>
      <c r="J11" s="211">
        <v>4.1391</v>
      </c>
      <c r="K11" s="212">
        <v>49.668</v>
      </c>
      <c r="L11" s="212">
        <v>175.06</v>
      </c>
      <c r="M11" s="212">
        <v>7.331</v>
      </c>
      <c r="N11" s="212">
        <v>109.22</v>
      </c>
      <c r="O11" s="213">
        <v>-0.0016151836563186677</v>
      </c>
      <c r="P11" s="214">
        <v>-0.0016666108670710205</v>
      </c>
      <c r="Q11" s="214">
        <v>-0.0014267785614584156</v>
      </c>
      <c r="R11" s="214">
        <v>-0.005070569792629431</v>
      </c>
      <c r="S11" s="214">
        <v>-0.0010181935081842546</v>
      </c>
    </row>
    <row r="12">
      <c r="A12" s="208">
        <v>43584.97560777778</v>
      </c>
      <c r="B12" s="30">
        <v>0.16578281011959256</v>
      </c>
      <c r="C12" s="30">
        <v>0.04652559375953019</v>
      </c>
      <c r="D12" s="30">
        <v>0.19173430688798254</v>
      </c>
      <c r="E12" s="30">
        <v>-0.002216751453070978</v>
      </c>
      <c r="F12" s="209">
        <v>-1639.8050000000512</v>
      </c>
      <c r="G12" s="209">
        <v>62627.599699999904</v>
      </c>
      <c r="H12" s="209">
        <v>57576.61970000005</v>
      </c>
      <c r="I12" s="209">
        <v>20678.61994488193</v>
      </c>
      <c r="J12" s="211">
        <v>4.1491</v>
      </c>
      <c r="K12" s="212">
        <v>50.055</v>
      </c>
      <c r="L12" s="212">
        <v>175.46</v>
      </c>
      <c r="M12" s="212">
        <v>7.352</v>
      </c>
      <c r="N12" s="212">
        <v>109.33</v>
      </c>
      <c r="O12" s="213">
        <v>4.7247310299806483E-4</v>
      </c>
      <c r="P12" s="214">
        <v>0.0019924399130701507</v>
      </c>
      <c r="Q12" s="214">
        <v>7.947744373483593E-4</v>
      </c>
      <c r="R12" s="214">
        <v>-0.0030408851065801823</v>
      </c>
      <c r="S12" s="214">
        <v>0.0016300108329422673</v>
      </c>
    </row>
    <row r="13">
      <c r="A13" s="208">
        <v>43581.97563049768</v>
      </c>
      <c r="B13" s="30">
        <v>0.17120373415945572</v>
      </c>
      <c r="C13" s="30">
        <v>0.04663472337741807</v>
      </c>
      <c r="D13" s="30">
        <v>0.19721607161736368</v>
      </c>
      <c r="E13" s="30">
        <v>6.983385537771269E-4</v>
      </c>
      <c r="F13" s="209">
        <v>518.6040000000503</v>
      </c>
      <c r="G13" s="209">
        <v>64267.404699999955</v>
      </c>
      <c r="H13" s="209">
        <v>59216.43469999997</v>
      </c>
      <c r="I13" s="209">
        <v>20256.32217440947</v>
      </c>
      <c r="J13" s="211">
        <v>4.1731</v>
      </c>
      <c r="K13" s="212">
        <v>49.853</v>
      </c>
      <c r="L13" s="212">
        <v>175.86</v>
      </c>
      <c r="M13" s="212">
        <v>7.377</v>
      </c>
      <c r="N13" s="212">
        <v>110.1</v>
      </c>
      <c r="O13" s="213">
        <v>0.005377439084843154</v>
      </c>
      <c r="P13" s="214">
        <v>0.0017258498381983085</v>
      </c>
      <c r="Q13" s="214">
        <v>0.003344748760956214</v>
      </c>
      <c r="R13" s="214">
        <v>-0.0022668441683525073</v>
      </c>
      <c r="S13" s="214">
        <v>0.006245008643002629</v>
      </c>
    </row>
    <row r="14">
      <c r="A14" s="208">
        <v>43580.975545625</v>
      </c>
      <c r="B14" s="30">
        <v>0.16974502164467206</v>
      </c>
      <c r="C14" s="30">
        <v>0.04667121377129712</v>
      </c>
      <c r="D14" s="30">
        <v>0.19577771304425287</v>
      </c>
      <c r="E14" s="30">
        <v>0.003922892665384001</v>
      </c>
      <c r="F14" s="209">
        <v>2911.205600000103</v>
      </c>
      <c r="G14" s="209">
        <v>63748.800699999905</v>
      </c>
      <c r="H14" s="209">
        <v>58697.830699999984</v>
      </c>
      <c r="I14" s="209">
        <v>19925.852817322844</v>
      </c>
      <c r="J14" s="211">
        <v>4.1591</v>
      </c>
      <c r="K14" s="212">
        <v>49.915</v>
      </c>
      <c r="L14" s="212">
        <v>175.81</v>
      </c>
      <c r="M14" s="212">
        <v>7.443</v>
      </c>
      <c r="N14" s="212">
        <v>109.55</v>
      </c>
      <c r="O14" s="213">
        <v>0.004039979609961423</v>
      </c>
      <c r="P14" s="214">
        <v>0.006556169673274326</v>
      </c>
      <c r="Q14" s="214">
        <v>0.004188134550816162</v>
      </c>
      <c r="R14" s="214">
        <v>0.002151599183183491</v>
      </c>
      <c r="S14" s="214">
        <v>0.004086257109087943</v>
      </c>
    </row>
    <row r="15">
      <c r="A15" s="208">
        <v>43579.89794879629</v>
      </c>
      <c r="B15" s="30">
        <v>0.16105651887172234</v>
      </c>
      <c r="C15" s="30">
        <v>0.0467443661439794</v>
      </c>
      <c r="D15" s="30">
        <v>0.18713001386283856</v>
      </c>
      <c r="E15" s="30">
        <v>0.005808953666220856</v>
      </c>
      <c r="F15" s="209">
        <v>4307.0945000000065</v>
      </c>
      <c r="G15" s="209">
        <v>60837.5950999998</v>
      </c>
      <c r="H15" s="209">
        <v>55786.625100000056</v>
      </c>
      <c r="I15" s="209">
        <v>19255.625026274596</v>
      </c>
      <c r="J15" s="211">
        <v>4.1431</v>
      </c>
      <c r="K15" s="212">
        <v>49.756</v>
      </c>
      <c r="L15" s="212">
        <v>175.04</v>
      </c>
      <c r="M15" s="212">
        <v>7.419</v>
      </c>
      <c r="N15" s="212">
        <v>108.79</v>
      </c>
      <c r="O15" s="213">
        <v>0.005572746955023966</v>
      </c>
      <c r="P15" s="214">
        <v>0.00706778403332257</v>
      </c>
      <c r="Q15" s="214">
        <v>0.004936239310246855</v>
      </c>
      <c r="R15" s="214">
        <v>0.00202334929812061</v>
      </c>
      <c r="S15" s="214">
        <v>0.0034680031331012864</v>
      </c>
    </row>
    <row r="16">
      <c r="A16" s="208">
        <v>43578.97560277778</v>
      </c>
      <c r="B16" s="30">
        <v>0.14780835131728923</v>
      </c>
      <c r="C16" s="30">
        <v>0.0467443661439794</v>
      </c>
      <c r="D16" s="30">
        <v>0.17388184630840545</v>
      </c>
      <c r="E16" s="30">
        <v>0.004399806397940702</v>
      </c>
      <c r="F16" s="209">
        <v>3284.6078000001144</v>
      </c>
      <c r="G16" s="209">
        <v>56530.500599999796</v>
      </c>
      <c r="H16" s="209">
        <v>51479.53059999993</v>
      </c>
      <c r="I16" s="209">
        <v>18458.469837007968</v>
      </c>
      <c r="J16" s="211">
        <v>4.1061</v>
      </c>
      <c r="K16" s="212">
        <v>49.595</v>
      </c>
      <c r="L16" s="212">
        <v>174.1</v>
      </c>
      <c r="M16" s="212">
        <v>7.427</v>
      </c>
      <c r="N16" s="212">
        <v>108.05</v>
      </c>
      <c r="O16" s="213">
        <v>0.003086815931970429</v>
      </c>
      <c r="P16" s="214">
        <v>0.004675207637052796</v>
      </c>
      <c r="Q16" s="214">
        <v>0.0031268441245611753</v>
      </c>
      <c r="R16" s="214">
        <v>0.0017951364755979249</v>
      </c>
      <c r="S16" s="214">
        <v>9.219828477348516E-4</v>
      </c>
    </row>
    <row r="17">
      <c r="A17" s="208">
        <v>43573.97544317129</v>
      </c>
      <c r="B17" s="30">
        <v>0.13824696488847563</v>
      </c>
      <c r="C17" s="30">
        <v>0.04692825428774013</v>
      </c>
      <c r="D17" s="30">
        <v>0.16442303067027286</v>
      </c>
      <c r="E17" s="30">
        <v>0.006392996938030246</v>
      </c>
      <c r="F17" s="209">
        <v>4766.672299999991</v>
      </c>
      <c r="G17" s="209">
        <v>53245.89279999968</v>
      </c>
      <c r="H17" s="209">
        <v>48208.7028</v>
      </c>
      <c r="I17" s="209">
        <v>17688.203531250118</v>
      </c>
      <c r="J17" s="211">
        <v>4.1088</v>
      </c>
      <c r="K17" s="212">
        <v>48.938</v>
      </c>
      <c r="L17" s="212">
        <v>173.61</v>
      </c>
      <c r="M17" s="212">
        <v>7.395</v>
      </c>
      <c r="N17" s="212">
        <v>108.21</v>
      </c>
      <c r="O17" s="213">
        <v>0.0019949886895930615</v>
      </c>
      <c r="P17" s="214">
        <v>0.0015000924199473447</v>
      </c>
      <c r="Q17" s="214">
        <v>0.0017828182907682437</v>
      </c>
      <c r="R17" s="214">
        <v>-7.240483919746336E-4</v>
      </c>
      <c r="S17" s="214">
        <v>-0.001770806754054351</v>
      </c>
    </row>
    <row r="18">
      <c r="A18" s="208">
        <v>43572.97561418981</v>
      </c>
      <c r="B18" s="30">
        <v>0.12362474130469611</v>
      </c>
      <c r="C18" s="30">
        <v>0.0468940949641638</v>
      </c>
      <c r="D18" s="30">
        <v>0.14982144906617323</v>
      </c>
      <c r="E18" s="30">
        <v>-7.941402535999017E-4</v>
      </c>
      <c r="F18" s="209">
        <v>-592.1540000000969</v>
      </c>
      <c r="G18" s="209">
        <v>48479.22049999969</v>
      </c>
      <c r="H18" s="209">
        <v>43428.240500000014</v>
      </c>
      <c r="I18" s="209">
        <v>17089.669845703214</v>
      </c>
      <c r="J18" s="211">
        <v>4.0741</v>
      </c>
      <c r="K18" s="212">
        <v>48.707</v>
      </c>
      <c r="L18" s="212">
        <v>172.46</v>
      </c>
      <c r="M18" s="212">
        <v>7.374</v>
      </c>
      <c r="N18" s="212">
        <v>107.66</v>
      </c>
      <c r="O18" s="213">
        <v>-4.936380484396782E-4</v>
      </c>
      <c r="P18" s="214">
        <v>2.8246939363348506E-4</v>
      </c>
      <c r="Q18" s="214">
        <v>-2.514640823568411E-4</v>
      </c>
      <c r="R18" s="214">
        <v>-0.002660154005498535</v>
      </c>
      <c r="S18" s="214">
        <v>-0.004200472576329754</v>
      </c>
    </row>
    <row r="19">
      <c r="A19" s="208">
        <v>43571.97564483796</v>
      </c>
      <c r="B19" s="30">
        <v>0.1255536106010848</v>
      </c>
      <c r="C19" s="30">
        <v>0.046931048545695846</v>
      </c>
      <c r="D19" s="30">
        <v>0.1517709619462983</v>
      </c>
      <c r="E19" s="30">
        <v>-0.0015817873340589915</v>
      </c>
      <c r="F19" s="209">
        <v>-1180.4030000000494</v>
      </c>
      <c r="G19" s="209">
        <v>49071.37449999979</v>
      </c>
      <c r="H19" s="209">
        <v>44020.394500000024</v>
      </c>
      <c r="I19" s="209">
        <v>16798.618218750107</v>
      </c>
      <c r="J19" s="211">
        <v>4.0681</v>
      </c>
      <c r="K19" s="212">
        <v>48.899</v>
      </c>
      <c r="L19" s="212">
        <v>172.47</v>
      </c>
      <c r="M19" s="212">
        <v>7.387</v>
      </c>
      <c r="N19" s="212">
        <v>107.75</v>
      </c>
      <c r="O19" s="213">
        <v>-0.005232805904407593</v>
      </c>
      <c r="P19" s="214">
        <v>0.0015690507051970837</v>
      </c>
      <c r="Q19" s="214">
        <v>-0.0029746663961643938</v>
      </c>
      <c r="R19" s="214">
        <v>-0.0033730104518142254</v>
      </c>
      <c r="S19" s="214">
        <v>-0.005970371333431442</v>
      </c>
    </row>
    <row r="20">
      <c r="A20" s="208">
        <v>43570.975653437505</v>
      </c>
      <c r="B20" s="30">
        <v>0.1293063297631293</v>
      </c>
      <c r="C20" s="30">
        <v>0.04696806041363409</v>
      </c>
      <c r="D20" s="30">
        <v>0.15554435725293683</v>
      </c>
      <c r="E20" s="30">
        <v>4.000646562529695E-4</v>
      </c>
      <c r="F20" s="209">
        <v>299.5089999999618</v>
      </c>
      <c r="G20" s="209">
        <v>50251.77749999984</v>
      </c>
      <c r="H20" s="209">
        <v>45200.79750000003</v>
      </c>
      <c r="I20" s="209">
        <v>16416.009255859488</v>
      </c>
      <c r="J20" s="211">
        <v>4.0841</v>
      </c>
      <c r="K20" s="212">
        <v>48.717</v>
      </c>
      <c r="L20" s="212">
        <v>172.68</v>
      </c>
      <c r="M20" s="212">
        <v>7.411</v>
      </c>
      <c r="N20" s="212">
        <v>108.78</v>
      </c>
      <c r="O20" s="213">
        <v>-0.005131831052264372</v>
      </c>
      <c r="P20" s="214">
        <v>9.3110903271539E-4</v>
      </c>
      <c r="Q20" s="214">
        <v>-0.003143478325144463</v>
      </c>
      <c r="R20" s="214">
        <v>-0.004032187110687128</v>
      </c>
      <c r="S20" s="214">
        <v>-0.006400234950344623</v>
      </c>
    </row>
    <row r="21">
      <c r="A21" s="208">
        <v>43567.97559715278</v>
      </c>
      <c r="B21" s="30">
        <v>0.12868371611609508</v>
      </c>
      <c r="C21" s="30">
        <v>0.04707944711817236</v>
      </c>
      <c r="D21" s="30">
        <v>0.15498396817702467</v>
      </c>
      <c r="E21" s="30">
        <v>-0.002544752018595485</v>
      </c>
      <c r="F21" s="209">
        <v>-1907.474500000244</v>
      </c>
      <c r="G21" s="209">
        <v>49952.268499999875</v>
      </c>
      <c r="H21" s="209">
        <v>44901.2885</v>
      </c>
      <c r="I21" s="209">
        <v>16013.887562500044</v>
      </c>
      <c r="J21" s="211">
        <v>4.0801</v>
      </c>
      <c r="K21" s="212">
        <v>48.665</v>
      </c>
      <c r="L21" s="212">
        <v>172.59</v>
      </c>
      <c r="M21" s="212">
        <v>7.433</v>
      </c>
      <c r="N21" s="212">
        <v>109.02</v>
      </c>
      <c r="O21" s="213">
        <v>-0.004654525843059402</v>
      </c>
      <c r="P21" s="214">
        <v>0.0012408677513651156</v>
      </c>
      <c r="Q21" s="214">
        <v>-0.0025522893482210485</v>
      </c>
      <c r="R21" s="214">
        <v>-0.0012651262555858356</v>
      </c>
      <c r="S21" s="214">
        <v>-0.0044021793808604786</v>
      </c>
    </row>
    <row r="22">
      <c r="A22" s="208">
        <v>43566.97564020833</v>
      </c>
      <c r="B22" s="30">
        <v>0.13773007595840908</v>
      </c>
      <c r="C22" s="30">
        <v>0.044095031582766966</v>
      </c>
      <c r="D22" s="30">
        <v>0.16102947324733735</v>
      </c>
      <c r="E22" s="30">
        <v>-0.0015316373595653226</v>
      </c>
      <c r="F22" s="209">
        <v>-693.9020000000601</v>
      </c>
      <c r="G22" s="209">
        <v>51859.74300000012</v>
      </c>
      <c r="H22" s="209">
        <v>47781.89299999999</v>
      </c>
      <c r="I22" s="209">
        <v>10035.30572656252</v>
      </c>
      <c r="J22" s="211">
        <v>4.1321</v>
      </c>
      <c r="K22" s="212">
        <v>48.669</v>
      </c>
      <c r="L22" s="212">
        <v>174.01</v>
      </c>
      <c r="M22" s="212">
        <v>7.462</v>
      </c>
      <c r="N22" s="212">
        <v>109.69</v>
      </c>
      <c r="O22" s="213">
        <v>2.3830994231525496E-4</v>
      </c>
      <c r="P22" s="214">
        <v>-9.988299267301344E-5</v>
      </c>
      <c r="Q22" s="214">
        <v>3.6274413777759307E-4</v>
      </c>
      <c r="R22" s="214">
        <v>-9.028315423242894E-4</v>
      </c>
      <c r="S22" s="214">
        <v>-9.353142944369767E-4</v>
      </c>
    </row>
    <row r="23">
      <c r="A23" s="208">
        <v>43565.97559818287</v>
      </c>
      <c r="B23" s="30">
        <v>0.13999546409041944</v>
      </c>
      <c r="C23" s="30">
        <v>0.044129944513553</v>
      </c>
      <c r="D23" s="30">
        <v>0.16331330904149255</v>
      </c>
      <c r="E23" s="30">
        <v>0.002726040433064516</v>
      </c>
      <c r="F23" s="209">
        <v>1236.9130000000005</v>
      </c>
      <c r="G23" s="209">
        <v>52553.64500000018</v>
      </c>
      <c r="H23" s="209">
        <v>48475.79500000002</v>
      </c>
      <c r="I23" s="209">
        <v>9832.96853515627</v>
      </c>
      <c r="J23" s="211">
        <v>4.1471</v>
      </c>
      <c r="K23" s="212">
        <v>48.581</v>
      </c>
      <c r="L23" s="212">
        <v>174.31</v>
      </c>
      <c r="M23" s="212">
        <v>7.501</v>
      </c>
      <c r="N23" s="212">
        <v>110.88</v>
      </c>
      <c r="O23" s="213">
        <v>-4.0839194964777575E-4</v>
      </c>
      <c r="P23" s="214">
        <v>-0.0019624449674541244</v>
      </c>
      <c r="Q23" s="214">
        <v>-6.159072782105183E-4</v>
      </c>
      <c r="R23" s="214">
        <v>0.0017303560909611344</v>
      </c>
      <c r="S23" s="214">
        <v>0.002832466493741248</v>
      </c>
    </row>
    <row r="24">
      <c r="A24" s="208">
        <v>43564.97563767361</v>
      </c>
      <c r="B24" s="30">
        <v>0.136259575344721</v>
      </c>
      <c r="C24" s="30">
        <v>0.04416491277386485</v>
      </c>
      <c r="D24" s="30">
        <v>0.15959589719353667</v>
      </c>
      <c r="E24" s="30">
        <v>-0.0017553192457968596</v>
      </c>
      <c r="F24" s="209">
        <v>-794.286999999953</v>
      </c>
      <c r="G24" s="209">
        <v>51316.73200000018</v>
      </c>
      <c r="H24" s="209">
        <v>47238.88200000001</v>
      </c>
      <c r="I24" s="209">
        <v>9621.817519531263</v>
      </c>
      <c r="J24" s="211">
        <v>4.1371</v>
      </c>
      <c r="K24" s="212">
        <v>48.484</v>
      </c>
      <c r="L24" s="212">
        <v>173.91</v>
      </c>
      <c r="M24" s="212">
        <v>7.461</v>
      </c>
      <c r="N24" s="212">
        <v>110.46</v>
      </c>
      <c r="O24" s="213">
        <v>-4.896405240942073E-4</v>
      </c>
      <c r="P24" s="214">
        <v>-6.157355063578507E-4</v>
      </c>
      <c r="Q24" s="214">
        <v>-0.0010563324130778984</v>
      </c>
      <c r="R24" s="214">
        <v>3.9952308240061757E-4</v>
      </c>
      <c r="S24" s="214">
        <v>0.0026007055515929003</v>
      </c>
    </row>
    <row r="25">
      <c r="A25" s="208">
        <v>43563.97568585648</v>
      </c>
      <c r="B25" s="30">
        <v>0.13883983695500174</v>
      </c>
      <c r="C25" s="30">
        <v>0.044199936495335004</v>
      </c>
      <c r="D25" s="30">
        <v>0.16219466500671098</v>
      </c>
      <c r="E25" s="30">
        <v>-0.002640356278959247</v>
      </c>
      <c r="F25" s="209">
        <v>-1196.8660000000382</v>
      </c>
      <c r="G25" s="209">
        <v>52111.01900000013</v>
      </c>
      <c r="H25" s="209">
        <v>48033.16900000001</v>
      </c>
      <c r="I25" s="209">
        <v>9417.492847656278</v>
      </c>
      <c r="J25" s="211">
        <v>4.1291</v>
      </c>
      <c r="K25" s="212">
        <v>48.683</v>
      </c>
      <c r="L25" s="212">
        <v>173.82</v>
      </c>
      <c r="M25" s="212">
        <v>7.482</v>
      </c>
      <c r="N25" s="212">
        <v>109.99</v>
      </c>
      <c r="O25" s="213">
        <v>-2.492088288366112E-4</v>
      </c>
      <c r="P25" s="214">
        <v>-2.479643440578272E-6</v>
      </c>
      <c r="Q25" s="214">
        <v>-6.938512903392388E-4</v>
      </c>
      <c r="R25" s="214">
        <v>0.0022323495395052038</v>
      </c>
      <c r="S25" s="214">
        <v>0.0012128078726541351</v>
      </c>
    </row>
    <row r="26">
      <c r="A26" s="208">
        <v>43560.97554396991</v>
      </c>
      <c r="B26" s="30">
        <v>0.14290504240639454</v>
      </c>
      <c r="C26" s="30">
        <v>0.04430534174929844</v>
      </c>
      <c r="D26" s="30">
        <v>0.1663155655965419</v>
      </c>
      <c r="E26" s="30">
        <v>0.0038188070789270732</v>
      </c>
      <c r="F26" s="209">
        <v>1735.6250000000582</v>
      </c>
      <c r="G26" s="209">
        <v>53307.88500000017</v>
      </c>
      <c r="H26" s="209">
        <v>49230.034999999945</v>
      </c>
      <c r="I26" s="209">
        <v>9203.699394531292</v>
      </c>
      <c r="J26" s="211">
        <v>4.1521</v>
      </c>
      <c r="K26" s="212">
        <v>48.867</v>
      </c>
      <c r="L26" s="212">
        <v>174.63</v>
      </c>
      <c r="M26" s="212">
        <v>7.462</v>
      </c>
      <c r="N26" s="212">
        <v>109.94</v>
      </c>
      <c r="O26" s="213">
        <v>-0.002256524667970846</v>
      </c>
      <c r="P26" s="214">
        <v>0.0021954321134480814</v>
      </c>
      <c r="Q26" s="214">
        <v>-0.0014178578783235658</v>
      </c>
      <c r="R26" s="214">
        <v>0.0011619178074986358</v>
      </c>
      <c r="S26" s="214">
        <v>-5.812066824687859E-4</v>
      </c>
    </row>
    <row r="27">
      <c r="A27" s="208">
        <v>43559.97564106481</v>
      </c>
      <c r="B27" s="30">
        <v>0.13759943587788667</v>
      </c>
      <c r="C27" s="30">
        <v>0.04434058864010934</v>
      </c>
      <c r="D27" s="30">
        <v>0.16102858319149477</v>
      </c>
      <c r="E27" s="30">
        <v>-3.6903723773483904E-4</v>
      </c>
      <c r="F27" s="209">
        <v>-168.04999999998836</v>
      </c>
      <c r="G27" s="209">
        <v>51572.26000000011</v>
      </c>
      <c r="H27" s="209">
        <v>47494.410000000025</v>
      </c>
      <c r="I27" s="209">
        <v>8876.414636718808</v>
      </c>
      <c r="J27" s="211">
        <v>4.1431</v>
      </c>
      <c r="K27" s="212">
        <v>48.572</v>
      </c>
      <c r="L27" s="212">
        <v>174.46</v>
      </c>
      <c r="M27" s="212">
        <v>7.452</v>
      </c>
      <c r="N27" s="212">
        <v>109.6</v>
      </c>
      <c r="O27" s="213">
        <v>-0.002907280283766448</v>
      </c>
      <c r="P27" s="214">
        <v>0.0017624582238358055</v>
      </c>
      <c r="Q27" s="214">
        <v>-6.969447237218374E-4</v>
      </c>
      <c r="R27" s="214">
        <v>0.0010738257869487382</v>
      </c>
      <c r="S27" s="214">
        <v>-0.0012185976241821939</v>
      </c>
    </row>
    <row r="28">
      <c r="A28" s="208">
        <v>43558.97564258102</v>
      </c>
      <c r="B28" s="30">
        <v>0.13823412456723724</v>
      </c>
      <c r="C28" s="30">
        <v>0.04437589165654254</v>
      </c>
      <c r="D28" s="30">
        <v>0.1616819256605536</v>
      </c>
      <c r="E28" s="30">
        <v>-9.532158549980531E-4</v>
      </c>
      <c r="F28" s="209">
        <v>-434.22999999990134</v>
      </c>
      <c r="G28" s="209">
        <v>51740.3100000001</v>
      </c>
      <c r="H28" s="209">
        <v>47662.459999999985</v>
      </c>
      <c r="I28" s="209">
        <v>8679.92717187506</v>
      </c>
      <c r="J28" s="211">
        <v>4.1321</v>
      </c>
      <c r="K28" s="212">
        <v>48.682</v>
      </c>
      <c r="L28" s="212">
        <v>174.18</v>
      </c>
      <c r="M28" s="212">
        <v>7.432</v>
      </c>
      <c r="N28" s="212">
        <v>109.59</v>
      </c>
      <c r="O28" s="213">
        <v>-0.007054551275438858</v>
      </c>
      <c r="P28" s="214">
        <v>0.006249801543271112</v>
      </c>
      <c r="Q28" s="214">
        <v>-0.002604769501346138</v>
      </c>
      <c r="R28" s="214">
        <v>0.0022434727192017037</v>
      </c>
      <c r="S28" s="214">
        <v>-0.0018247688252438499</v>
      </c>
    </row>
    <row r="29">
      <c r="A29" s="208">
        <v>43526.0</v>
      </c>
      <c r="B29" s="30">
        <v>0.1397</v>
      </c>
      <c r="C29" s="30">
        <v>0.0444</v>
      </c>
      <c r="D29" s="30">
        <v>0.1632</v>
      </c>
      <c r="E29" s="30">
        <v>0.0034</v>
      </c>
      <c r="F29" s="209">
        <v>1542.98</v>
      </c>
      <c r="G29" s="209">
        <v>52174.54</v>
      </c>
      <c r="H29" s="209">
        <v>48096.69</v>
      </c>
      <c r="I29" s="209">
        <v>8554.45</v>
      </c>
      <c r="J29" s="211">
        <v>4.18</v>
      </c>
      <c r="K29" s="212">
        <v>48.545</v>
      </c>
      <c r="L29" s="212">
        <v>175.37</v>
      </c>
      <c r="M29" s="212">
        <v>7.436</v>
      </c>
      <c r="N29" s="212">
        <v>110.13</v>
      </c>
      <c r="O29" s="213">
        <v>-0.0032</v>
      </c>
      <c r="P29" s="214">
        <v>0.0053</v>
      </c>
      <c r="Q29" s="214">
        <v>-3.0E-4</v>
      </c>
      <c r="R29" s="214">
        <v>0.0024</v>
      </c>
      <c r="S29" s="214">
        <v>-2.0E-4</v>
      </c>
    </row>
    <row r="30">
      <c r="A30" s="208">
        <v>43556.9756159838</v>
      </c>
      <c r="B30" s="30">
        <v>0.13493363868649866</v>
      </c>
      <c r="C30" s="30">
        <v>0.044446666603363195</v>
      </c>
      <c r="D30" s="30">
        <v>0.1584695767964733</v>
      </c>
      <c r="E30" s="30">
        <v>0.0038411764472997927</v>
      </c>
      <c r="F30" s="209">
        <v>1761.6066666667175</v>
      </c>
      <c r="G30" s="209">
        <v>50631.56466666686</v>
      </c>
      <c r="H30" s="209">
        <v>46810.313000000024</v>
      </c>
      <c r="I30" s="209">
        <v>8595.72267315179</v>
      </c>
      <c r="J30" s="211">
        <v>4.1791</v>
      </c>
      <c r="K30" s="212">
        <v>48.315</v>
      </c>
      <c r="L30" s="212">
        <v>174.82</v>
      </c>
      <c r="M30" s="212">
        <v>7.428</v>
      </c>
      <c r="N30" s="212">
        <v>110.0</v>
      </c>
      <c r="O30" s="213">
        <v>-0.0024726044688401227</v>
      </c>
      <c r="P30" s="214">
        <v>0.006566422757664429</v>
      </c>
      <c r="Q30" s="214">
        <v>-0.0014120656188270815</v>
      </c>
      <c r="R30" s="214">
        <v>0.0026058441078449603</v>
      </c>
      <c r="S30" s="214">
        <v>-0.0035337252649069173</v>
      </c>
    </row>
    <row r="31">
      <c r="A31" s="208">
        <v>43553.97584701389</v>
      </c>
      <c r="B31" s="30">
        <v>0.13425271373643816</v>
      </c>
      <c r="C31" s="30">
        <v>0.046788315682355995</v>
      </c>
      <c r="D31" s="30">
        <v>0.16101440492248253</v>
      </c>
      <c r="E31" s="30">
        <v>0.0043553499686326625</v>
      </c>
      <c r="F31" s="210">
        <v>1987.115000000049</v>
      </c>
      <c r="G31" s="209">
        <v>48869.958000000144</v>
      </c>
      <c r="H31" s="209">
        <v>44445.99799999998</v>
      </c>
      <c r="I31" s="209">
        <v>8487.823707031295</v>
      </c>
      <c r="J31" s="211">
        <v>4.22</v>
      </c>
      <c r="K31" s="212">
        <v>47.774</v>
      </c>
      <c r="L31" s="212">
        <v>175.54</v>
      </c>
      <c r="M31" s="212">
        <v>7.382</v>
      </c>
      <c r="N31" s="212">
        <v>110.19</v>
      </c>
      <c r="O31" s="213">
        <v>0.00490684224553702</v>
      </c>
      <c r="P31" s="214">
        <v>0.0020176689655905613</v>
      </c>
      <c r="Q31" s="214">
        <v>0.0022581852094027965</v>
      </c>
      <c r="R31" s="214">
        <v>-7.700409452758109E-4</v>
      </c>
      <c r="S31" s="214">
        <v>-0.002897994077538472</v>
      </c>
    </row>
    <row r="32">
      <c r="A32" s="208">
        <v>43552.97569547454</v>
      </c>
      <c r="B32" s="30">
        <v>0.12780782661450554</v>
      </c>
      <c r="C32" s="30">
        <v>0.04682574633490188</v>
      </c>
      <c r="D32" s="30">
        <v>0.15459092715349879</v>
      </c>
      <c r="E32" s="30">
        <v>-0.001074647144158848</v>
      </c>
      <c r="F32" s="210">
        <v>-488.1690000001108</v>
      </c>
      <c r="G32" s="209">
        <v>46882.843000000095</v>
      </c>
      <c r="H32" s="209">
        <v>42458.88300000001</v>
      </c>
      <c r="I32" s="209">
        <v>8389.82951372554</v>
      </c>
      <c r="J32" s="211">
        <v>4.2211</v>
      </c>
      <c r="K32" s="212">
        <v>47.389</v>
      </c>
      <c r="L32" s="212">
        <v>175.89</v>
      </c>
      <c r="M32" s="212">
        <v>7.367</v>
      </c>
      <c r="N32" s="212">
        <v>109.63</v>
      </c>
      <c r="O32" s="213">
        <v>0.005843497597674181</v>
      </c>
      <c r="P32" s="214">
        <v>0.0020972539854902474</v>
      </c>
      <c r="Q32" s="214">
        <v>0.003362529576878622</v>
      </c>
      <c r="R32" s="214">
        <v>-2.3098357194384356E-4</v>
      </c>
      <c r="S32" s="214">
        <v>-0.005761733578233137</v>
      </c>
    </row>
    <row r="33">
      <c r="A33" s="208">
        <v>43551.975784270835</v>
      </c>
      <c r="B33" s="30">
        <v>0.1295211261517298</v>
      </c>
      <c r="C33" s="30">
        <v>0.046863236924441436</v>
      </c>
      <c r="D33" s="30">
        <v>0.1563256703260625</v>
      </c>
      <c r="E33" s="30">
        <v>2.709192950547475E-6</v>
      </c>
      <c r="F33" s="210">
        <v>1.2320000000181608</v>
      </c>
      <c r="G33" s="209">
        <v>47371.012000000206</v>
      </c>
      <c r="H33" s="209">
        <v>42947.052000000025</v>
      </c>
      <c r="I33" s="209">
        <v>8195.742713725567</v>
      </c>
      <c r="J33" s="211">
        <v>4.21</v>
      </c>
      <c r="K33" s="212">
        <v>47.368</v>
      </c>
      <c r="L33" s="212">
        <v>175.56</v>
      </c>
      <c r="M33" s="212">
        <v>7.37</v>
      </c>
      <c r="N33" s="212">
        <v>111.16</v>
      </c>
      <c r="O33" s="213">
        <v>0.004677610932322736</v>
      </c>
      <c r="P33" s="214">
        <v>-3.1562561312825643E-4</v>
      </c>
      <c r="Q33" s="214">
        <v>0.002794570363914358</v>
      </c>
      <c r="R33" s="214">
        <v>4.473504896840286E-4</v>
      </c>
      <c r="S33" s="214">
        <v>5.938552453162993E-4</v>
      </c>
    </row>
    <row r="34">
      <c r="A34" s="208">
        <v>43550.97580263889</v>
      </c>
      <c r="B34" s="30">
        <v>0.12962084021304812</v>
      </c>
      <c r="C34" s="30">
        <v>0.04690078759505397</v>
      </c>
      <c r="D34" s="30">
        <v>0.15644686238752048</v>
      </c>
      <c r="E34" s="30">
        <v>0.004457025904133115</v>
      </c>
      <c r="F34" s="210">
        <v>2026.8180000000866</v>
      </c>
      <c r="G34" s="209">
        <v>47369.78000000019</v>
      </c>
      <c r="H34" s="209">
        <v>42945.81999999999</v>
      </c>
      <c r="I34" s="209">
        <v>7984.434419607879</v>
      </c>
      <c r="J34" s="211">
        <v>4.158</v>
      </c>
      <c r="K34" s="212">
        <v>47.484</v>
      </c>
      <c r="L34" s="212">
        <v>174.35</v>
      </c>
      <c r="M34" s="212">
        <v>7.399</v>
      </c>
      <c r="N34" s="212">
        <v>111.14</v>
      </c>
      <c r="O34" s="213">
        <v>0.00706488637539963</v>
      </c>
      <c r="P34" s="214">
        <v>-0.0014328100731747506</v>
      </c>
      <c r="Q34" s="214">
        <v>0.00417341957782158</v>
      </c>
      <c r="R34" s="214">
        <v>0.0013060756386427859</v>
      </c>
      <c r="S34" s="214">
        <v>0.004288988579151202</v>
      </c>
    </row>
    <row r="35">
      <c r="A35" s="208">
        <v>43549.9760040625</v>
      </c>
      <c r="B35" s="30">
        <v>0.12302550258347839</v>
      </c>
      <c r="C35" s="30">
        <v>0.04693839849128095</v>
      </c>
      <c r="D35" s="30">
        <v>0.1498730372055646</v>
      </c>
      <c r="E35" s="30">
        <v>-0.008768818705788606</v>
      </c>
      <c r="F35" s="210">
        <v>-3969.818920516758</v>
      </c>
      <c r="G35" s="209">
        <v>45342.9620000001</v>
      </c>
      <c r="H35" s="209">
        <v>40919.002000000015</v>
      </c>
      <c r="I35" s="209">
        <v>7775.553521568667</v>
      </c>
      <c r="J35" s="211">
        <v>4.1474</v>
      </c>
      <c r="K35" s="212">
        <v>47.09</v>
      </c>
      <c r="L35" s="212">
        <v>174.12</v>
      </c>
      <c r="M35" s="212">
        <v>7.372</v>
      </c>
      <c r="N35" s="212">
        <v>111.53</v>
      </c>
      <c r="O35" s="213">
        <v>0.009163521807368458</v>
      </c>
      <c r="P35" s="214">
        <v>-8.712624438841724E-4</v>
      </c>
      <c r="Q35" s="214">
        <v>0.005553597743764145</v>
      </c>
      <c r="R35" s="214">
        <v>8.969504667092713E-5</v>
      </c>
      <c r="S35" s="214">
        <v>0.006400561528073408</v>
      </c>
    </row>
    <row r="36">
      <c r="A36" s="208">
        <v>43546.97561252315</v>
      </c>
      <c r="B36" s="30">
        <v>0.13647535663410504</v>
      </c>
      <c r="C36" s="30">
        <v>0.04705159398603485</v>
      </c>
      <c r="D36" s="30">
        <v>0.16338763611460466</v>
      </c>
      <c r="E36" s="30">
        <v>0.008916471722208642</v>
      </c>
      <c r="F36" s="210">
        <v>6755.775326436502</v>
      </c>
      <c r="G36" s="209">
        <v>49312.78092051686</v>
      </c>
      <c r="H36" s="209">
        <v>44824.480920516886</v>
      </c>
      <c r="I36" s="209">
        <v>11710.44986120375</v>
      </c>
      <c r="J36" s="215">
        <v>4.151</v>
      </c>
      <c r="K36" s="212">
        <v>47.41</v>
      </c>
      <c r="L36" s="212">
        <v>174.09</v>
      </c>
      <c r="M36" s="212">
        <v>7.36</v>
      </c>
      <c r="N36" s="212">
        <v>110.96</v>
      </c>
      <c r="O36" s="213">
        <v>0.010774955227212205</v>
      </c>
      <c r="P36" s="214">
        <v>-0.0026660567679895517</v>
      </c>
      <c r="Q36" s="214">
        <v>0.006216444854785082</v>
      </c>
      <c r="R36" s="214">
        <v>-6.145163509903758E-7</v>
      </c>
      <c r="S36" s="214">
        <v>0.0032649303894587423</v>
      </c>
    </row>
    <row r="37">
      <c r="A37" s="208">
        <v>43545.975588726855</v>
      </c>
      <c r="B37" s="30">
        <v>0.11418328837829529</v>
      </c>
      <c r="C37" s="30">
        <v>0.04708944723944276</v>
      </c>
      <c r="D37" s="30">
        <v>0.14111721892836893</v>
      </c>
      <c r="E37" s="30">
        <v>0.006984233166929524</v>
      </c>
      <c r="F37" s="210">
        <v>5244.585252995108</v>
      </c>
      <c r="G37" s="209">
        <v>42557.00559408036</v>
      </c>
      <c r="H37" s="209">
        <v>38068.705594080355</v>
      </c>
      <c r="I37" s="209">
        <v>11435.229071214679</v>
      </c>
      <c r="J37" s="215">
        <v>4.07</v>
      </c>
      <c r="K37" s="212">
        <v>47.685</v>
      </c>
      <c r="L37" s="212">
        <v>172.17</v>
      </c>
      <c r="M37" s="212">
        <v>7.37</v>
      </c>
      <c r="N37" s="212">
        <v>109.71</v>
      </c>
      <c r="O37" s="213">
        <v>0.0028601782441531887</v>
      </c>
      <c r="P37" s="214">
        <v>0.0015973603698940704</v>
      </c>
      <c r="Q37" s="214">
        <v>0.0014671822102119148</v>
      </c>
      <c r="R37" s="214">
        <v>9.051825850982335E-4</v>
      </c>
      <c r="S37" s="214">
        <v>-5.50854326685779E-4</v>
      </c>
    </row>
    <row r="38">
      <c r="A38" s="208">
        <v>43544.975511666664</v>
      </c>
      <c r="B38" s="30">
        <v>0.09687039968075103</v>
      </c>
      <c r="C38" s="30">
        <v>0.04712736144817017</v>
      </c>
      <c r="D38" s="30">
        <v>0.12382601616524501</v>
      </c>
      <c r="E38" s="30">
        <v>-0.0021566447874893408</v>
      </c>
      <c r="F38" s="210">
        <v>-1608.1523285183357</v>
      </c>
      <c r="G38" s="209">
        <v>37312.42034108525</v>
      </c>
      <c r="H38" s="209">
        <v>32824.12034108528</v>
      </c>
      <c r="I38" s="209">
        <v>11202.40130813446</v>
      </c>
      <c r="J38" s="215">
        <v>4.034</v>
      </c>
      <c r="K38" s="212">
        <v>47.209</v>
      </c>
      <c r="L38" s="212">
        <v>171.23</v>
      </c>
      <c r="M38" s="212">
        <v>7.37</v>
      </c>
      <c r="N38" s="212">
        <v>109.4</v>
      </c>
      <c r="O38" s="213">
        <v>5.726592280096051E-4</v>
      </c>
      <c r="P38" s="214">
        <v>-0.002432525045970394</v>
      </c>
      <c r="Q38" s="214">
        <v>-4.69403778093828E-4</v>
      </c>
      <c r="R38" s="214">
        <v>0.0018122120635563066</v>
      </c>
      <c r="S38" s="214">
        <v>-0.0011590643962028728</v>
      </c>
    </row>
    <row r="39">
      <c r="A39" s="208">
        <v>43543.97553142361</v>
      </c>
      <c r="B39" s="30">
        <v>0.10228961666412115</v>
      </c>
      <c r="C39" s="30">
        <v>0.04716533675957079</v>
      </c>
      <c r="D39" s="30">
        <v>0.12926695403216426</v>
      </c>
      <c r="E39" s="30">
        <v>-9.732146365752263E-5</v>
      </c>
      <c r="F39" s="210">
        <v>-72.72651987185236</v>
      </c>
      <c r="G39" s="209">
        <v>38920.572669603585</v>
      </c>
      <c r="H39" s="209">
        <v>34432.27266960355</v>
      </c>
      <c r="I39" s="209">
        <v>11022.979391725079</v>
      </c>
      <c r="J39" s="215">
        <v>4.018</v>
      </c>
      <c r="K39" s="212">
        <v>47.784</v>
      </c>
      <c r="L39" s="212">
        <v>170.86</v>
      </c>
      <c r="M39" s="212">
        <v>7.36</v>
      </c>
      <c r="N39" s="212">
        <v>109.87</v>
      </c>
      <c r="O39" s="213">
        <v>1.6108435887203973E-4</v>
      </c>
      <c r="P39" s="214">
        <v>0.002973386902193805</v>
      </c>
      <c r="Q39" s="214">
        <v>-8.00887615329667E-4</v>
      </c>
      <c r="R39" s="214">
        <v>0.001359928029182722</v>
      </c>
      <c r="S39" s="214">
        <v>0.0014268120267443656</v>
      </c>
    </row>
    <row r="40">
      <c r="A40" s="208">
        <v>43542.97552386574</v>
      </c>
      <c r="B40" s="30">
        <v>0.10261384978132237</v>
      </c>
      <c r="C40" s="30">
        <v>0.047203373321473674</v>
      </c>
      <c r="D40" s="30">
        <v>0.1296129430665978</v>
      </c>
      <c r="E40" s="30">
        <v>0.001245582529485045</v>
      </c>
      <c r="F40" s="210">
        <v>932.1978129070485</v>
      </c>
      <c r="G40" s="209">
        <v>38993.29918947544</v>
      </c>
      <c r="H40" s="209">
        <v>34504.999189475515</v>
      </c>
      <c r="I40" s="209">
        <v>10763.32817663526</v>
      </c>
      <c r="J40" s="215">
        <v>4.035</v>
      </c>
      <c r="K40" s="212">
        <v>47.45</v>
      </c>
      <c r="L40" s="212">
        <v>171.41</v>
      </c>
      <c r="M40" s="212">
        <v>7.35</v>
      </c>
      <c r="N40" s="212">
        <v>109.89</v>
      </c>
      <c r="O40" s="213">
        <v>-7.526326000716713E-4</v>
      </c>
      <c r="P40" s="214">
        <v>5.941876780034919E-4</v>
      </c>
      <c r="Q40" s="214">
        <v>-3.89607581886701E-4</v>
      </c>
      <c r="R40" s="214">
        <v>9.070294784580361E-4</v>
      </c>
      <c r="S40" s="214">
        <v>-0.0017117789411309852</v>
      </c>
    </row>
    <row r="41">
      <c r="A41" s="208">
        <v>43539.97556614583</v>
      </c>
      <c r="B41" s="30">
        <v>0.09975658956826469</v>
      </c>
      <c r="C41" s="30">
        <v>0.04731785199565671</v>
      </c>
      <c r="D41" s="30">
        <v>0.12682116165698057</v>
      </c>
      <c r="E41" s="30">
        <v>0.0024095982170836117</v>
      </c>
      <c r="F41" s="210">
        <v>1801.104527182877</v>
      </c>
      <c r="G41" s="209">
        <v>38061.10137656839</v>
      </c>
      <c r="H41" s="209">
        <v>33572.80137656835</v>
      </c>
      <c r="I41" s="209">
        <v>10485.733440479442</v>
      </c>
      <c r="J41" s="215">
        <v>4.027</v>
      </c>
      <c r="K41" s="212">
        <v>47.55</v>
      </c>
      <c r="L41" s="212">
        <v>171.47</v>
      </c>
      <c r="M41" s="212">
        <v>7.33</v>
      </c>
      <c r="N41" s="212">
        <v>109.78</v>
      </c>
      <c r="O41" s="213">
        <v>-0.001001383330880364</v>
      </c>
      <c r="P41" s="214">
        <v>0.003203856308619968</v>
      </c>
      <c r="Q41" s="214">
        <v>-2.1465661247122014E-4</v>
      </c>
      <c r="R41" s="214">
        <v>0.0018190086402910903</v>
      </c>
      <c r="S41" s="214">
        <v>1.2748298565168348E-4</v>
      </c>
    </row>
    <row r="42">
      <c r="A42" s="208">
        <v>43538.96140621528</v>
      </c>
      <c r="B42" s="30">
        <v>0.09383108865051297</v>
      </c>
      <c r="C42" s="30">
        <v>0.047356135047433134</v>
      </c>
      <c r="D42" s="30">
        <v>0.12091755764221324</v>
      </c>
      <c r="E42" s="30">
        <v>-0.0032143418306662765</v>
      </c>
      <c r="F42" s="210">
        <v>-2396.837587733986</v>
      </c>
      <c r="G42" s="209">
        <v>36259.99684938551</v>
      </c>
      <c r="H42" s="209">
        <v>31771.696849385342</v>
      </c>
      <c r="I42" s="209">
        <v>10303.631227060008</v>
      </c>
      <c r="J42" s="215">
        <v>4.016</v>
      </c>
      <c r="K42" s="212">
        <v>47.358</v>
      </c>
      <c r="L42" s="212">
        <v>171.27</v>
      </c>
      <c r="M42" s="212">
        <v>7.33</v>
      </c>
      <c r="N42" s="212">
        <v>109.4</v>
      </c>
      <c r="O42" s="213">
        <v>-0.0026546620915869714</v>
      </c>
      <c r="P42" s="214">
        <v>0.0024453822059716432</v>
      </c>
      <c r="Q42" s="214">
        <v>-0.0018467976979258023</v>
      </c>
      <c r="R42" s="214">
        <v>0.002733503381946297</v>
      </c>
      <c r="S42" s="214">
        <v>-0.0013604933398151757</v>
      </c>
    </row>
    <row r="43">
      <c r="A43" s="208">
        <v>43537.97555106481</v>
      </c>
      <c r="B43" s="30">
        <v>0.10190636044836232</v>
      </c>
      <c r="C43" s="30">
        <v>0.047394480096054535</v>
      </c>
      <c r="D43" s="30">
        <v>0.12901476180361862</v>
      </c>
      <c r="E43" s="30">
        <v>0.002107064559807443</v>
      </c>
      <c r="F43" s="210">
        <v>1576.224672726239</v>
      </c>
      <c r="G43" s="209">
        <v>38656.8344371195</v>
      </c>
      <c r="H43" s="209">
        <v>34168.53443711946</v>
      </c>
      <c r="I43" s="209">
        <v>10145.656244227961</v>
      </c>
      <c r="J43" s="215">
        <v>4.044</v>
      </c>
      <c r="K43" s="212">
        <v>47.365</v>
      </c>
      <c r="L43" s="212">
        <v>171.61</v>
      </c>
      <c r="M43" s="212">
        <v>7.33</v>
      </c>
      <c r="N43" s="212">
        <v>110.45</v>
      </c>
      <c r="O43" s="213">
        <v>-8.358933386946414E-5</v>
      </c>
      <c r="P43" s="214">
        <v>0.007812556624918124</v>
      </c>
      <c r="Q43" s="214">
        <v>-0.0010495888736807106</v>
      </c>
      <c r="R43" s="214">
        <v>0.0027335033819462598</v>
      </c>
      <c r="S43" s="214">
        <v>2.607224732914896E-4</v>
      </c>
    </row>
    <row r="44">
      <c r="A44" s="208">
        <v>43536.97556723379</v>
      </c>
      <c r="B44" s="30">
        <v>0.09672412853820889</v>
      </c>
      <c r="C44" s="30">
        <v>0.047432887292242584</v>
      </c>
      <c r="D44" s="30">
        <v>0.12385449780380169</v>
      </c>
      <c r="E44" s="30">
        <v>9.614280753435705E-4</v>
      </c>
      <c r="F44" s="210">
        <v>717.6968283079332</v>
      </c>
      <c r="G44" s="209">
        <v>37080.60976439326</v>
      </c>
      <c r="H44" s="209">
        <v>32592.309764393336</v>
      </c>
      <c r="I44" s="209">
        <v>9957.664729337188</v>
      </c>
      <c r="J44" s="215">
        <v>4.039</v>
      </c>
      <c r="K44" s="212">
        <v>47.094</v>
      </c>
      <c r="L44" s="212">
        <v>171.58</v>
      </c>
      <c r="M44" s="212">
        <v>7.29</v>
      </c>
      <c r="N44" s="212">
        <v>109.73</v>
      </c>
      <c r="O44" s="213">
        <v>-5.781287981961499E-4</v>
      </c>
      <c r="P44" s="214">
        <v>0.002698937254122624</v>
      </c>
      <c r="Q44" s="214">
        <v>-0.001107860536171253</v>
      </c>
      <c r="R44" s="214">
        <v>-9.195263495873259E-4</v>
      </c>
      <c r="S44" s="214">
        <v>0.0011384157522884575</v>
      </c>
    </row>
    <row r="45">
      <c r="A45" s="208">
        <v>43535.97564613426</v>
      </c>
      <c r="B45" s="30">
        <v>0.09440342126320887</v>
      </c>
      <c r="C45" s="30">
        <v>0.04747135678720791</v>
      </c>
      <c r="D45" s="30">
        <v>0.12155579407240719</v>
      </c>
      <c r="E45" s="30">
        <v>0.0034277620608176946</v>
      </c>
      <c r="F45" s="210">
        <v>2556.331377117778</v>
      </c>
      <c r="G45" s="209">
        <v>36362.912936085326</v>
      </c>
      <c r="H45" s="209">
        <v>31874.61293608523</v>
      </c>
      <c r="I45" s="209">
        <v>9770.467810522941</v>
      </c>
      <c r="J45" s="215">
        <v>4.048</v>
      </c>
      <c r="K45" s="212">
        <v>47.011</v>
      </c>
      <c r="L45" s="212">
        <v>172.22</v>
      </c>
      <c r="M45" s="212">
        <v>7.27</v>
      </c>
      <c r="N45" s="212">
        <v>109.84</v>
      </c>
      <c r="O45" s="213">
        <v>0.004860625355723587</v>
      </c>
      <c r="P45" s="214">
        <v>0.0019615860490075354</v>
      </c>
      <c r="Q45" s="214">
        <v>0.003833810723245216</v>
      </c>
      <c r="R45" s="214">
        <v>-4.6603203515505065E-4</v>
      </c>
      <c r="S45" s="214">
        <v>0.0040331545572805565</v>
      </c>
    </row>
    <row r="46">
      <c r="A46" s="208">
        <v>43532.998715277776</v>
      </c>
      <c r="B46" s="30">
        <v>0.08606739649437546</v>
      </c>
      <c r="C46" s="30">
        <v>0.04758714058424988</v>
      </c>
      <c r="D46" s="30">
        <v>0.1132859946031084</v>
      </c>
      <c r="E46" s="30">
        <v>-0.00185014359240408</v>
      </c>
      <c r="F46" s="210">
        <v>-1375.0570076096337</v>
      </c>
      <c r="G46" s="209">
        <v>33806.58155896755</v>
      </c>
      <c r="H46" s="210">
        <v>29318.281558967552</v>
      </c>
      <c r="I46" s="210">
        <v>9454.0843107595</v>
      </c>
      <c r="J46" s="215">
        <v>4.045</v>
      </c>
      <c r="K46" s="212">
        <v>46.261</v>
      </c>
      <c r="L46" s="212">
        <v>172.15</v>
      </c>
      <c r="M46" s="212">
        <v>7.27</v>
      </c>
      <c r="N46" s="212">
        <v>110.36</v>
      </c>
      <c r="O46" s="213">
        <v>0.00636841555347097</v>
      </c>
      <c r="P46" s="214">
        <v>-0.005439339508087467</v>
      </c>
      <c r="Q46" s="214">
        <v>0.00452069352512859</v>
      </c>
      <c r="R46" s="214">
        <v>-0.0018396584087814194</v>
      </c>
      <c r="S46" s="214">
        <v>0.0056726457526463285</v>
      </c>
    </row>
    <row r="47">
      <c r="A47" s="208">
        <v>43531.97566297454</v>
      </c>
      <c r="B47" s="30">
        <v>0.09074899788617193</v>
      </c>
      <c r="C47" s="30">
        <v>0.047625860796279375</v>
      </c>
      <c r="D47" s="30">
        <v>0.1179897429421048</v>
      </c>
      <c r="E47" s="30">
        <v>0.007587753389326673</v>
      </c>
      <c r="F47" s="210">
        <v>5677.675925594522</v>
      </c>
      <c r="G47" s="209">
        <v>35181.63856657718</v>
      </c>
      <c r="H47" s="209">
        <v>30690.60856657731</v>
      </c>
      <c r="I47" s="209">
        <v>9023.939419642504</v>
      </c>
      <c r="J47" s="215">
        <v>4.046</v>
      </c>
      <c r="K47" s="212">
        <v>46.706</v>
      </c>
      <c r="L47" s="212">
        <v>172.15</v>
      </c>
      <c r="M47" s="212">
        <v>7.31</v>
      </c>
      <c r="N47" s="212">
        <v>109.35</v>
      </c>
      <c r="O47" s="213">
        <v>0.006534827192690977</v>
      </c>
      <c r="P47" s="214">
        <v>-0.0015310509792991756</v>
      </c>
      <c r="Q47" s="214">
        <v>0.004874008800125673</v>
      </c>
      <c r="R47" s="214">
        <v>0.001362351738548669</v>
      </c>
      <c r="S47" s="214">
        <v>0.002468399556610638</v>
      </c>
    </row>
    <row r="48">
      <c r="A48" s="208">
        <v>43530.97587299769</v>
      </c>
      <c r="B48" s="30">
        <v>0.07176599538317954</v>
      </c>
      <c r="C48" s="30">
        <v>0.04766464407054345</v>
      </c>
      <c r="D48" s="30">
        <v>0.09902892345625895</v>
      </c>
      <c r="E48" s="30">
        <v>3.516897083498693E-4</v>
      </c>
      <c r="F48" s="210">
        <v>261.17501251993235</v>
      </c>
      <c r="G48" s="209">
        <v>29503.96264098266</v>
      </c>
      <c r="H48" s="209">
        <v>25010.922640982604</v>
      </c>
      <c r="I48" s="209">
        <v>8816.608472731976</v>
      </c>
      <c r="J48" s="215">
        <v>3.989</v>
      </c>
      <c r="K48" s="212">
        <v>46.727</v>
      </c>
      <c r="L48" s="212">
        <v>170.24</v>
      </c>
      <c r="M48" s="212">
        <v>7.28</v>
      </c>
      <c r="N48" s="212">
        <v>108.51</v>
      </c>
      <c r="O48" s="213">
        <v>0.004863787033273985</v>
      </c>
      <c r="P48" s="214">
        <v>3.4516540959828035E-4</v>
      </c>
      <c r="Q48" s="214">
        <v>0.0031995774318038053</v>
      </c>
      <c r="R48" s="214">
        <v>0.0018258645139629752</v>
      </c>
      <c r="S48" s="214">
        <v>-0.0026104585533879656</v>
      </c>
    </row>
    <row r="49">
      <c r="A49" s="208">
        <v>43529.97564774306</v>
      </c>
      <c r="B49" s="30">
        <v>0.07094714598024283</v>
      </c>
      <c r="C49" s="30">
        <v>0.04770349056122849</v>
      </c>
      <c r="D49" s="30">
        <v>0.09823229322860594</v>
      </c>
      <c r="E49" s="30">
        <v>-3.415681072667478E-5</v>
      </c>
      <c r="F49" s="210">
        <v>-25.391740246413974</v>
      </c>
      <c r="G49" s="209">
        <v>29242.787628462727</v>
      </c>
      <c r="H49" s="209">
        <v>24749.747628462737</v>
      </c>
      <c r="I49" s="209">
        <v>8588.37358548915</v>
      </c>
      <c r="J49" s="215">
        <v>3.968</v>
      </c>
      <c r="K49" s="212">
        <v>47.019</v>
      </c>
      <c r="L49" s="212">
        <v>169.82</v>
      </c>
      <c r="M49" s="212">
        <v>7.31</v>
      </c>
      <c r="N49" s="212">
        <v>108.49</v>
      </c>
      <c r="O49" s="213">
        <v>0.002091408476853296</v>
      </c>
      <c r="P49" s="214">
        <v>0.002742402784282986</v>
      </c>
      <c r="Q49" s="214">
        <v>0.002139975157480397</v>
      </c>
      <c r="R49" s="214">
        <v>8.97465104900593E-4</v>
      </c>
      <c r="S49" s="214">
        <v>-0.005506571292927864</v>
      </c>
    </row>
    <row r="50">
      <c r="A50" s="208">
        <v>43528.975770000005</v>
      </c>
      <c r="B50" s="30">
        <v>0.06929268512157574</v>
      </c>
      <c r="C50" s="30">
        <v>0.04774240042302394</v>
      </c>
      <c r="D50" s="30">
        <v>0.09839778288595197</v>
      </c>
      <c r="E50" s="30">
        <v>0.005666590644676771</v>
      </c>
      <c r="F50" s="210">
        <v>4209.585521358924</v>
      </c>
      <c r="G50" s="209">
        <v>29268.17936870914</v>
      </c>
      <c r="H50" s="209">
        <v>24240.419368709143</v>
      </c>
      <c r="I50" s="209">
        <v>8412.11854632293</v>
      </c>
      <c r="J50" s="215">
        <v>3.967</v>
      </c>
      <c r="K50" s="212">
        <v>46.92</v>
      </c>
      <c r="L50" s="212">
        <v>169.64</v>
      </c>
      <c r="M50" s="212">
        <v>7.28</v>
      </c>
      <c r="N50" s="212">
        <v>108.54</v>
      </c>
      <c r="O50" s="213">
        <v>-6.978128940803666E-4</v>
      </c>
      <c r="P50" s="214">
        <v>0.0023264794058258285</v>
      </c>
      <c r="Q50" s="214">
        <v>2.654919415915706E-4</v>
      </c>
      <c r="R50" s="214">
        <v>-0.0022995134344974133</v>
      </c>
      <c r="S50" s="214">
        <v>-0.00713612498608344</v>
      </c>
    </row>
    <row r="51">
      <c r="A51" s="208">
        <v>43525.97552253472</v>
      </c>
      <c r="B51" s="30">
        <v>0.055302711025378</v>
      </c>
      <c r="C51" s="30">
        <v>0.047859511789556296</v>
      </c>
      <c r="D51" s="30">
        <v>0.08445207316084805</v>
      </c>
      <c r="E51" s="30">
        <v>-0.0019230770113606733</v>
      </c>
      <c r="F51" s="210">
        <v>-1437.134361835604</v>
      </c>
      <c r="G51" s="209">
        <v>25058.593847350217</v>
      </c>
      <c r="H51" s="210">
        <v>20367.152000000024</v>
      </c>
      <c r="I51" s="210">
        <v>7951.360584732486</v>
      </c>
      <c r="J51" s="215">
        <v>3.931</v>
      </c>
      <c r="K51" s="212">
        <v>46.677</v>
      </c>
      <c r="L51" s="212">
        <v>168.61</v>
      </c>
      <c r="M51" s="212">
        <v>7.24</v>
      </c>
      <c r="N51" s="212">
        <v>109.36</v>
      </c>
      <c r="O51" s="213">
        <v>-0.006238492050580617</v>
      </c>
      <c r="P51" s="214">
        <v>-0.0012456341291151214</v>
      </c>
      <c r="Q51" s="214">
        <v>-0.0025843604962273816</v>
      </c>
      <c r="R51" s="214">
        <v>-0.0018572544656354495</v>
      </c>
      <c r="S51" s="214">
        <v>-0.006331416366283686</v>
      </c>
    </row>
    <row r="52">
      <c r="A52" s="208">
        <v>43524.97552314815</v>
      </c>
      <c r="B52" s="30">
        <v>0.06313500837777523</v>
      </c>
      <c r="C52" s="30">
        <v>0.05023783349815911</v>
      </c>
      <c r="D52" s="30">
        <v>0.09373291351267139</v>
      </c>
      <c r="E52" s="30">
        <v>-0.0043114694972915465</v>
      </c>
      <c r="F52" s="210">
        <v>-3206.2283798358403</v>
      </c>
      <c r="G52" s="209">
        <v>26495.72820918582</v>
      </c>
      <c r="H52" s="210">
        <v>20367.152000000024</v>
      </c>
      <c r="I52" s="210">
        <v>7951.360584732486</v>
      </c>
      <c r="J52" s="215">
        <v>3.943</v>
      </c>
      <c r="K52" s="212">
        <v>46.633</v>
      </c>
      <c r="L52" s="212">
        <v>168.73</v>
      </c>
      <c r="M52" s="212">
        <v>7.29</v>
      </c>
      <c r="N52" s="212">
        <v>110.29</v>
      </c>
      <c r="O52" s="213">
        <v>-0.0042221877044805</v>
      </c>
      <c r="P52" s="214">
        <v>-0.003210473163671179</v>
      </c>
      <c r="Q52" s="214">
        <v>-0.0018763168501129506</v>
      </c>
      <c r="R52" s="214">
        <v>-4.70979598697611E-4</v>
      </c>
      <c r="S52" s="214">
        <v>-0.004065008682943905</v>
      </c>
    </row>
    <row r="53">
      <c r="A53" s="208">
        <v>43523.975563217595</v>
      </c>
      <c r="B53" s="30">
        <v>0.07453855576418751</v>
      </c>
      <c r="C53" s="30">
        <v>0.050278978324938925</v>
      </c>
      <c r="D53" s="30">
        <v>0.10516152060844884</v>
      </c>
      <c r="E53" s="30">
        <v>-0.005181680058462376</v>
      </c>
      <c r="F53" s="210">
        <v>-3869.974938450847</v>
      </c>
      <c r="G53" s="209">
        <v>29701.95658902166</v>
      </c>
      <c r="H53" s="210">
        <v>20367.152000000024</v>
      </c>
      <c r="I53" s="210">
        <v>7951.360584732486</v>
      </c>
      <c r="J53" s="215">
        <v>3.975</v>
      </c>
      <c r="K53" s="212">
        <v>46.593</v>
      </c>
      <c r="L53" s="212">
        <v>169.5</v>
      </c>
      <c r="M53" s="212">
        <v>7.33</v>
      </c>
      <c r="N53" s="212">
        <v>110.88</v>
      </c>
      <c r="O53" s="213">
        <v>-0.003603957267950856</v>
      </c>
      <c r="P53" s="214">
        <v>-0.001641513332110674</v>
      </c>
      <c r="Q53" s="214">
        <v>-0.0012588107039720835</v>
      </c>
      <c r="R53" s="214">
        <v>-0.0018383371473506365</v>
      </c>
      <c r="S53" s="214">
        <v>-0.0033865724306554323</v>
      </c>
    </row>
    <row r="54">
      <c r="A54" s="208">
        <v>43522.975535011574</v>
      </c>
      <c r="B54" s="30">
        <v>0.08831275739589997</v>
      </c>
      <c r="C54" s="30">
        <v>0.05032019060225445</v>
      </c>
      <c r="D54" s="30">
        <v>0.11896082303101728</v>
      </c>
      <c r="E54" s="30">
        <v>-1.7701106037608199E-4</v>
      </c>
      <c r="F54" s="210">
        <v>-132.8870091449935</v>
      </c>
      <c r="G54" s="209">
        <v>33571.93152747251</v>
      </c>
      <c r="H54" s="210">
        <v>20367.152000000024</v>
      </c>
      <c r="I54" s="210">
        <v>7951.360584732486</v>
      </c>
      <c r="J54" s="215">
        <v>4.005</v>
      </c>
      <c r="K54" s="212">
        <v>46.851</v>
      </c>
      <c r="L54" s="212">
        <v>169.92</v>
      </c>
      <c r="M54" s="212">
        <v>7.28</v>
      </c>
      <c r="N54" s="212">
        <v>111.45</v>
      </c>
      <c r="O54" s="213">
        <v>8.198463077822016E-4</v>
      </c>
      <c r="P54" s="214">
        <v>0.002105113945133722</v>
      </c>
      <c r="Q54" s="214">
        <v>2.724495144910133E-4</v>
      </c>
      <c r="R54" s="214">
        <v>-0.0032075298789671822</v>
      </c>
      <c r="S54" s="214">
        <v>-0.0020896376846982387</v>
      </c>
    </row>
    <row r="55">
      <c r="A55" s="208">
        <v>43521.9755272801</v>
      </c>
      <c r="B55" s="30">
        <v>0.08885647047490067</v>
      </c>
      <c r="C55" s="30">
        <v>0.05036147049610371</v>
      </c>
      <c r="D55" s="30">
        <v>0.1195296780834676</v>
      </c>
      <c r="E55" s="30">
        <v>-0.002403027341277255</v>
      </c>
      <c r="F55" s="210">
        <v>-1804.3372020759853</v>
      </c>
      <c r="G55" s="209">
        <v>33704.8185366175</v>
      </c>
      <c r="H55" s="210">
        <v>20367.152000000024</v>
      </c>
      <c r="I55" s="210">
        <v>7951.360584732486</v>
      </c>
      <c r="J55" s="215">
        <v>3.993</v>
      </c>
      <c r="K55" s="212">
        <v>47.083</v>
      </c>
      <c r="L55" s="212">
        <v>169.68</v>
      </c>
      <c r="M55" s="212">
        <v>7.3</v>
      </c>
      <c r="N55" s="212">
        <v>111.64</v>
      </c>
      <c r="O55" s="213">
        <v>-0.0015973449690791508</v>
      </c>
      <c r="P55" s="214">
        <v>0.0036268542538722137</v>
      </c>
      <c r="Q55" s="214">
        <v>-3.9469278708940497E-4</v>
      </c>
      <c r="R55" s="214">
        <v>-9.312347455291784E-4</v>
      </c>
      <c r="S55" s="214">
        <v>-0.00404774926070887</v>
      </c>
    </row>
    <row r="56">
      <c r="A56" s="208">
        <v>43518.97556290509</v>
      </c>
      <c r="B56" s="30">
        <v>0.09549031844217393</v>
      </c>
      <c r="C56" s="30">
        <v>0.050485717545025025</v>
      </c>
      <c r="D56" s="30">
        <v>0.1262392000826699</v>
      </c>
      <c r="E56" s="30">
        <v>0.005253444673220378</v>
      </c>
      <c r="F56" s="210">
        <v>3961.4920050543733</v>
      </c>
      <c r="G56" s="209">
        <v>35509.15573869349</v>
      </c>
      <c r="H56" s="210">
        <v>20356.70200000002</v>
      </c>
      <c r="I56" s="210">
        <v>7876.329724517432</v>
      </c>
      <c r="J56" s="215">
        <v>4.018</v>
      </c>
      <c r="K56" s="212">
        <v>46.821</v>
      </c>
      <c r="L56" s="212">
        <v>170.14</v>
      </c>
      <c r="M56" s="212">
        <v>7.37</v>
      </c>
      <c r="N56" s="212">
        <v>112.01</v>
      </c>
      <c r="O56" s="213">
        <v>-0.0018367136815409986</v>
      </c>
      <c r="P56" s="214">
        <v>0.0017648164889463673</v>
      </c>
      <c r="Q56" s="214">
        <v>-6.683326170147849E-4</v>
      </c>
      <c r="R56" s="214">
        <v>0.0036312325050135152</v>
      </c>
      <c r="S56" s="214">
        <v>-0.002146547652928321</v>
      </c>
    </row>
    <row r="57">
      <c r="A57" s="208">
        <v>43517.97554945602</v>
      </c>
      <c r="B57" s="30">
        <v>0.08147375266123685</v>
      </c>
      <c r="C57" s="30">
        <v>0.050527269575926285</v>
      </c>
      <c r="D57" s="30">
        <v>0.11224794202324764</v>
      </c>
      <c r="E57" s="30">
        <v>-0.0026483626341897537</v>
      </c>
      <c r="F57" s="210">
        <v>-1986.572945460095</v>
      </c>
      <c r="G57" s="209">
        <v>31547.663733639114</v>
      </c>
      <c r="H57" s="210">
        <v>20356.70200000002</v>
      </c>
      <c r="I57" s="210">
        <v>7876.329724517432</v>
      </c>
      <c r="J57" s="215">
        <v>3.995</v>
      </c>
      <c r="K57" s="212">
        <v>46.554</v>
      </c>
      <c r="L57" s="212">
        <v>169.78</v>
      </c>
      <c r="M57" s="212">
        <v>7.35</v>
      </c>
      <c r="N57" s="212">
        <v>112.15</v>
      </c>
      <c r="O57" s="213">
        <v>-0.0037447939868338054</v>
      </c>
      <c r="P57" s="214">
        <v>-7.730327856600994E-4</v>
      </c>
      <c r="Q57" s="214">
        <v>-0.0011390025050696344</v>
      </c>
      <c r="R57" s="214">
        <v>0.0018121696946110655</v>
      </c>
      <c r="S57" s="214">
        <v>5.173392735036142E-4</v>
      </c>
    </row>
    <row r="58">
      <c r="A58" s="208">
        <v>43516.97557607639</v>
      </c>
      <c r="B58" s="30">
        <v>0.08861499864744093</v>
      </c>
      <c r="C58" s="30">
        <v>0.05056889006157367</v>
      </c>
      <c r="D58" s="30">
        <v>0.1194145374240827</v>
      </c>
      <c r="E58" s="30">
        <v>-0.003549256279824381</v>
      </c>
      <c r="F58" s="210">
        <v>-2669.3964171055704</v>
      </c>
      <c r="G58" s="209">
        <v>33534.23667909921</v>
      </c>
      <c r="H58" s="210">
        <v>20356.70200000002</v>
      </c>
      <c r="I58" s="210">
        <v>7876.329724517432</v>
      </c>
      <c r="J58" s="215">
        <v>4.012</v>
      </c>
      <c r="K58" s="212">
        <v>46.572</v>
      </c>
      <c r="L58" s="212">
        <v>169.88</v>
      </c>
      <c r="M58" s="212">
        <v>7.32</v>
      </c>
      <c r="N58" s="212">
        <v>113.0</v>
      </c>
      <c r="O58" s="213">
        <v>-0.00348146978207294</v>
      </c>
      <c r="P58" s="214">
        <v>-7.513037701978309E-4</v>
      </c>
      <c r="Q58" s="214">
        <v>-0.0023318849920281512</v>
      </c>
      <c r="R58" s="214">
        <v>0.0018196145330115672</v>
      </c>
      <c r="S58" s="214">
        <v>0.0043833621834627285</v>
      </c>
    </row>
    <row r="59">
      <c r="A59" s="208">
        <v>43515.975523009256</v>
      </c>
      <c r="B59" s="30">
        <v>0.0982015401771953</v>
      </c>
      <c r="C59" s="30">
        <v>0.05061057917126994</v>
      </c>
      <c r="D59" s="30">
        <v>0.1290264701646999</v>
      </c>
      <c r="E59" s="30">
        <v>3.406110072223446E-4</v>
      </c>
      <c r="F59" s="210">
        <v>257.0828381375177</v>
      </c>
      <c r="G59" s="209">
        <v>36203.63309620478</v>
      </c>
      <c r="H59" s="210">
        <v>20356.70200000002</v>
      </c>
      <c r="I59" s="210">
        <v>7876.329724517432</v>
      </c>
      <c r="J59" s="215">
        <v>4.04</v>
      </c>
      <c r="K59" s="212">
        <v>46.573</v>
      </c>
      <c r="L59" s="212">
        <v>170.48</v>
      </c>
      <c r="M59" s="212">
        <v>7.29</v>
      </c>
      <c r="N59" s="212">
        <v>112.73</v>
      </c>
      <c r="O59" s="213">
        <v>-3.3288232621978925E-4</v>
      </c>
      <c r="P59" s="214">
        <v>0.0031121425707806663</v>
      </c>
      <c r="Q59" s="214">
        <v>-9.402461564636347E-4</v>
      </c>
      <c r="R59" s="214">
        <v>0.003658622519560506</v>
      </c>
      <c r="S59" s="214">
        <v>0.005111292250374026</v>
      </c>
    </row>
    <row r="60">
      <c r="A60" s="208">
        <v>43514.975680069445</v>
      </c>
      <c r="B60" s="30">
        <v>0.0973655886366012</v>
      </c>
      <c r="C60" s="30">
        <v>0.0506523370748766</v>
      </c>
      <c r="D60" s="30">
        <v>0.12821595173465658</v>
      </c>
      <c r="E60" s="30">
        <v>-6.77047230788936E-4</v>
      </c>
      <c r="F60" s="210">
        <v>-510.8406192067778</v>
      </c>
      <c r="G60" s="209">
        <v>35946.55025806726</v>
      </c>
      <c r="H60" s="210">
        <v>20356.70200000002</v>
      </c>
      <c r="I60" s="210">
        <v>7876.329724517432</v>
      </c>
      <c r="J60" s="215">
        <v>4.04</v>
      </c>
      <c r="K60" s="212">
        <v>46.662</v>
      </c>
      <c r="L60" s="212">
        <v>170.36</v>
      </c>
      <c r="M60" s="212">
        <v>7.31</v>
      </c>
      <c r="N60" s="212">
        <v>111.97</v>
      </c>
      <c r="O60" s="213">
        <v>0.0012332238392928445</v>
      </c>
      <c r="P60" s="214">
        <v>0.0026076076233395953</v>
      </c>
      <c r="Q60" s="214">
        <v>-5.0134890653049285E-6</v>
      </c>
      <c r="R60" s="214">
        <v>0.0036484755598749827</v>
      </c>
      <c r="S60" s="214">
        <v>0.0025037068931617057</v>
      </c>
    </row>
    <row r="61">
      <c r="A61" s="208">
        <v>43511.97552689815</v>
      </c>
      <c r="B61" s="30">
        <v>0.09943380376088574</v>
      </c>
      <c r="C61" s="30">
        <v>0.050778025256203826</v>
      </c>
      <c r="D61" s="30">
        <v>0.1303607186284152</v>
      </c>
      <c r="E61" s="30">
        <v>0.004818474310987187</v>
      </c>
      <c r="F61" s="210">
        <v>3638.060716767097</v>
      </c>
      <c r="G61" s="209">
        <v>36457.39087727404</v>
      </c>
      <c r="H61" s="210">
        <v>20356.70200000002</v>
      </c>
      <c r="I61" s="210">
        <v>7876.329724517432</v>
      </c>
      <c r="J61" s="215">
        <v>4.054</v>
      </c>
      <c r="K61" s="212">
        <v>46.677</v>
      </c>
      <c r="L61" s="212">
        <v>171.07</v>
      </c>
      <c r="M61" s="212">
        <v>7.28</v>
      </c>
      <c r="N61" s="212">
        <v>111.52</v>
      </c>
      <c r="O61" s="213">
        <v>0.0029680494957716</v>
      </c>
      <c r="P61" s="214">
        <v>0.004565213008490554</v>
      </c>
      <c r="Q61" s="214">
        <v>0.001990760166722357</v>
      </c>
      <c r="R61" s="214">
        <v>0.003663612368241161</v>
      </c>
      <c r="S61" s="214">
        <v>0.002753792091458096</v>
      </c>
    </row>
    <row r="62">
      <c r="A62" s="208">
        <v>43510.97556413195</v>
      </c>
      <c r="B62" s="30">
        <v>0.08649673148392717</v>
      </c>
      <c r="C62" s="30">
        <v>0.050820060045323204</v>
      </c>
      <c r="D62" s="30">
        <v>0.11744924810217477</v>
      </c>
      <c r="E62" s="30">
        <v>0.0010829873276460987</v>
      </c>
      <c r="F62" s="210">
        <v>813.7407690832624</v>
      </c>
      <c r="G62" s="209">
        <v>32819.33016050694</v>
      </c>
      <c r="H62" s="210">
        <v>20356.70200000002</v>
      </c>
      <c r="I62" s="210">
        <v>7876.329724517432</v>
      </c>
      <c r="J62" s="215">
        <v>4.044</v>
      </c>
      <c r="K62" s="212">
        <v>46.137</v>
      </c>
      <c r="L62" s="212">
        <v>170.96</v>
      </c>
      <c r="M62" s="212">
        <v>7.21</v>
      </c>
      <c r="N62" s="212">
        <v>111.01</v>
      </c>
      <c r="O62" s="213">
        <v>-8.40744167409461E-4</v>
      </c>
      <c r="P62" s="214">
        <v>0.0038657365321384716</v>
      </c>
      <c r="Q62" s="214">
        <v>1.223595201168178E-5</v>
      </c>
      <c r="R62" s="214">
        <v>0.0013844100890388529</v>
      </c>
      <c r="S62" s="214">
        <v>4.457972664827133E-4</v>
      </c>
    </row>
    <row r="63">
      <c r="A63" s="208">
        <v>43509.97554712963</v>
      </c>
      <c r="B63" s="30">
        <v>0.08365387924746635</v>
      </c>
      <c r="C63" s="30">
        <v>0.05086216448612297</v>
      </c>
      <c r="D63" s="30">
        <v>0.11463204003855426</v>
      </c>
      <c r="E63" s="30">
        <v>0.0037918897059564366</v>
      </c>
      <c r="F63" s="210">
        <v>2846.084607558907</v>
      </c>
      <c r="G63" s="209">
        <v>32005.58939142368</v>
      </c>
      <c r="H63" s="210">
        <v>20356.70200000002</v>
      </c>
      <c r="I63" s="210">
        <v>7876.329724517432</v>
      </c>
      <c r="J63" s="215">
        <v>4.025</v>
      </c>
      <c r="K63" s="212">
        <v>46.295</v>
      </c>
      <c r="L63" s="212">
        <v>170.36</v>
      </c>
      <c r="M63" s="212">
        <v>7.23</v>
      </c>
      <c r="N63" s="212">
        <v>111.13</v>
      </c>
      <c r="O63" s="213">
        <v>-0.0015023938290575911</v>
      </c>
      <c r="P63" s="214">
        <v>0.00921760595256708</v>
      </c>
      <c r="Q63" s="214">
        <v>-5.14165342852646E-4</v>
      </c>
      <c r="R63" s="214">
        <v>0.0018447992369905464</v>
      </c>
      <c r="S63" s="214">
        <v>9.564649327456302E-4</v>
      </c>
    </row>
    <row r="64">
      <c r="A64" s="208">
        <v>43508.97556262731</v>
      </c>
      <c r="B64" s="30">
        <v>0.07352118193301388</v>
      </c>
      <c r="C64" s="30">
        <v>0.05090433875186603</v>
      </c>
      <c r="D64" s="30">
        <v>0.10452502942459191</v>
      </c>
      <c r="E64" s="30">
        <v>-0.0014328513536843092</v>
      </c>
      <c r="F64" s="210">
        <v>-1076.8864652925404</v>
      </c>
      <c r="G64" s="209">
        <v>29159.504783864773</v>
      </c>
      <c r="H64" s="210">
        <v>20387.51300000002</v>
      </c>
      <c r="I64" s="210">
        <v>7728.467011255781</v>
      </c>
      <c r="J64" s="215">
        <v>4.018</v>
      </c>
      <c r="K64" s="212">
        <v>46.038</v>
      </c>
      <c r="L64" s="212">
        <v>170.05</v>
      </c>
      <c r="M64" s="212">
        <v>7.2</v>
      </c>
      <c r="N64" s="212">
        <v>110.6</v>
      </c>
      <c r="O64" s="213">
        <v>8.035419984774675E-4</v>
      </c>
      <c r="P64" s="214">
        <v>0.007500410480697088</v>
      </c>
      <c r="Q64" s="214">
        <v>5.398863201901971E-4</v>
      </c>
      <c r="R64" s="214">
        <v>0.00138888709529994</v>
      </c>
      <c r="S64" s="214">
        <v>0.001231789483947754</v>
      </c>
    </row>
    <row r="65">
      <c r="A65" s="208">
        <v>43507.975571319446</v>
      </c>
      <c r="B65" s="30">
        <v>0.07744560121934312</v>
      </c>
      <c r="C65" s="30">
        <v>0.05094658301639039</v>
      </c>
      <c r="D65" s="30">
        <v>0.10847517804493904</v>
      </c>
      <c r="E65" s="30">
        <v>0.005368488386894975</v>
      </c>
      <c r="F65" s="210">
        <v>4049.5872102308786</v>
      </c>
      <c r="G65" s="209">
        <v>30236.391249157314</v>
      </c>
      <c r="H65" s="210">
        <v>20433.889000000025</v>
      </c>
      <c r="I65" s="210">
        <v>7595.790910897357</v>
      </c>
      <c r="J65" s="215">
        <v>4.054</v>
      </c>
      <c r="K65" s="212">
        <v>45.602</v>
      </c>
      <c r="L65" s="212">
        <v>170.95</v>
      </c>
      <c r="M65" s="212">
        <v>7.18</v>
      </c>
      <c r="N65" s="212">
        <v>110.86</v>
      </c>
      <c r="O65" s="213">
        <v>0.005536609462355087</v>
      </c>
      <c r="P65" s="214">
        <v>-5.5619924351953585E-5</v>
      </c>
      <c r="Q65" s="214">
        <v>0.003796288281504171</v>
      </c>
      <c r="R65" s="214">
        <v>-0.0032562392025460296</v>
      </c>
      <c r="S65" s="214">
        <v>0.002257400296681126</v>
      </c>
    </row>
    <row r="66">
      <c r="A66" s="208">
        <v>43504.97553083333</v>
      </c>
      <c r="B66" s="30">
        <v>0.06307445441136841</v>
      </c>
      <c r="C66" s="30">
        <v>0.05107373754970918</v>
      </c>
      <c r="D66" s="30">
        <v>0.09418147610424953</v>
      </c>
      <c r="E66" s="30">
        <v>0.004743285552836375</v>
      </c>
      <c r="F66" s="210">
        <v>3558.772476806247</v>
      </c>
      <c r="G66" s="209">
        <v>26186.804038926435</v>
      </c>
      <c r="H66" s="210">
        <v>20433.889000000025</v>
      </c>
      <c r="I66" s="210">
        <v>7595.790910897357</v>
      </c>
      <c r="J66" s="215">
        <v>4.043</v>
      </c>
      <c r="K66" s="212">
        <v>45.026</v>
      </c>
      <c r="L66" s="212">
        <v>170.62</v>
      </c>
      <c r="M66" s="212">
        <v>7.19</v>
      </c>
      <c r="N66" s="212">
        <v>110.81</v>
      </c>
      <c r="O66" s="213">
        <v>0.005468203455940679</v>
      </c>
      <c r="P66" s="214">
        <v>-0.003418045548959007</v>
      </c>
      <c r="Q66" s="214">
        <v>0.0041389602233323775</v>
      </c>
      <c r="R66" s="214">
        <v>-0.00187244641927183</v>
      </c>
      <c r="S66" s="214">
        <v>0.002258424316533151</v>
      </c>
    </row>
    <row r="67">
      <c r="A67" s="208">
        <v>43503.97551042824</v>
      </c>
      <c r="B67" s="30">
        <v>0.05031710400239113</v>
      </c>
      <c r="C67" s="30">
        <v>0.05111626355932592</v>
      </c>
      <c r="D67" s="30">
        <v>0.081450026629238</v>
      </c>
      <c r="E67" s="30">
        <v>-0.0021080038678826934</v>
      </c>
      <c r="F67" s="210">
        <v>-1585.460573504155</v>
      </c>
      <c r="G67" s="209">
        <v>22628.031562120188</v>
      </c>
      <c r="H67" s="210">
        <v>20322.35234484855</v>
      </c>
      <c r="I67" s="210">
        <v>7377.423453212544</v>
      </c>
      <c r="J67" s="215">
        <v>4.008</v>
      </c>
      <c r="K67" s="212">
        <v>45.008</v>
      </c>
      <c r="L67" s="212">
        <v>169.77</v>
      </c>
      <c r="M67" s="212">
        <v>7.17</v>
      </c>
      <c r="N67" s="212">
        <v>110.19</v>
      </c>
      <c r="O67" s="213">
        <v>0.005935168329174105</v>
      </c>
      <c r="P67" s="214">
        <v>-5.393861354419105E-4</v>
      </c>
      <c r="Q67" s="214">
        <v>0.003981722598157693</v>
      </c>
      <c r="R67" s="214">
        <v>-0.0018775762323991845</v>
      </c>
      <c r="S67" s="214">
        <v>0.001059673247929845</v>
      </c>
    </row>
    <row r="68">
      <c r="A68" s="208">
        <v>43502.97551524306</v>
      </c>
      <c r="B68" s="30">
        <v>0.05607068592253961</v>
      </c>
      <c r="C68" s="30">
        <v>0.05115886044562536</v>
      </c>
      <c r="D68" s="30">
        <v>0.08722955265157553</v>
      </c>
      <c r="E68" s="30">
        <v>0.0021171471318677353</v>
      </c>
      <c r="F68" s="210">
        <v>1604.5989420762053</v>
      </c>
      <c r="G68" s="209">
        <v>24213.492135624343</v>
      </c>
      <c r="H68" s="210">
        <v>20266.923611294806</v>
      </c>
      <c r="I68" s="210">
        <v>7227.885561062805</v>
      </c>
      <c r="J68" s="215">
        <v>3.987</v>
      </c>
      <c r="K68" s="212">
        <v>45.602</v>
      </c>
      <c r="L68" s="212">
        <v>169.01</v>
      </c>
      <c r="M68" s="212">
        <v>7.25</v>
      </c>
      <c r="N68" s="212">
        <v>110.11</v>
      </c>
      <c r="O68" s="213">
        <v>0.003426659819143104</v>
      </c>
      <c r="P68" s="214">
        <v>0.00562725644397218</v>
      </c>
      <c r="Q68" s="214">
        <v>0.0030657619874122632</v>
      </c>
      <c r="R68" s="214">
        <v>0.0027662658408615557</v>
      </c>
      <c r="S68" s="214">
        <v>0.0013335689342106234</v>
      </c>
    </row>
    <row r="69">
      <c r="A69" s="208">
        <v>43501.97556668981</v>
      </c>
      <c r="B69" s="30">
        <v>0.05033203195608231</v>
      </c>
      <c r="C69" s="30">
        <v>0.05120152838594698</v>
      </c>
      <c r="D69" s="30">
        <v>0.08151688606354111</v>
      </c>
      <c r="E69" s="30">
        <v>0.0069107950821689235</v>
      </c>
      <c r="F69" s="210">
        <v>5226.645399986446</v>
      </c>
      <c r="G69" s="209">
        <v>22608.893193548138</v>
      </c>
      <c r="H69" s="210">
        <v>20266.923611294806</v>
      </c>
      <c r="I69" s="210">
        <v>7227.885561062805</v>
      </c>
      <c r="J69" s="215">
        <v>3.977</v>
      </c>
      <c r="K69" s="212">
        <v>45.486</v>
      </c>
      <c r="L69" s="212">
        <v>168.51</v>
      </c>
      <c r="M69" s="212">
        <v>7.23</v>
      </c>
      <c r="N69" s="212">
        <v>110.06</v>
      </c>
      <c r="O69" s="213">
        <v>2.253449189222693E-4</v>
      </c>
      <c r="P69" s="214">
        <v>0.00541870759208396</v>
      </c>
      <c r="Q69" s="214">
        <v>2.0853345021646744E-4</v>
      </c>
      <c r="R69" s="214">
        <v>4.5590502683186723E-4</v>
      </c>
      <c r="S69" s="214">
        <v>-4.28688139435122E-4</v>
      </c>
    </row>
    <row r="70">
      <c r="A70" s="208">
        <v>43500.97551991898</v>
      </c>
      <c r="B70" s="30">
        <v>0.029456300057866452</v>
      </c>
      <c r="C70" s="30">
        <v>0.051244267558222395</v>
      </c>
      <c r="D70" s="30">
        <v>0.06272440941580976</v>
      </c>
      <c r="E70" s="30">
        <v>9.281036011568323E-4</v>
      </c>
      <c r="F70" s="210">
        <v>697.6833273308584</v>
      </c>
      <c r="G70" s="209">
        <v>17382.24779356169</v>
      </c>
      <c r="H70" s="210">
        <v>20302.052611294806</v>
      </c>
      <c r="I70" s="210">
        <v>7204.891786869257</v>
      </c>
      <c r="J70" s="215">
        <v>3.937</v>
      </c>
      <c r="K70" s="212">
        <v>45.075</v>
      </c>
      <c r="L70" s="212">
        <v>167.75</v>
      </c>
      <c r="M70" s="212">
        <v>7.21</v>
      </c>
      <c r="N70" s="212">
        <v>109.84</v>
      </c>
      <c r="O70" s="213">
        <v>-0.0013658165055356886</v>
      </c>
      <c r="P70" s="214">
        <v>0.006444035785644527</v>
      </c>
      <c r="Q70" s="214">
        <v>5.116233578724335E-5</v>
      </c>
      <c r="R70" s="214">
        <v>-4.4983657218056194E-6</v>
      </c>
      <c r="S70" s="214">
        <v>5.08154427546185E-4</v>
      </c>
    </row>
    <row r="71">
      <c r="A71" s="208">
        <v>43497.97557833334</v>
      </c>
      <c r="B71" s="30">
        <v>0.027006315465674453</v>
      </c>
      <c r="C71" s="30">
        <v>0.05137291425502128</v>
      </c>
      <c r="D71" s="30">
        <v>0.06035794308978833</v>
      </c>
      <c r="E71" s="30">
        <v>-0.003583582895144219</v>
      </c>
      <c r="F71" s="210">
        <v>-2691.3865916575887</v>
      </c>
      <c r="G71" s="209">
        <v>16684.564466230833</v>
      </c>
      <c r="H71" s="210">
        <v>20302.052611294806</v>
      </c>
      <c r="I71" s="210">
        <v>7204.891786869257</v>
      </c>
      <c r="J71" s="215">
        <v>3.946</v>
      </c>
      <c r="K71" s="212">
        <v>44.836</v>
      </c>
      <c r="L71" s="212">
        <v>167.46</v>
      </c>
      <c r="M71" s="212">
        <v>7.19</v>
      </c>
      <c r="N71" s="212">
        <v>109.67</v>
      </c>
      <c r="O71" s="213">
        <v>1.5510229648400356E-4</v>
      </c>
      <c r="P71" s="214">
        <v>0.0077605175049970665</v>
      </c>
      <c r="Q71" s="214">
        <v>-3.859712541420072E-4</v>
      </c>
      <c r="R71" s="214">
        <v>0.0018447850369596914</v>
      </c>
      <c r="S71" s="214">
        <v>7.52107833151309E-4</v>
      </c>
    </row>
    <row r="72">
      <c r="A72" s="208">
        <v>43496.975524027774</v>
      </c>
      <c r="B72" s="30">
        <v>0.036773426189627166</v>
      </c>
      <c r="C72" s="30">
        <v>0.05141594014635714</v>
      </c>
      <c r="D72" s="30">
        <v>0.07015298650019339</v>
      </c>
      <c r="E72" s="30">
        <v>5.169332524073608E-4</v>
      </c>
      <c r="F72" s="210">
        <v>391.20466976371245</v>
      </c>
      <c r="G72" s="209">
        <v>19375.951057888422</v>
      </c>
      <c r="H72" s="210">
        <v>20419.948611294807</v>
      </c>
      <c r="I72" s="210">
        <v>7176.404503715134</v>
      </c>
      <c r="J72" s="215">
        <v>3.974</v>
      </c>
      <c r="K72" s="212">
        <v>44.75</v>
      </c>
      <c r="L72" s="212">
        <v>168.4</v>
      </c>
      <c r="M72" s="212">
        <v>7.22</v>
      </c>
      <c r="N72" s="212">
        <v>110.2</v>
      </c>
      <c r="O72" s="213">
        <v>0.002435850134008007</v>
      </c>
      <c r="P72" s="214">
        <v>0.0077832659032253115</v>
      </c>
      <c r="Q72" s="214">
        <v>0.0022804300250086986</v>
      </c>
      <c r="R72" s="214">
        <v>0.0060328084183071855</v>
      </c>
      <c r="S72" s="214">
        <v>0.004312675157941277</v>
      </c>
    </row>
    <row r="73">
      <c r="A73" s="208">
        <v>43495.97553278935</v>
      </c>
      <c r="B73" s="30">
        <v>0.03722171096433967</v>
      </c>
      <c r="C73" s="30">
        <v>0.05412755793040371</v>
      </c>
      <c r="D73" s="30">
        <v>0.0723616710478973</v>
      </c>
      <c r="E73" s="30">
        <v>0.0045878824620292765</v>
      </c>
      <c r="F73" s="210">
        <v>3490.7917927453527</v>
      </c>
      <c r="G73" s="209">
        <v>18984.74638812471</v>
      </c>
      <c r="H73" s="210">
        <v>20893.229611294802</v>
      </c>
      <c r="I73" s="210">
        <v>7191.161396188249</v>
      </c>
      <c r="J73" s="215">
        <v>3.953</v>
      </c>
      <c r="K73" s="212">
        <v>44.208</v>
      </c>
      <c r="L73" s="212">
        <v>167.72</v>
      </c>
      <c r="M73" s="212">
        <v>7.21</v>
      </c>
      <c r="N73" s="212">
        <v>109.67</v>
      </c>
      <c r="O73" s="213">
        <v>8.293472206440573E-5</v>
      </c>
      <c r="P73" s="214">
        <v>-0.0013555519831397467</v>
      </c>
      <c r="Q73" s="214">
        <v>3.756745493040577E-5</v>
      </c>
      <c r="R73" s="214">
        <v>-5.407667861280588E-4</v>
      </c>
      <c r="S73" s="214">
        <v>0.002495029147917771</v>
      </c>
    </row>
    <row r="74">
      <c r="A74" s="208">
        <v>43494.97551300926</v>
      </c>
      <c r="B74" s="30">
        <v>0.0239363811615927</v>
      </c>
      <c r="C74" s="30">
        <v>0.05417296695551311</v>
      </c>
      <c r="D74" s="30">
        <v>0.05910582107743519</v>
      </c>
      <c r="E74" s="30">
        <v>0.00242895917613545</v>
      </c>
      <c r="F74" s="210">
        <v>1839.6482939199777</v>
      </c>
      <c r="G74" s="209">
        <v>15493.954595379357</v>
      </c>
      <c r="H74" s="210">
        <v>20893.229611294802</v>
      </c>
      <c r="I74" s="210">
        <v>7191.161396188249</v>
      </c>
      <c r="J74" s="215">
        <v>3.944</v>
      </c>
      <c r="K74" s="212">
        <v>43.799</v>
      </c>
      <c r="L74" s="212">
        <v>167.65</v>
      </c>
      <c r="M74" s="212">
        <v>7.15</v>
      </c>
      <c r="N74" s="212">
        <v>109.42</v>
      </c>
      <c r="O74" s="213">
        <v>-0.0035437288447512185</v>
      </c>
      <c r="P74" s="214">
        <v>-0.0026218637487768945</v>
      </c>
      <c r="Q74" s="214">
        <v>-0.0026656558659891396</v>
      </c>
      <c r="R74" s="214">
        <v>-0.0023913308559858995</v>
      </c>
      <c r="S74" s="214">
        <v>0.004215651546006671</v>
      </c>
    </row>
    <row r="75">
      <c r="A75" s="208">
        <v>43493.97552467593</v>
      </c>
      <c r="B75" s="30">
        <v>0.016932757558255056</v>
      </c>
      <c r="C75" s="30">
        <v>0.054218452234233105</v>
      </c>
      <c r="D75" s="30">
        <v>0.052131726810718745</v>
      </c>
      <c r="E75" s="30">
        <v>-0.007693064970859943</v>
      </c>
      <c r="F75" s="210">
        <v>-5812.4311270489125</v>
      </c>
      <c r="G75" s="209">
        <v>13654.306301459379</v>
      </c>
      <c r="H75" s="210">
        <v>20893.229611294802</v>
      </c>
      <c r="I75" s="210">
        <v>7191.161396188249</v>
      </c>
      <c r="J75" s="215">
        <v>3.945</v>
      </c>
      <c r="K75" s="212">
        <v>43.712</v>
      </c>
      <c r="L75" s="212">
        <v>167.25</v>
      </c>
      <c r="M75" s="212">
        <v>7.09</v>
      </c>
      <c r="N75" s="212">
        <v>108.78</v>
      </c>
      <c r="O75" s="213">
        <v>-2.814233515900562E-4</v>
      </c>
      <c r="P75" s="214">
        <v>-0.0011165838971329833</v>
      </c>
      <c r="Q75" s="214">
        <v>-0.0011334096519968935</v>
      </c>
      <c r="R75" s="214">
        <v>-0.003336681801336875</v>
      </c>
      <c r="S75" s="214">
        <v>0.003160707853920197</v>
      </c>
    </row>
    <row r="76">
      <c r="A76" s="208">
        <v>43490.97550826389</v>
      </c>
      <c r="B76" s="30">
        <v>0.03922324219057132</v>
      </c>
      <c r="C76" s="30">
        <v>0.05435536751765289</v>
      </c>
      <c r="D76" s="30">
        <v>0.07451109772902609</v>
      </c>
      <c r="E76" s="30">
        <v>-0.0019361584535712367</v>
      </c>
      <c r="F76" s="210">
        <v>-1474.102171897306</v>
      </c>
      <c r="G76" s="209">
        <v>19466.73742850829</v>
      </c>
      <c r="H76" s="210">
        <v>20893.229611294802</v>
      </c>
      <c r="I76" s="210">
        <v>7191.161396188249</v>
      </c>
      <c r="J76" s="215">
        <v>3.952</v>
      </c>
      <c r="K76" s="212">
        <v>44.381</v>
      </c>
      <c r="L76" s="212">
        <v>167.7</v>
      </c>
      <c r="M76" s="212">
        <v>7.22</v>
      </c>
      <c r="N76" s="212">
        <v>108.85</v>
      </c>
      <c r="O76" s="213">
        <v>-2.8097390934789246E-4</v>
      </c>
      <c r="P76" s="214">
        <v>0.0011953035200441924</v>
      </c>
      <c r="Q76" s="214">
        <v>-9.119156479498643E-4</v>
      </c>
      <c r="R76" s="214">
        <v>0.0018441141895543616</v>
      </c>
      <c r="S76" s="214">
        <v>0.0034680154930143794</v>
      </c>
    </row>
    <row r="77">
      <c r="A77" s="208">
        <v>43489.97557335648</v>
      </c>
      <c r="B77" s="30">
        <v>0.04490332924963466</v>
      </c>
      <c r="C77" s="30">
        <v>0.054401159739655966</v>
      </c>
      <c r="D77" s="30">
        <v>0.08022091339427177</v>
      </c>
      <c r="E77" s="30">
        <v>0.007616530818222409</v>
      </c>
      <c r="F77" s="210">
        <v>5810.104491265607</v>
      </c>
      <c r="G77" s="209">
        <v>20940.839600405598</v>
      </c>
      <c r="H77" s="210">
        <v>20893.229611294802</v>
      </c>
      <c r="I77" s="210">
        <v>7191.161396188249</v>
      </c>
      <c r="J77" s="215">
        <v>3.986</v>
      </c>
      <c r="K77" s="212">
        <v>44.139</v>
      </c>
      <c r="L77" s="212">
        <v>168.99</v>
      </c>
      <c r="M77" s="212">
        <v>7.2</v>
      </c>
      <c r="N77" s="212">
        <v>108.04</v>
      </c>
      <c r="O77" s="213">
        <v>0.004525246884297267</v>
      </c>
      <c r="P77" s="214">
        <v>-0.0024013151960165327</v>
      </c>
      <c r="Q77" s="214">
        <v>0.0026037182869526796</v>
      </c>
      <c r="R77" s="214">
        <v>-0.0014005096115552451</v>
      </c>
      <c r="S77" s="214">
        <v>0.0014207597047867597</v>
      </c>
    </row>
    <row r="78">
      <c r="A78" s="208">
        <v>43488.975535833335</v>
      </c>
      <c r="B78" s="30">
        <v>0.022664868491817983</v>
      </c>
      <c r="C78" s="30">
        <v>0.05444702918294404</v>
      </c>
      <c r="D78" s="30">
        <v>0.05801223137519425</v>
      </c>
      <c r="E78" s="30">
        <v>-0.0038576112151739606</v>
      </c>
      <c r="F78" s="210">
        <v>-2920.281493782648</v>
      </c>
      <c r="G78" s="209">
        <v>15130.73510913999</v>
      </c>
      <c r="H78" s="210">
        <v>20893.229611294802</v>
      </c>
      <c r="I78" s="210">
        <v>7191.161396188249</v>
      </c>
      <c r="J78" s="215">
        <v>3.948</v>
      </c>
      <c r="K78" s="212">
        <v>43.852</v>
      </c>
      <c r="L78" s="212">
        <v>167.81</v>
      </c>
      <c r="M78" s="212">
        <v>7.16</v>
      </c>
      <c r="N78" s="212">
        <v>107.75</v>
      </c>
      <c r="O78" s="213">
        <v>0.0014322324562132671</v>
      </c>
      <c r="P78" s="214">
        <v>-0.0055434791135583845</v>
      </c>
      <c r="Q78" s="214">
        <v>2.9604470877061156E-4</v>
      </c>
      <c r="R78" s="214">
        <v>-0.004174445373042864</v>
      </c>
      <c r="S78" s="214">
        <v>-4.964655295239817E-4</v>
      </c>
    </row>
    <row r="79">
      <c r="A79" s="208">
        <v>43487.97551689815</v>
      </c>
      <c r="B79" s="30">
        <v>0.03388999442227544</v>
      </c>
      <c r="C79" s="30">
        <v>0.054492976043014035</v>
      </c>
      <c r="D79" s="30">
        <v>0.06926718630386554</v>
      </c>
      <c r="E79" s="30">
        <v>4.7964314015156036E-4</v>
      </c>
      <c r="F79" s="210">
        <v>364.49922927550506</v>
      </c>
      <c r="G79" s="209">
        <v>18051.01660292264</v>
      </c>
      <c r="H79" s="210">
        <v>20893.229611294802</v>
      </c>
      <c r="I79" s="210">
        <v>7191.161396188249</v>
      </c>
      <c r="J79" s="215">
        <v>3.955</v>
      </c>
      <c r="K79" s="212">
        <v>44.219</v>
      </c>
      <c r="L79" s="212">
        <v>168.15</v>
      </c>
      <c r="M79" s="212">
        <v>7.18</v>
      </c>
      <c r="N79" s="212">
        <v>107.72</v>
      </c>
      <c r="O79" s="213">
        <v>7.513080227381508E-4</v>
      </c>
      <c r="P79" s="214">
        <v>0.0039225933372689275</v>
      </c>
      <c r="Q79" s="214">
        <v>4.3461102325200357E-4</v>
      </c>
      <c r="R79" s="214">
        <v>8.945843579017213E-4</v>
      </c>
      <c r="S79" s="214">
        <v>-0.0020102101548716833</v>
      </c>
    </row>
    <row r="80">
      <c r="A80" s="208">
        <v>43486.97550305555</v>
      </c>
      <c r="B80" s="30">
        <v>0.03251874309729336</v>
      </c>
      <c r="C80" s="30">
        <v>0.05453900051602333</v>
      </c>
      <c r="D80" s="30">
        <v>0.06792581436391858</v>
      </c>
      <c r="E80" s="30">
        <v>-0.0014131464860994798</v>
      </c>
      <c r="F80" s="210">
        <v>-1073.3891557435272</v>
      </c>
      <c r="G80" s="209">
        <v>17686.517373647133</v>
      </c>
      <c r="H80" s="210">
        <v>20893.229611294802</v>
      </c>
      <c r="I80" s="210">
        <v>7191.161396188249</v>
      </c>
      <c r="J80" s="215">
        <v>3.932</v>
      </c>
      <c r="K80" s="212">
        <v>44.455</v>
      </c>
      <c r="L80" s="212">
        <v>167.67</v>
      </c>
      <c r="M80" s="212">
        <v>7.23</v>
      </c>
      <c r="N80" s="212">
        <v>107.58</v>
      </c>
      <c r="O80" s="213">
        <v>-2.5795546673379466E-4</v>
      </c>
      <c r="P80" s="214">
        <v>0.0062966920502163974</v>
      </c>
      <c r="Q80" s="214">
        <v>-2.588763212671245E-4</v>
      </c>
      <c r="R80" s="214">
        <v>0.002284748428385145</v>
      </c>
      <c r="S80" s="214">
        <v>-0.0026587438289208767</v>
      </c>
    </row>
    <row r="81">
      <c r="A81" s="208">
        <v>43483.97549008102</v>
      </c>
      <c r="B81" s="30">
        <v>0.03673421588727155</v>
      </c>
      <c r="C81" s="30">
        <v>0.05467754158422661</v>
      </c>
      <c r="D81" s="30">
        <v>0.07223122890986618</v>
      </c>
      <c r="E81" s="30">
        <v>0.005216037794641223</v>
      </c>
      <c r="F81" s="210">
        <v>3974.5143220823957</v>
      </c>
      <c r="G81" s="209">
        <v>18759.90652939066</v>
      </c>
      <c r="H81" s="210">
        <v>20958.949611294804</v>
      </c>
      <c r="I81" s="210">
        <v>7192.300535973194</v>
      </c>
      <c r="J81" s="215">
        <v>3.931</v>
      </c>
      <c r="K81" s="212">
        <v>44.585</v>
      </c>
      <c r="L81" s="212">
        <v>167.66</v>
      </c>
      <c r="M81" s="212">
        <v>7.25</v>
      </c>
      <c r="N81" s="212">
        <v>107.91</v>
      </c>
      <c r="O81" s="213">
        <v>-6.815694413630317E-4</v>
      </c>
      <c r="P81" s="214">
        <v>0.009740086824780114</v>
      </c>
      <c r="Q81" s="214">
        <v>-9.938937096758416E-4</v>
      </c>
      <c r="R81" s="214">
        <v>0.005528095104966102</v>
      </c>
      <c r="S81" s="214">
        <v>-2.222565646585739E-4</v>
      </c>
    </row>
    <row r="82">
      <c r="A82" s="208">
        <v>43482.975494976854</v>
      </c>
      <c r="B82" s="30">
        <v>0.021449313690971056</v>
      </c>
      <c r="C82" s="30">
        <v>0.05472387848387426</v>
      </c>
      <c r="D82" s="30">
        <v>0.056976408927991606</v>
      </c>
      <c r="E82" s="30">
        <v>0.0016933254858100444</v>
      </c>
      <c r="F82" s="210">
        <v>1283.5493071419187</v>
      </c>
      <c r="G82" s="209">
        <v>14785.392207308265</v>
      </c>
      <c r="H82" s="210">
        <v>20958.949611294804</v>
      </c>
      <c r="I82" s="210">
        <v>7192.300535973194</v>
      </c>
      <c r="J82" s="215">
        <v>3.946</v>
      </c>
      <c r="K82" s="212">
        <v>43.692</v>
      </c>
      <c r="L82" s="212">
        <v>167.93</v>
      </c>
      <c r="M82" s="212">
        <v>7.16</v>
      </c>
      <c r="N82" s="212">
        <v>108.37</v>
      </c>
      <c r="O82" s="213">
        <v>0.001605857704576404</v>
      </c>
      <c r="P82" s="214">
        <v>0.007498802879528199</v>
      </c>
      <c r="Q82" s="214">
        <v>0.0016242580525387407</v>
      </c>
      <c r="R82" s="214">
        <v>0.003727704977449194</v>
      </c>
      <c r="S82" s="214">
        <v>0.00292739583026691</v>
      </c>
    </row>
    <row r="83">
      <c r="A83" s="208">
        <v>43481.97549166667</v>
      </c>
      <c r="B83" s="30">
        <v>0.01651707582203306</v>
      </c>
      <c r="C83" s="30">
        <v>0.05477029398725329</v>
      </c>
      <c r="D83" s="30">
        <v>0.05207430430352945</v>
      </c>
      <c r="E83" s="30">
        <v>0.0019763799894292103</v>
      </c>
      <c r="F83" s="210">
        <v>1495.5692754302872</v>
      </c>
      <c r="G83" s="209">
        <v>13501.842900166346</v>
      </c>
      <c r="H83" s="210">
        <v>20958.949611294804</v>
      </c>
      <c r="I83" s="210">
        <v>7192.300535973194</v>
      </c>
      <c r="J83" s="215">
        <v>3.935</v>
      </c>
      <c r="K83" s="212">
        <v>43.614</v>
      </c>
      <c r="L83" s="212">
        <v>167.8</v>
      </c>
      <c r="M83" s="212">
        <v>7.18</v>
      </c>
      <c r="N83" s="212">
        <v>108.44</v>
      </c>
      <c r="O83" s="213">
        <v>-5.965898781520318E-4</v>
      </c>
      <c r="P83" s="214">
        <v>0.006131165934593248</v>
      </c>
      <c r="Q83" s="214">
        <v>0.001186691556028796</v>
      </c>
      <c r="R83" s="214">
        <v>0.006071233052442208</v>
      </c>
      <c r="S83" s="214">
        <v>0.003235800104887332</v>
      </c>
    </row>
    <row r="84">
      <c r="A84" s="208">
        <v>43480.97549563657</v>
      </c>
      <c r="B84" s="30">
        <v>0.010758045029492298</v>
      </c>
      <c r="C84" s="30">
        <v>0.05481678829454298</v>
      </c>
      <c r="D84" s="30">
        <v>0.046345457915472135</v>
      </c>
      <c r="E84" s="30">
        <v>0.0070173088007806275</v>
      </c>
      <c r="F84" s="210">
        <v>5299.653730948805</v>
      </c>
      <c r="G84" s="209">
        <v>12006.273624736059</v>
      </c>
      <c r="H84" s="210">
        <v>20958.949611294804</v>
      </c>
      <c r="I84" s="210">
        <v>7192.300535973194</v>
      </c>
      <c r="J84" s="215">
        <v>3.939</v>
      </c>
      <c r="K84" s="212">
        <v>43.291</v>
      </c>
      <c r="L84" s="212">
        <v>168.16</v>
      </c>
      <c r="M84" s="212">
        <v>7.13</v>
      </c>
      <c r="N84" s="212">
        <v>107.98</v>
      </c>
      <c r="O84" s="213">
        <v>0.0010952007212874</v>
      </c>
      <c r="P84" s="214">
        <v>0.005095092867193081</v>
      </c>
      <c r="Q84" s="214">
        <v>0.0038555766303463392</v>
      </c>
      <c r="R84" s="214">
        <v>0.005168410001809047</v>
      </c>
      <c r="S84" s="214">
        <v>0.0033737833931721806</v>
      </c>
    </row>
    <row r="85">
      <c r="A85" s="208">
        <v>43479.975508020834</v>
      </c>
      <c r="B85" s="30">
        <v>-0.010305420120917733</v>
      </c>
      <c r="C85" s="30">
        <v>0.05546137466659266</v>
      </c>
      <c r="D85" s="30">
        <v>0.02591024151994224</v>
      </c>
      <c r="E85" s="30">
        <v>-0.001334928398838132</v>
      </c>
      <c r="F85" s="210">
        <v>-1005.1764414050849</v>
      </c>
      <c r="G85" s="209">
        <v>6706.619893787254</v>
      </c>
      <c r="H85" s="210">
        <v>20958.949611294804</v>
      </c>
      <c r="I85" s="210">
        <v>7192.300535973194</v>
      </c>
      <c r="J85" s="215">
        <v>3.927</v>
      </c>
      <c r="K85" s="212">
        <v>42.715</v>
      </c>
      <c r="L85" s="212">
        <v>167.11</v>
      </c>
      <c r="M85" s="212">
        <v>7.08</v>
      </c>
      <c r="N85" s="212">
        <v>107.42</v>
      </c>
      <c r="O85" s="213">
        <v>5.042348493563923E-4</v>
      </c>
      <c r="P85" s="214">
        <v>0.0011838785989529328</v>
      </c>
      <c r="Q85" s="214">
        <v>0.0023958916012047915</v>
      </c>
      <c r="R85" s="214">
        <v>0.0018812014785087872</v>
      </c>
      <c r="S85" s="214">
        <v>0.0014891446639020052</v>
      </c>
    </row>
    <row r="86">
      <c r="A86" s="208">
        <v>43476.97549700231</v>
      </c>
      <c r="B86" s="30">
        <v>-0.006438449170585737</v>
      </c>
      <c r="C86" s="30">
        <v>0.055603098792657214</v>
      </c>
      <c r="D86" s="30">
        <v>0.029869756750446792</v>
      </c>
      <c r="E86" s="30">
        <v>0.004726272396820027</v>
      </c>
      <c r="F86" s="210">
        <v>3548.3751288020285</v>
      </c>
      <c r="G86" s="209">
        <v>7711.796335192339</v>
      </c>
      <c r="H86" s="210">
        <v>20958.949611294804</v>
      </c>
      <c r="I86" s="210">
        <v>7192.300535973194</v>
      </c>
      <c r="J86" s="215">
        <v>3.942</v>
      </c>
      <c r="K86" s="212">
        <v>42.814</v>
      </c>
      <c r="L86" s="212">
        <v>167.2</v>
      </c>
      <c r="M86" s="212">
        <v>7.05</v>
      </c>
      <c r="N86" s="212">
        <v>107.39</v>
      </c>
      <c r="O86" s="213">
        <v>-0.00323825586374508</v>
      </c>
      <c r="P86" s="214">
        <v>0.003969143669371918</v>
      </c>
      <c r="Q86" s="214">
        <v>-4.5835925948848705E-4</v>
      </c>
      <c r="R86" s="214">
        <v>0.0023627114939172023</v>
      </c>
      <c r="S86" s="214">
        <v>4.297782068510836E-4</v>
      </c>
    </row>
    <row r="87">
      <c r="A87" s="208">
        <v>43475.97551362269</v>
      </c>
      <c r="B87" s="30">
        <v>-0.020199417914175715</v>
      </c>
      <c r="C87" s="30">
        <v>0.0556505012639212</v>
      </c>
      <c r="D87" s="30">
        <v>0.016139741294087018</v>
      </c>
      <c r="E87" s="30">
        <v>0.0031382181289043042</v>
      </c>
      <c r="F87" s="210">
        <v>2344.9654326584423</v>
      </c>
      <c r="G87" s="209">
        <v>4163.4212063903105</v>
      </c>
      <c r="H87" s="210">
        <v>20958.949611294804</v>
      </c>
      <c r="I87" s="210">
        <v>7192.300535973194</v>
      </c>
      <c r="J87" s="215">
        <v>3.926</v>
      </c>
      <c r="K87" s="212">
        <v>42.63</v>
      </c>
      <c r="L87" s="212">
        <v>166.22</v>
      </c>
      <c r="M87" s="212">
        <v>7.02</v>
      </c>
      <c r="N87" s="212">
        <v>106.89</v>
      </c>
      <c r="O87" s="213">
        <v>-0.00500996745739742</v>
      </c>
      <c r="P87" s="214">
        <v>0.003497841025926318</v>
      </c>
      <c r="Q87" s="214">
        <v>-0.0026311173403315014</v>
      </c>
      <c r="R87" s="214">
        <v>0.0014204622537955884</v>
      </c>
      <c r="S87" s="214">
        <v>-0.001308677644650702</v>
      </c>
    </row>
    <row r="88">
      <c r="A88" s="208">
        <v>43474.975515439815</v>
      </c>
      <c r="B88" s="30">
        <v>-0.02931480232524232</v>
      </c>
      <c r="C88" s="30">
        <v>0.055697984626774374</v>
      </c>
      <c r="D88" s="30">
        <v>0.007055362991559888</v>
      </c>
      <c r="E88" s="30">
        <v>-0.006194160276295573</v>
      </c>
      <c r="F88" s="210">
        <v>-4613.926830865792</v>
      </c>
      <c r="G88" s="209">
        <v>1818.4557737318682</v>
      </c>
      <c r="H88" s="210">
        <v>20958.949611294804</v>
      </c>
      <c r="I88" s="210">
        <v>7192.300535973194</v>
      </c>
      <c r="J88" s="215">
        <v>3.921</v>
      </c>
      <c r="K88" s="212">
        <v>42.563</v>
      </c>
      <c r="L88" s="212">
        <v>165.91</v>
      </c>
      <c r="M88" s="212">
        <v>7.04</v>
      </c>
      <c r="N88" s="212">
        <v>106.94</v>
      </c>
      <c r="O88" s="213">
        <v>-0.006354604855280869</v>
      </c>
      <c r="P88" s="214">
        <v>0.00562898839431251</v>
      </c>
      <c r="Q88" s="214">
        <v>-0.005242476793634691</v>
      </c>
      <c r="R88" s="214">
        <v>0.0038007450346507024</v>
      </c>
      <c r="S88" s="214">
        <v>-0.001711881870245587</v>
      </c>
    </row>
    <row r="89">
      <c r="A89" s="208">
        <v>43473.97549445602</v>
      </c>
      <c r="B89" s="30">
        <v>-0.006953325510828848</v>
      </c>
      <c r="C89" s="30">
        <v>0.0512757390004923</v>
      </c>
      <c r="D89" s="30">
        <v>0.024978088783184048</v>
      </c>
      <c r="E89" s="30">
        <v>7.389663978673024E-5</v>
      </c>
      <c r="F89" s="210">
        <v>55.57760459772544</v>
      </c>
      <c r="G89" s="209">
        <v>6432.38260459766</v>
      </c>
      <c r="H89" s="210">
        <v>21092.807611294804</v>
      </c>
      <c r="I89" s="210">
        <v>7252.966894396133</v>
      </c>
      <c r="J89" s="215">
        <v>3.98</v>
      </c>
      <c r="K89" s="212">
        <v>42.306</v>
      </c>
      <c r="L89" s="212">
        <v>167.42</v>
      </c>
      <c r="M89" s="212">
        <v>7.0</v>
      </c>
      <c r="N89" s="212">
        <v>107.25</v>
      </c>
      <c r="O89" s="213">
        <v>-0.005426298328912615</v>
      </c>
      <c r="P89" s="214">
        <v>0.010299201605413569</v>
      </c>
      <c r="Q89" s="214">
        <v>-0.004700841361009307</v>
      </c>
      <c r="R89" s="214">
        <v>0.007653932077492838</v>
      </c>
      <c r="S89" s="214">
        <v>-0.0026372567827240476</v>
      </c>
    </row>
    <row r="90">
      <c r="A90" s="208">
        <v>43472.975529999996</v>
      </c>
      <c r="B90" s="30">
        <v>-0.007175270733877996</v>
      </c>
      <c r="C90" s="30">
        <v>0.05131956441844144</v>
      </c>
      <c r="D90" s="30">
        <v>0.0247834353672238</v>
      </c>
      <c r="E90" s="30">
        <v>0.001027493757912736</v>
      </c>
      <c r="F90" s="210">
        <v>756.3123805186478</v>
      </c>
      <c r="G90" s="209">
        <v>6376.804999999935</v>
      </c>
      <c r="H90" s="210">
        <v>21684.819610080307</v>
      </c>
      <c r="I90" s="210">
        <v>8074.494993206042</v>
      </c>
      <c r="J90" s="215">
        <v>3.985</v>
      </c>
      <c r="K90" s="212">
        <v>42.184</v>
      </c>
      <c r="L90" s="212">
        <v>167.53</v>
      </c>
      <c r="M90" s="212">
        <v>6.99</v>
      </c>
      <c r="N90" s="212">
        <v>107.31</v>
      </c>
      <c r="O90" s="213">
        <v>-0.0017936936077377712</v>
      </c>
      <c r="P90" s="214">
        <v>0.0026239776787363813</v>
      </c>
      <c r="Q90" s="214">
        <v>-0.0031664809518186696</v>
      </c>
      <c r="R90" s="214">
        <v>0.0032791061237195476</v>
      </c>
      <c r="S90" s="214">
        <v>-0.003098325162386321</v>
      </c>
    </row>
    <row r="91">
      <c r="A91" s="208">
        <v>43469.97551916666</v>
      </c>
      <c r="B91" s="30">
        <v>-0.010140678492763924</v>
      </c>
      <c r="C91" s="30">
        <v>0.05145149131926005</v>
      </c>
      <c r="D91" s="30">
        <v>0.021900183665153044</v>
      </c>
      <c r="E91" s="30">
        <v>8.357106871301597E-4</v>
      </c>
      <c r="F91" s="210">
        <v>614.5136146547156</v>
      </c>
      <c r="G91" s="209">
        <v>5620.492619481287</v>
      </c>
      <c r="H91" s="210">
        <v>21684.819610080307</v>
      </c>
      <c r="I91" s="210">
        <v>8074.494993206042</v>
      </c>
      <c r="J91" s="215">
        <v>3.996</v>
      </c>
      <c r="K91" s="212">
        <v>41.848</v>
      </c>
      <c r="L91" s="212">
        <v>168.53</v>
      </c>
      <c r="M91" s="212">
        <v>6.96</v>
      </c>
      <c r="N91" s="212">
        <v>107.49</v>
      </c>
      <c r="O91" s="213">
        <v>0.004784602895646047</v>
      </c>
      <c r="P91" s="214">
        <v>0.0021043156870496813</v>
      </c>
      <c r="Q91" s="214">
        <v>0.0036127110173194885</v>
      </c>
      <c r="R91" s="214">
        <v>0.003775273232801838</v>
      </c>
      <c r="S91" s="214">
        <v>0.0012770091658753646</v>
      </c>
    </row>
    <row r="92">
      <c r="A92" s="208">
        <v>43468.975556226855</v>
      </c>
      <c r="B92" s="30">
        <v>-0.012545874129958846</v>
      </c>
      <c r="C92" s="30">
        <v>0.0514956178126728</v>
      </c>
      <c r="D92" s="30">
        <v>0.019522467326549817</v>
      </c>
      <c r="E92" s="30">
        <v>-0.002780077084925396</v>
      </c>
      <c r="F92" s="210">
        <v>-2042.5340020433068</v>
      </c>
      <c r="G92" s="209">
        <v>5005.979004826571</v>
      </c>
      <c r="H92" s="210">
        <v>21684.819610080307</v>
      </c>
      <c r="I92" s="210">
        <v>8074.494993206042</v>
      </c>
      <c r="J92" s="215">
        <v>4.045</v>
      </c>
      <c r="K92" s="212">
        <v>41.009</v>
      </c>
      <c r="L92" s="212">
        <v>169.79</v>
      </c>
      <c r="M92" s="212">
        <v>6.84</v>
      </c>
      <c r="N92" s="212">
        <v>108.1</v>
      </c>
      <c r="O92" s="213">
        <v>0.008872023649733496</v>
      </c>
      <c r="P92" s="214">
        <v>-0.0020525579695716</v>
      </c>
      <c r="Q92" s="214">
        <v>0.0060448573144406366</v>
      </c>
      <c r="R92" s="214">
        <v>-0.0019718532039797823</v>
      </c>
      <c r="S92" s="214">
        <v>0.004320552400728521</v>
      </c>
    </row>
    <row r="93">
      <c r="A93" s="208">
        <v>43467.975532094904</v>
      </c>
      <c r="B93" s="30">
        <v>-0.004584270282478509</v>
      </c>
      <c r="C93" s="30">
        <v>0.0515398200597223</v>
      </c>
      <c r="D93" s="30">
        <v>0.027511597647383382</v>
      </c>
      <c r="E93" s="30">
        <v>0.01146820804725108</v>
      </c>
      <c r="F93" s="210">
        <v>8435.013006869878</v>
      </c>
      <c r="G93" s="209">
        <v>7048.513006869878</v>
      </c>
      <c r="H93" s="210">
        <v>21684.819610080307</v>
      </c>
      <c r="I93" s="210">
        <v>8074.494993206042</v>
      </c>
      <c r="J93" s="215">
        <v>4.006</v>
      </c>
      <c r="K93" s="212">
        <v>41.835</v>
      </c>
      <c r="L93" s="212">
        <v>169.12</v>
      </c>
      <c r="M93" s="212">
        <v>6.92</v>
      </c>
      <c r="N93" s="212">
        <v>108.31</v>
      </c>
      <c r="O93" s="213">
        <v>0.0029495286442268176</v>
      </c>
      <c r="P93" s="214">
        <v>0.010786370943581073</v>
      </c>
      <c r="Q93" s="214">
        <v>0.004269654132624516</v>
      </c>
      <c r="R93" s="214">
        <v>-1.1202222520934058E-5</v>
      </c>
      <c r="S93" s="214">
        <v>0.004999341204296866</v>
      </c>
    </row>
    <row r="94">
      <c r="A94" s="208">
        <v>43465.0</v>
      </c>
      <c r="B94" s="30">
        <v>-0.0416</v>
      </c>
      <c r="C94" s="30">
        <v>0.0541</v>
      </c>
      <c r="D94" s="30">
        <v>-0.0057</v>
      </c>
      <c r="E94" s="30">
        <v>0.0094</v>
      </c>
      <c r="F94" s="210">
        <v>6809.818670859677</v>
      </c>
      <c r="G94" s="209">
        <v>-1386.5</v>
      </c>
      <c r="H94" s="210">
        <v>21149.82161008031</v>
      </c>
      <c r="I94" s="210">
        <v>7649.793222596724</v>
      </c>
      <c r="J94" s="215">
        <v>3.938</v>
      </c>
      <c r="K94" s="212">
        <v>41.567</v>
      </c>
      <c r="L94" s="212">
        <v>166.69</v>
      </c>
      <c r="M94" s="212">
        <v>6.88</v>
      </c>
      <c r="N94" s="212">
        <v>107.07</v>
      </c>
      <c r="O94" s="213">
        <v>-8.614635157280226E-4</v>
      </c>
      <c r="P94" s="214">
        <v>0.013096100829094626</v>
      </c>
      <c r="Q94" s="214">
        <v>-5.997086790724785E-4</v>
      </c>
      <c r="R94" s="214">
        <v>-0.003864766769727135</v>
      </c>
      <c r="S94" s="214">
        <v>0.004026262702464016</v>
      </c>
    </row>
    <row r="95">
      <c r="A95" s="208">
        <v>43462.97555304398</v>
      </c>
      <c r="B95" s="30">
        <v>-0.05225137458198277</v>
      </c>
      <c r="C95" s="30">
        <v>0.03683163480615135</v>
      </c>
      <c r="D95" s="30">
        <v>-0.0337077392428632</v>
      </c>
      <c r="E95" s="30">
        <v>0.001084210170852612</v>
      </c>
      <c r="F95" s="210">
        <v>781.3461984310998</v>
      </c>
      <c r="G95" s="209">
        <v>-8196.318670859677</v>
      </c>
      <c r="H95" s="210">
        <v>21149.82161008031</v>
      </c>
      <c r="I95" s="210">
        <v>7649.793222596724</v>
      </c>
      <c r="J95" s="215">
        <v>3.938</v>
      </c>
      <c r="K95" s="212">
        <v>41.252</v>
      </c>
      <c r="L95" s="212">
        <v>166.72</v>
      </c>
      <c r="M95" s="212">
        <v>6.88</v>
      </c>
      <c r="N95" s="212">
        <v>106.7</v>
      </c>
      <c r="O95" s="213">
        <v>-8.614635157280226E-4</v>
      </c>
      <c r="P95" s="214">
        <v>-8.514094856288216E-4</v>
      </c>
      <c r="Q95" s="214">
        <v>5.781143291736512E-4</v>
      </c>
      <c r="R95" s="214">
        <v>-0.005780475581987687</v>
      </c>
      <c r="S95" s="214">
        <v>0.003977286309085633</v>
      </c>
    </row>
    <row r="96">
      <c r="A96" s="208">
        <v>43461.97553350695</v>
      </c>
      <c r="B96" s="30">
        <v>-0.05551255257371618</v>
      </c>
      <c r="C96" s="30">
        <v>0.03686341361098841</v>
      </c>
      <c r="D96" s="30">
        <v>-0.03695291754923068</v>
      </c>
      <c r="E96" s="30">
        <v>0.004305798741420034</v>
      </c>
      <c r="F96" s="210">
        <v>3099.6498084677733</v>
      </c>
      <c r="G96" s="209">
        <v>-8977.664869290777</v>
      </c>
      <c r="H96" s="210">
        <v>21149.82161008031</v>
      </c>
      <c r="I96" s="210">
        <v>7649.793222596724</v>
      </c>
      <c r="J96" s="215">
        <v>3.97</v>
      </c>
      <c r="K96" s="212">
        <v>40.494</v>
      </c>
      <c r="L96" s="212">
        <v>166.95</v>
      </c>
      <c r="M96" s="212">
        <v>6.92</v>
      </c>
      <c r="N96" s="212">
        <v>106.69</v>
      </c>
      <c r="O96" s="213">
        <v>-9.390336337118018E-4</v>
      </c>
      <c r="P96" s="214">
        <v>-0.007460357009072586</v>
      </c>
      <c r="Q96" s="214">
        <v>6.774552493263494E-4</v>
      </c>
      <c r="R96" s="214">
        <v>-0.00574725299062558</v>
      </c>
      <c r="S96" s="214">
        <v>0.004325444724794643</v>
      </c>
    </row>
    <row r="97">
      <c r="A97" s="208">
        <v>43458.975581516206</v>
      </c>
      <c r="B97" s="30">
        <v>-0.06844817818147665</v>
      </c>
      <c r="C97" s="30">
        <v>0.036959079909286825</v>
      </c>
      <c r="D97" s="30">
        <v>-0.04984037801419405</v>
      </c>
      <c r="E97" s="30">
        <v>-0.007241766630802091</v>
      </c>
      <c r="F97" s="210">
        <v>-5248.528845272958</v>
      </c>
      <c r="G97" s="209">
        <v>-12077.31467775855</v>
      </c>
      <c r="H97" s="210">
        <v>21189.64899379261</v>
      </c>
      <c r="I97" s="210">
        <v>7454.354995021294</v>
      </c>
      <c r="J97" s="215">
        <v>3.948</v>
      </c>
      <c r="K97" s="212">
        <v>39.954</v>
      </c>
      <c r="L97" s="212">
        <v>166.99</v>
      </c>
      <c r="M97" s="212">
        <v>6.96</v>
      </c>
      <c r="N97" s="212">
        <v>105.78</v>
      </c>
      <c r="O97" s="213">
        <v>8.979455860117872E-4</v>
      </c>
      <c r="P97" s="214">
        <v>-0.022634503314261572</v>
      </c>
      <c r="Q97" s="214">
        <v>0.0016976391888350688</v>
      </c>
      <c r="R97" s="214">
        <v>-0.006187894959446716</v>
      </c>
      <c r="S97" s="214">
        <v>0.0024635466783670865</v>
      </c>
    </row>
    <row r="98">
      <c r="A98" s="208">
        <v>43455.9755625463</v>
      </c>
      <c r="B98" s="30">
        <v>-0.046910412674121896</v>
      </c>
      <c r="C98" s="30">
        <v>0.03705524403741159</v>
      </c>
      <c r="D98" s="30">
        <v>-0.028254196721495102</v>
      </c>
      <c r="E98" s="30">
        <v>-0.0032816562464081152</v>
      </c>
      <c r="F98" s="210">
        <v>-2395.6307324855006</v>
      </c>
      <c r="G98" s="209">
        <v>-6828.7858324855915</v>
      </c>
      <c r="H98" s="210">
        <v>21189.64899379261</v>
      </c>
      <c r="I98" s="210">
        <v>7454.354995021294</v>
      </c>
      <c r="J98" s="215">
        <v>3.948</v>
      </c>
      <c r="K98" s="212">
        <v>41.323</v>
      </c>
      <c r="L98" s="212">
        <v>166.43</v>
      </c>
      <c r="M98" s="212">
        <v>7.0</v>
      </c>
      <c r="N98" s="212">
        <v>105.43</v>
      </c>
      <c r="O98" s="213">
        <v>0.0014906134380140805</v>
      </c>
      <c r="P98" s="214">
        <v>-0.012485031859092999</v>
      </c>
      <c r="Q98" s="214">
        <v>-4.2336223548974E-4</v>
      </c>
      <c r="R98" s="214">
        <v>-0.005212477637548174</v>
      </c>
      <c r="S98" s="214">
        <v>0.0016463429581571691</v>
      </c>
    </row>
    <row r="99">
      <c r="A99" s="208">
        <v>43454.97555884259</v>
      </c>
      <c r="B99" s="30">
        <v>-0.03703057378825105</v>
      </c>
      <c r="C99" s="30">
        <v>0.03708741004786073</v>
      </c>
      <c r="D99" s="30">
        <v>-0.018358163203720933</v>
      </c>
      <c r="E99" s="30">
        <v>-0.006360038926212828</v>
      </c>
      <c r="F99" s="210">
        <v>-4675.418749566423</v>
      </c>
      <c r="G99" s="209">
        <v>-4433.155100000091</v>
      </c>
      <c r="H99" s="210">
        <v>21247.348993792606</v>
      </c>
      <c r="I99" s="210">
        <v>7386.752127637782</v>
      </c>
      <c r="J99" s="215">
        <v>3.981</v>
      </c>
      <c r="K99" s="212">
        <v>41.383</v>
      </c>
      <c r="L99" s="212">
        <v>166.61</v>
      </c>
      <c r="M99" s="212">
        <v>7.04</v>
      </c>
      <c r="N99" s="212">
        <v>105.31</v>
      </c>
      <c r="O99" s="213">
        <v>0.005803551866593315</v>
      </c>
      <c r="P99" s="214">
        <v>-0.017093006247511644</v>
      </c>
      <c r="Q99" s="214">
        <v>1.5718489707938765E-4</v>
      </c>
      <c r="R99" s="214">
        <v>-0.007995948269120015</v>
      </c>
      <c r="S99" s="214">
        <v>0.0019341828904765694</v>
      </c>
    </row>
    <row r="100">
      <c r="A100" s="208">
        <v>43453.975029305555</v>
      </c>
      <c r="B100" s="30">
        <v>-0.017684522387828652</v>
      </c>
      <c r="C100" s="30">
        <v>0.03711963195059562</v>
      </c>
      <c r="D100" s="30">
        <v>0.0010041109687123503</v>
      </c>
      <c r="E100" s="30">
        <v>-5.519938965814329E-4</v>
      </c>
      <c r="F100" s="210">
        <v>-411.12577378045535</v>
      </c>
      <c r="G100" s="209">
        <v>242.26364956633188</v>
      </c>
      <c r="H100" s="210">
        <v>20648.00835523921</v>
      </c>
      <c r="I100" s="210">
        <v>6865.310523516509</v>
      </c>
      <c r="J100" s="215">
        <v>3.937</v>
      </c>
      <c r="K100" s="212">
        <v>42.715</v>
      </c>
      <c r="L100" s="212">
        <v>166.14</v>
      </c>
      <c r="M100" s="212">
        <v>7.09</v>
      </c>
      <c r="N100" s="212">
        <v>105.0</v>
      </c>
      <c r="O100" s="213">
        <v>0.0018637616873729372</v>
      </c>
      <c r="P100" s="214">
        <v>-0.011432914443907075</v>
      </c>
      <c r="Q100" s="214">
        <v>-0.0016838734172782328</v>
      </c>
      <c r="R100" s="214">
        <v>-0.01117637423474016</v>
      </c>
      <c r="S100" s="214">
        <v>4.1172396317742016E-4</v>
      </c>
    </row>
    <row r="101">
      <c r="A101" s="208">
        <v>43452.97457569445</v>
      </c>
      <c r="B101" s="30">
        <v>-0.015994424112389268</v>
      </c>
      <c r="C101" s="30">
        <v>0.03715190989142223</v>
      </c>
      <c r="D101" s="30">
        <v>0.002710460229679158</v>
      </c>
      <c r="E101" s="30">
        <v>-0.0035291119476894314</v>
      </c>
      <c r="F101" s="210">
        <v>-2646.2075766524067</v>
      </c>
      <c r="G101" s="209">
        <v>653.3894233467872</v>
      </c>
      <c r="H101" s="210">
        <v>20672.858011672644</v>
      </c>
      <c r="I101" s="210">
        <v>6819.9843648238875</v>
      </c>
      <c r="J101" s="215">
        <v>3.93</v>
      </c>
      <c r="K101" s="212">
        <v>42.878</v>
      </c>
      <c r="L101" s="212">
        <v>166.64</v>
      </c>
      <c r="M101" s="212">
        <v>7.11</v>
      </c>
      <c r="N101" s="212">
        <v>104.91</v>
      </c>
      <c r="O101" s="213">
        <v>0.004336227934987484</v>
      </c>
      <c r="P101" s="214">
        <v>-0.012604633229932919</v>
      </c>
      <c r="Q101" s="214">
        <v>0.0017946429488403897</v>
      </c>
      <c r="R101" s="214">
        <v>-0.011145587064523621</v>
      </c>
      <c r="S101" s="214">
        <v>9.842150746215417E-4</v>
      </c>
    </row>
    <row r="102">
      <c r="A102" s="208">
        <v>43451.973419444446</v>
      </c>
      <c r="B102" s="30">
        <v>-0.0050215079674967135</v>
      </c>
      <c r="C102" s="30">
        <v>0.0371842440166541</v>
      </c>
      <c r="D102" s="30">
        <v>0.013699655647280215</v>
      </c>
      <c r="E102" s="30">
        <v>-0.006262533561564313</v>
      </c>
      <c r="F102" s="210">
        <v>-4734.547498141648</v>
      </c>
      <c r="G102" s="209">
        <v>3299.596999999194</v>
      </c>
      <c r="H102" s="210">
        <v>20752.80801167265</v>
      </c>
      <c r="I102" s="210">
        <v>6739.564293139301</v>
      </c>
      <c r="J102" s="215">
        <v>3.912</v>
      </c>
      <c r="K102" s="212">
        <v>43.533</v>
      </c>
      <c r="L102" s="212">
        <v>166.53</v>
      </c>
      <c r="M102" s="212">
        <v>7.21</v>
      </c>
      <c r="N102" s="212">
        <v>104.7</v>
      </c>
      <c r="O102" s="213">
        <v>-0.003205785660762387</v>
      </c>
      <c r="P102" s="214">
        <v>-0.009534275627100556</v>
      </c>
      <c r="Q102" s="214">
        <v>0.0015947195649363977</v>
      </c>
      <c r="R102" s="214">
        <v>-0.007817898745876942</v>
      </c>
      <c r="S102" s="214">
        <v>-3.522395720181315E-4</v>
      </c>
    </row>
    <row r="103">
      <c r="A103" s="208">
        <v>43448.97341672453</v>
      </c>
      <c r="B103" s="30">
        <v>0.014674216614063897</v>
      </c>
      <c r="C103" s="30">
        <v>0.037281584969577286</v>
      </c>
      <c r="D103" s="30">
        <v>0.03344443013842236</v>
      </c>
      <c r="E103" s="30">
        <v>0.0023467760345307833</v>
      </c>
      <c r="F103" s="210">
        <v>1765.2667218117858</v>
      </c>
      <c r="G103" s="209">
        <v>8034.144498140842</v>
      </c>
      <c r="H103" s="210">
        <v>20133.196011672648</v>
      </c>
      <c r="I103" s="210">
        <v>6541.880579877656</v>
      </c>
      <c r="J103" s="215">
        <v>3.915</v>
      </c>
      <c r="K103" s="212">
        <v>44.195</v>
      </c>
      <c r="L103" s="212">
        <v>166.98</v>
      </c>
      <c r="M103" s="212">
        <v>7.33</v>
      </c>
      <c r="N103" s="212">
        <v>104.87</v>
      </c>
      <c r="O103" s="213">
        <v>-0.0058200868143769196</v>
      </c>
      <c r="P103" s="214">
        <v>-0.00256753670057804</v>
      </c>
      <c r="Q103" s="214">
        <v>8.189393961481144E-5</v>
      </c>
      <c r="R103" s="214">
        <v>-0.004076733271346574</v>
      </c>
      <c r="S103" s="214">
        <v>-2.8806438027547304E-4</v>
      </c>
    </row>
    <row r="104">
      <c r="A104" s="208">
        <v>43447.99310577546</v>
      </c>
      <c r="B104" s="30">
        <v>0.007332185789859323</v>
      </c>
      <c r="C104" s="30">
        <v>0.03731414530579526</v>
      </c>
      <c r="D104" s="30">
        <v>0.02611879251380238</v>
      </c>
      <c r="E104" s="30">
        <v>-0.008847251440605546</v>
      </c>
      <c r="F104" s="210">
        <v>-6713.952874382841</v>
      </c>
      <c r="G104" s="209">
        <v>6268.877776329056</v>
      </c>
      <c r="H104" s="210">
        <v>20567.726011672647</v>
      </c>
      <c r="I104" s="210">
        <v>6567.398465182312</v>
      </c>
      <c r="J104" s="215">
        <v>3.879</v>
      </c>
      <c r="K104" s="212">
        <v>44.519</v>
      </c>
      <c r="L104" s="212">
        <v>165.74</v>
      </c>
      <c r="M104" s="212">
        <v>7.35</v>
      </c>
      <c r="N104" s="212">
        <v>104.6</v>
      </c>
      <c r="O104" s="213">
        <v>-0.0072951296929711544</v>
      </c>
      <c r="P104" s="214">
        <v>0.008603592912102961</v>
      </c>
      <c r="Q104" s="214">
        <v>-0.0015947144152797337</v>
      </c>
      <c r="R104" s="214">
        <v>-0.0027179926529081744</v>
      </c>
      <c r="S104" s="214">
        <v>-5.746234359705523E-4</v>
      </c>
    </row>
    <row r="105">
      <c r="A105" s="208">
        <v>43446.97483011574</v>
      </c>
      <c r="B105" s="30">
        <v>0.03533621046143479</v>
      </c>
      <c r="C105" s="30">
        <v>0.03734676256567794</v>
      </c>
      <c r="D105" s="30">
        <v>0.05413923904440227</v>
      </c>
      <c r="E105" s="30">
        <v>0.007379151831654422</v>
      </c>
      <c r="F105" s="210">
        <v>2824.696450686024</v>
      </c>
      <c r="G105" s="209">
        <v>12982.830650711898</v>
      </c>
      <c r="H105" s="210">
        <v>20567.726011672647</v>
      </c>
      <c r="I105" s="210">
        <v>6567.398465182312</v>
      </c>
      <c r="J105" s="215">
        <v>3.949</v>
      </c>
      <c r="K105" s="212">
        <v>44.789</v>
      </c>
      <c r="L105" s="212">
        <v>165.73</v>
      </c>
      <c r="M105" s="212">
        <v>7.38</v>
      </c>
      <c r="N105" s="212">
        <v>104.81</v>
      </c>
      <c r="O105" s="213">
        <v>0.002251952420198785</v>
      </c>
      <c r="P105" s="214">
        <v>0.002777633564055878</v>
      </c>
      <c r="Q105" s="214">
        <v>5.069135896492346E-4</v>
      </c>
      <c r="R105" s="214">
        <v>-0.004506346320961104</v>
      </c>
      <c r="S105" s="214">
        <v>9.217224846029085E-4</v>
      </c>
    </row>
    <row r="106">
      <c r="A106" s="208">
        <v>43445.0</v>
      </c>
      <c r="B106" s="30">
        <v>0.023567357918289823</v>
      </c>
      <c r="C106" s="30">
        <v>0.03737946551013125</v>
      </c>
      <c r="D106" s="30">
        <v>0.042386851500016476</v>
      </c>
      <c r="E106" s="30">
        <v>0.007379151831654422</v>
      </c>
      <c r="F106" s="210">
        <v>2824.696450686024</v>
      </c>
      <c r="G106" s="209">
        <v>10158.134200025874</v>
      </c>
      <c r="H106" s="210">
        <v>20567.726011672647</v>
      </c>
      <c r="I106" s="210">
        <v>6567.398465182312</v>
      </c>
      <c r="J106" s="215">
        <v>3.983</v>
      </c>
      <c r="K106" s="212">
        <v>44.534</v>
      </c>
      <c r="L106" s="212">
        <v>166.93</v>
      </c>
      <c r="M106" s="212">
        <v>7.42</v>
      </c>
      <c r="N106" s="212">
        <v>104.96</v>
      </c>
      <c r="O106" s="213">
        <v>0.0024021764627863615</v>
      </c>
      <c r="P106" s="214">
        <v>0.00333540947613468</v>
      </c>
      <c r="Q106" s="214">
        <v>0.0011477496322347773</v>
      </c>
      <c r="R106" s="214">
        <v>0.004876095988310551</v>
      </c>
      <c r="S106" s="214">
        <v>0.0019728290137100237</v>
      </c>
    </row>
    <row r="107">
      <c r="A107" s="208">
        <v>43444.97340633102</v>
      </c>
      <c r="B107" s="30">
        <v>0.011798505375144859</v>
      </c>
      <c r="C107" s="30">
        <v>0.03741216845458456</v>
      </c>
      <c r="D107" s="30">
        <v>0.030634463955630672</v>
      </c>
      <c r="E107" s="30">
        <v>-0.0037012082581133606</v>
      </c>
      <c r="F107" s="210">
        <v>-2812.692457120167</v>
      </c>
      <c r="G107" s="209">
        <v>7333.43774933985</v>
      </c>
      <c r="H107" s="210">
        <v>20567.726011672647</v>
      </c>
      <c r="I107" s="210">
        <v>6567.398465182312</v>
      </c>
      <c r="J107" s="215">
        <v>3.964</v>
      </c>
      <c r="K107" s="212">
        <v>43.368</v>
      </c>
      <c r="L107" s="212">
        <v>166.53</v>
      </c>
      <c r="M107" s="212">
        <v>7.41</v>
      </c>
      <c r="N107" s="212">
        <v>104.78</v>
      </c>
      <c r="O107" s="213">
        <v>0.0045214091331817014</v>
      </c>
      <c r="P107" s="214">
        <v>-0.016194964250337618</v>
      </c>
      <c r="Q107" s="214">
        <v>0.0021123620039599964</v>
      </c>
      <c r="R107" s="214">
        <v>-0.002869081942449355</v>
      </c>
      <c r="S107" s="214">
        <v>0.0019123321195663179</v>
      </c>
    </row>
    <row r="108">
      <c r="A108" s="208">
        <v>43441.97344800926</v>
      </c>
      <c r="B108" s="30">
        <v>0.023610178453431222</v>
      </c>
      <c r="C108" s="30">
        <v>0.03751070796763439</v>
      </c>
      <c r="D108" s="30">
        <v>0.04249574886512113</v>
      </c>
      <c r="E108" s="30">
        <v>-0.0019271621841113072</v>
      </c>
      <c r="F108" s="210">
        <v>-1469.946193961252</v>
      </c>
      <c r="G108" s="209">
        <v>10146.130206460017</v>
      </c>
      <c r="H108" s="210">
        <v>20567.726011672647</v>
      </c>
      <c r="I108" s="210">
        <v>6567.398465182312</v>
      </c>
      <c r="J108" s="215">
        <v>3.922</v>
      </c>
      <c r="K108" s="212">
        <v>44.389</v>
      </c>
      <c r="L108" s="212">
        <v>165.47</v>
      </c>
      <c r="M108" s="212">
        <v>7.48</v>
      </c>
      <c r="N108" s="212">
        <v>104.52</v>
      </c>
      <c r="O108" s="213">
        <v>0.0015863835018173529</v>
      </c>
      <c r="P108" s="214">
        <v>-0.014905614074324003</v>
      </c>
      <c r="Q108" s="214">
        <v>3.330810318779391E-4</v>
      </c>
      <c r="R108" s="214">
        <v>7.26045305182684E-4</v>
      </c>
      <c r="S108" s="214">
        <v>7.012514058878002E-4</v>
      </c>
    </row>
    <row r="109">
      <c r="A109" s="208">
        <v>43440.97339533565</v>
      </c>
      <c r="B109" s="30">
        <v>0.02979301437805489</v>
      </c>
      <c r="C109" s="30">
        <v>0.03754366992542668</v>
      </c>
      <c r="D109" s="30">
        <v>0.048695180194324485</v>
      </c>
      <c r="E109" s="30">
        <v>-0.002758145533248564</v>
      </c>
      <c r="F109" s="210">
        <v>-2091.4319944336894</v>
      </c>
      <c r="G109" s="209">
        <v>11616.076400421269</v>
      </c>
      <c r="H109" s="210">
        <v>20420.83901167265</v>
      </c>
      <c r="I109" s="210">
        <v>6574.753999232493</v>
      </c>
      <c r="J109" s="215">
        <v>3.954</v>
      </c>
      <c r="K109" s="212">
        <v>44.062</v>
      </c>
      <c r="L109" s="212">
        <v>166.35</v>
      </c>
      <c r="M109" s="212">
        <v>7.31</v>
      </c>
      <c r="N109" s="212">
        <v>104.34</v>
      </c>
      <c r="O109" s="213">
        <v>0.009601156501435079</v>
      </c>
      <c r="P109" s="214">
        <v>-0.01920803880309152</v>
      </c>
      <c r="Q109" s="214">
        <v>0.0036988723378347244</v>
      </c>
      <c r="R109" s="214">
        <v>-0.005509229696848417</v>
      </c>
      <c r="S109" s="214">
        <v>0.0014055622875001432</v>
      </c>
    </row>
    <row r="110">
      <c r="A110" s="208">
        <v>43439.97343138889</v>
      </c>
      <c r="B110" s="30">
        <v>0.038594317315082255</v>
      </c>
      <c r="C110" s="30">
        <v>0.03757668986379557</v>
      </c>
      <c r="D110" s="30">
        <v>0.05751310772749632</v>
      </c>
      <c r="E110" s="30">
        <v>-0.005489546817800433</v>
      </c>
      <c r="F110" s="210">
        <v>-4124.768616428279</v>
      </c>
      <c r="G110" s="209">
        <v>13707.508394854958</v>
      </c>
      <c r="H110" s="210">
        <v>19927.523430807654</v>
      </c>
      <c r="I110" s="210">
        <v>6566.102454554804</v>
      </c>
      <c r="J110" s="215">
        <v>3.91</v>
      </c>
      <c r="K110" s="212">
        <v>45.49</v>
      </c>
      <c r="L110" s="212">
        <v>165.47</v>
      </c>
      <c r="M110" s="212">
        <v>7.47</v>
      </c>
      <c r="N110" s="212">
        <v>104.18</v>
      </c>
      <c r="O110" s="213">
        <v>0.006325747389154553</v>
      </c>
      <c r="P110" s="214">
        <v>-0.0038598196996479186</v>
      </c>
      <c r="Q110" s="214">
        <v>0.0014694915383262435</v>
      </c>
      <c r="R110" s="214">
        <v>0.0044785019759953455</v>
      </c>
      <c r="S110" s="214">
        <v>0.0037497224327374123</v>
      </c>
    </row>
    <row r="111">
      <c r="A111" s="208">
        <v>43438.97348383102</v>
      </c>
      <c r="B111" s="30">
        <v>0.05351820781477613</v>
      </c>
      <c r="C111" s="30">
        <v>0.03760976793585877</v>
      </c>
      <c r="D111" s="30">
        <v>0.07488541659174172</v>
      </c>
      <c r="E111" s="30">
        <v>0.00648527944191245</v>
      </c>
      <c r="F111" s="210">
        <v>4899.698445441783</v>
      </c>
      <c r="G111" s="209">
        <v>17832.277011283237</v>
      </c>
      <c r="H111" s="210">
        <v>19927.523430807654</v>
      </c>
      <c r="I111" s="210">
        <v>6566.102454554804</v>
      </c>
      <c r="J111" s="215">
        <v>3.903</v>
      </c>
      <c r="K111" s="212">
        <v>46.385</v>
      </c>
      <c r="L111" s="212">
        <v>165.3</v>
      </c>
      <c r="M111" s="212">
        <v>7.46</v>
      </c>
      <c r="N111" s="212">
        <v>104.3</v>
      </c>
      <c r="O111" s="213">
        <v>0.007901388753285091</v>
      </c>
      <c r="P111" s="214">
        <v>0.005038672680660013</v>
      </c>
      <c r="Q111" s="214">
        <v>0.003170656980622281</v>
      </c>
      <c r="R111" s="214">
        <v>0.005389124717224081</v>
      </c>
      <c r="S111" s="214">
        <v>0.004457266465683785</v>
      </c>
    </row>
    <row r="112">
      <c r="A112" s="208">
        <v>43437.973497962965</v>
      </c>
      <c r="B112" s="30">
        <v>0.03297128637171939</v>
      </c>
      <c r="C112" s="30">
        <v>0.03764290429527363</v>
      </c>
      <c r="D112" s="30">
        <v>0.05435732088329025</v>
      </c>
      <c r="E112" s="30">
        <v>0.004040859480410558</v>
      </c>
      <c r="F112" s="210">
        <v>3033.11385251538</v>
      </c>
      <c r="G112" s="209">
        <v>12932.578565841453</v>
      </c>
      <c r="H112" s="210">
        <v>19927.523430807654</v>
      </c>
      <c r="I112" s="210">
        <v>6566.102454554804</v>
      </c>
      <c r="J112" s="215">
        <v>3.841</v>
      </c>
      <c r="K112" s="212">
        <v>46.642</v>
      </c>
      <c r="L112" s="212">
        <v>164.51</v>
      </c>
      <c r="M112" s="212">
        <v>7.43</v>
      </c>
      <c r="N112" s="212">
        <v>103.9</v>
      </c>
      <c r="O112" s="213">
        <v>1.572655938354058E-4</v>
      </c>
      <c r="P112" s="214">
        <v>0.008950488964347691</v>
      </c>
      <c r="Q112" s="214">
        <v>-9.182123089727472E-5</v>
      </c>
      <c r="R112" s="214">
        <v>0.003140376930055163</v>
      </c>
      <c r="S112" s="214">
        <v>0.003405638106295128</v>
      </c>
    </row>
    <row r="113">
      <c r="A113" s="208">
        <v>43434.97342417824</v>
      </c>
      <c r="B113" s="30">
        <v>0.02148381556287543</v>
      </c>
      <c r="C113" s="30">
        <v>0.04000248341561938</v>
      </c>
      <c r="D113" s="30">
        <v>0.04421691719201773</v>
      </c>
      <c r="E113" s="30">
        <v>0.006452583308599906</v>
      </c>
      <c r="F113" s="210">
        <v>4823.818517757929</v>
      </c>
      <c r="G113" s="209">
        <v>9899.464713326073</v>
      </c>
      <c r="H113" s="210">
        <v>19927.523430807654</v>
      </c>
      <c r="I113" s="210">
        <v>6566.102454554804</v>
      </c>
      <c r="J113" s="215">
        <v>3.836</v>
      </c>
      <c r="K113" s="212">
        <v>46.006</v>
      </c>
      <c r="L113" s="212">
        <v>164.74</v>
      </c>
      <c r="M113" s="212">
        <v>7.37</v>
      </c>
      <c r="N113" s="212">
        <v>103.01</v>
      </c>
      <c r="O113" s="213">
        <v>-5.371336864742338E-4</v>
      </c>
      <c r="P113" s="214">
        <v>0.007253981162646787</v>
      </c>
      <c r="Q113" s="214">
        <v>5.56524608568106E-4</v>
      </c>
      <c r="R113" s="214">
        <v>0.0031659781940261977</v>
      </c>
      <c r="S113" s="214">
        <v>0.0010041078473307745</v>
      </c>
    </row>
    <row r="114">
      <c r="A114" s="208">
        <v>43433.97351476851</v>
      </c>
      <c r="B114" s="30">
        <v>-9.781724778423037E-4</v>
      </c>
      <c r="C114" s="30">
        <v>0.04095373330715423</v>
      </c>
      <c r="D114" s="30">
        <v>0.022690909916586864</v>
      </c>
      <c r="E114" s="30">
        <v>0.002556147445337355</v>
      </c>
      <c r="F114" s="210">
        <v>1898.0691673596739</v>
      </c>
      <c r="G114" s="209">
        <v>5075.646195568144</v>
      </c>
      <c r="H114" s="210">
        <v>19927.523430807654</v>
      </c>
      <c r="I114" s="210">
        <v>6566.102454554804</v>
      </c>
      <c r="J114" s="215">
        <v>3.811</v>
      </c>
      <c r="K114" s="212">
        <v>45.683</v>
      </c>
      <c r="L114" s="212">
        <v>163.73</v>
      </c>
      <c r="M114" s="212">
        <v>7.34</v>
      </c>
      <c r="N114" s="212">
        <v>102.91</v>
      </c>
      <c r="O114" s="213">
        <v>-0.001061088504497265</v>
      </c>
      <c r="P114" s="214">
        <v>0.007779609131711607</v>
      </c>
      <c r="Q114" s="214">
        <v>2.965153751361971E-4</v>
      </c>
      <c r="R114" s="214">
        <v>0.0036356101091703508</v>
      </c>
      <c r="S114" s="214">
        <v>-3.256521602766534E-4</v>
      </c>
    </row>
    <row r="115">
      <c r="A115" s="208">
        <v>43432.973458611115</v>
      </c>
      <c r="B115" s="30">
        <v>-0.0020302292072537967</v>
      </c>
      <c r="C115" s="30">
        <v>0.033548251862023044</v>
      </c>
      <c r="D115" s="30">
        <v>0.014218075590793978</v>
      </c>
      <c r="E115" s="30">
        <v>0.0016319694728743124</v>
      </c>
      <c r="F115" s="210">
        <v>1213.29762213293</v>
      </c>
      <c r="G115" s="209">
        <v>3177.5770282084704</v>
      </c>
      <c r="H115" s="210">
        <v>19951.948430807657</v>
      </c>
      <c r="I115" s="210">
        <v>6536.710071042258</v>
      </c>
      <c r="J115" s="215">
        <v>3.839</v>
      </c>
      <c r="K115" s="212">
        <v>45.4</v>
      </c>
      <c r="L115" s="212">
        <v>164.55</v>
      </c>
      <c r="M115" s="212">
        <v>7.36</v>
      </c>
      <c r="N115" s="212">
        <v>102.84</v>
      </c>
      <c r="O115" s="213">
        <v>2.544722101018859E-4</v>
      </c>
      <c r="P115" s="214">
        <v>0.007761339602358697</v>
      </c>
      <c r="Q115" s="214">
        <v>0.0012119670668829425</v>
      </c>
      <c r="R115" s="214">
        <v>-4.749290511918414E-5</v>
      </c>
      <c r="S115" s="214">
        <v>-9.730586276115819E-4</v>
      </c>
    </row>
    <row r="116">
      <c r="A116" s="208">
        <v>43431.97346934028</v>
      </c>
      <c r="B116" s="30">
        <v>-0.007465739006978426</v>
      </c>
      <c r="C116" s="30">
        <v>0.0335779668769584</v>
      </c>
      <c r="D116" s="30">
        <v>0.008796957557940958</v>
      </c>
      <c r="E116" s="30">
        <v>0.0047875110802551215</v>
      </c>
      <c r="F116" s="210">
        <v>3553.495530645945</v>
      </c>
      <c r="G116" s="209">
        <v>1964.2794060755405</v>
      </c>
      <c r="H116" s="210">
        <v>19951.948430807657</v>
      </c>
      <c r="I116" s="210">
        <v>6536.710071042258</v>
      </c>
      <c r="J116" s="215">
        <v>3.842</v>
      </c>
      <c r="K116" s="212">
        <v>45.012</v>
      </c>
      <c r="L116" s="212">
        <v>164.46</v>
      </c>
      <c r="M116" s="212">
        <v>7.3</v>
      </c>
      <c r="N116" s="212">
        <v>102.7</v>
      </c>
      <c r="O116" s="213">
        <v>0.0032956310247951683</v>
      </c>
      <c r="P116" s="214">
        <v>0.008550235922069124</v>
      </c>
      <c r="Q116" s="214">
        <v>0.003388094275849333</v>
      </c>
      <c r="R116" s="214">
        <v>-0.002764884209467041</v>
      </c>
      <c r="S116" s="214">
        <v>-6.511932065018655E-4</v>
      </c>
    </row>
    <row r="117">
      <c r="A117" s="208">
        <v>43430.98210945602</v>
      </c>
      <c r="B117" s="30">
        <v>-0.023400673057898055</v>
      </c>
      <c r="C117" s="30">
        <v>0.03360773457809046</v>
      </c>
      <c r="D117" s="30">
        <v>-0.007123559208789915</v>
      </c>
      <c r="E117" s="30">
        <v>-6.755832735947918E-4</v>
      </c>
      <c r="F117" s="210">
        <v>-499.0461245699553</v>
      </c>
      <c r="G117" s="209">
        <v>-1589.2161245704046</v>
      </c>
      <c r="H117" s="210">
        <v>19951.948430807657</v>
      </c>
      <c r="I117" s="210">
        <v>6536.710071042258</v>
      </c>
      <c r="J117" s="215">
        <v>3.823</v>
      </c>
      <c r="K117" s="212">
        <v>44.625</v>
      </c>
      <c r="L117" s="212">
        <v>163.58</v>
      </c>
      <c r="M117" s="212">
        <v>7.26</v>
      </c>
      <c r="N117" s="212">
        <v>103.01</v>
      </c>
      <c r="O117" s="213">
        <v>0.0023482005092670586</v>
      </c>
      <c r="P117" s="214">
        <v>9.579256420057339E-4</v>
      </c>
      <c r="Q117" s="214">
        <v>0.0019320996641161159</v>
      </c>
      <c r="R117" s="214">
        <v>-0.009573252285702827</v>
      </c>
      <c r="S117" s="214">
        <v>3.8736753239480376E-4</v>
      </c>
    </row>
    <row r="118">
      <c r="A118" s="208">
        <v>43427.97507409722</v>
      </c>
      <c r="B118" s="30">
        <v>-0.021220167472055875</v>
      </c>
      <c r="C118" s="30">
        <v>0.03369735520363203</v>
      </c>
      <c r="D118" s="30">
        <v>-0.004899647986016775</v>
      </c>
      <c r="E118" s="30">
        <v>0.00835091343669615</v>
      </c>
      <c r="F118" s="210">
        <v>6169.489999999874</v>
      </c>
      <c r="G118" s="209">
        <v>-1090.1700000004494</v>
      </c>
      <c r="H118" s="210">
        <v>19990.548139329352</v>
      </c>
      <c r="I118" s="210">
        <v>6522.467361350915</v>
      </c>
      <c r="J118" s="215">
        <v>3.836</v>
      </c>
      <c r="K118" s="212">
        <v>44.351</v>
      </c>
      <c r="L118" s="212">
        <v>163.95</v>
      </c>
      <c r="M118" s="212">
        <v>7.36</v>
      </c>
      <c r="N118" s="212">
        <v>103.14</v>
      </c>
      <c r="O118" s="213">
        <v>0.0019010796177558742</v>
      </c>
      <c r="P118" s="214">
        <v>0.001009137159602158</v>
      </c>
      <c r="Q118" s="214">
        <v>0.0017842204378636002</v>
      </c>
      <c r="R118" s="214">
        <v>-0.002750737248510863</v>
      </c>
      <c r="S118" s="214">
        <v>0.001650362181671916</v>
      </c>
    </row>
    <row r="119">
      <c r="A119" s="208">
        <v>43426.973485243056</v>
      </c>
      <c r="B119" s="30">
        <v>-0.04899180333650157</v>
      </c>
      <c r="C119" s="30">
        <v>0.03372733505701604</v>
      </c>
      <c r="D119" s="30">
        <v>-0.032656763815332536</v>
      </c>
      <c r="E119" s="30">
        <v>-0.004541538476153775</v>
      </c>
      <c r="F119" s="210">
        <v>-3327.1799999996438</v>
      </c>
      <c r="G119" s="209">
        <v>-7259.660000000324</v>
      </c>
      <c r="H119" s="210">
        <v>19990.548139329352</v>
      </c>
      <c r="I119" s="210">
        <v>6522.467361350915</v>
      </c>
      <c r="J119" s="215">
        <v>3.804</v>
      </c>
      <c r="K119" s="212">
        <v>43.867</v>
      </c>
      <c r="L119" s="212">
        <v>162.79</v>
      </c>
      <c r="M119" s="212">
        <v>7.36</v>
      </c>
      <c r="N119" s="212">
        <v>102.9</v>
      </c>
      <c r="O119" s="213">
        <v>0.0023541057062624513</v>
      </c>
      <c r="P119" s="214">
        <v>-0.007981870417179756</v>
      </c>
      <c r="Q119" s="214">
        <v>0.0013881252813921312</v>
      </c>
      <c r="R119" s="214">
        <v>-0.005895391336561251</v>
      </c>
      <c r="S119" s="214">
        <v>0.002596111431321805</v>
      </c>
    </row>
    <row r="120">
      <c r="A120" s="208">
        <v>43425.9745921875</v>
      </c>
      <c r="B120" s="30">
        <v>-0.034055156588442916</v>
      </c>
      <c r="C120" s="30">
        <v>0.03375736830283707</v>
      </c>
      <c r="D120" s="30">
        <v>-0.017705571172775963</v>
      </c>
      <c r="E120" s="30">
        <v>-2.858866279816986E-4</v>
      </c>
      <c r="F120" s="210">
        <v>-212.70000000006985</v>
      </c>
      <c r="G120" s="209">
        <v>-3932.48000000068</v>
      </c>
      <c r="H120" s="210">
        <v>20296.145592402696</v>
      </c>
      <c r="I120" s="210">
        <v>6666.252424923379</v>
      </c>
      <c r="J120" s="215">
        <v>3.796</v>
      </c>
      <c r="K120" s="212">
        <v>44.489</v>
      </c>
      <c r="L120" s="212">
        <v>162.63</v>
      </c>
      <c r="M120" s="212">
        <v>7.47</v>
      </c>
      <c r="N120" s="212">
        <v>102.89</v>
      </c>
      <c r="O120" s="213">
        <v>0.0011235684486845532</v>
      </c>
      <c r="P120" s="214">
        <v>-0.0070548941325536685</v>
      </c>
      <c r="Q120" s="214">
        <v>2.1745587115932588E-4</v>
      </c>
      <c r="R120" s="214">
        <v>8.66644034271317E-4</v>
      </c>
      <c r="S120" s="214">
        <v>0.0018454674397575161</v>
      </c>
    </row>
    <row r="121">
      <c r="A121" s="208">
        <v>43424.97343309028</v>
      </c>
      <c r="B121" s="30">
        <v>-0.03312699621780172</v>
      </c>
      <c r="C121" s="30">
        <v>0.03378745508385565</v>
      </c>
      <c r="D121" s="30">
        <v>-0.01676283897912615</v>
      </c>
      <c r="E121" s="30">
        <v>9.259703177809274E-4</v>
      </c>
      <c r="F121" s="210">
        <v>689.1199999993896</v>
      </c>
      <c r="G121" s="209">
        <v>-3719.78000000061</v>
      </c>
      <c r="H121" s="210">
        <v>20296.145592402696</v>
      </c>
      <c r="I121" s="210">
        <v>6666.252424923379</v>
      </c>
      <c r="J121" s="215">
        <v>3.814</v>
      </c>
      <c r="K121" s="212">
        <v>44.209</v>
      </c>
      <c r="L121" s="212">
        <v>163.07</v>
      </c>
      <c r="M121" s="212">
        <v>7.42</v>
      </c>
      <c r="N121" s="212">
        <v>102.63</v>
      </c>
      <c r="O121" s="213">
        <v>6.077491307647046E-5</v>
      </c>
      <c r="P121" s="214">
        <v>-0.009174802392859283</v>
      </c>
      <c r="Q121" s="214">
        <v>-9.317311172470181E-4</v>
      </c>
      <c r="R121" s="214">
        <v>-0.003154211947448249</v>
      </c>
      <c r="S121" s="214">
        <v>7.099461119431568E-4</v>
      </c>
    </row>
    <row r="122">
      <c r="A122" s="208">
        <v>43423.0</v>
      </c>
      <c r="B122" s="30">
        <v>-0.0363</v>
      </c>
      <c r="C122" s="30">
        <v>0.0338</v>
      </c>
      <c r="D122" s="30">
        <v>-0.0199</v>
      </c>
      <c r="E122" s="30">
        <v>-0.0048</v>
      </c>
      <c r="F122" s="210">
        <v>-3537.7499999993943</v>
      </c>
      <c r="G122" s="209">
        <v>-4408.9</v>
      </c>
      <c r="H122" s="210">
        <v>20296.145592402696</v>
      </c>
      <c r="I122" s="210">
        <v>6666.252424923379</v>
      </c>
      <c r="J122" s="215">
        <v>3.777</v>
      </c>
      <c r="K122" s="212">
        <v>44.919</v>
      </c>
      <c r="L122" s="212">
        <v>162.11</v>
      </c>
      <c r="M122" s="212">
        <v>7.49</v>
      </c>
      <c r="N122" s="212">
        <v>102.1</v>
      </c>
      <c r="O122" s="213">
        <v>-0.0022113029695001174</v>
      </c>
      <c r="P122" s="214">
        <v>-0.004943950344656593</v>
      </c>
      <c r="Q122" s="214">
        <v>-0.006685663702595305</v>
      </c>
      <c r="R122" s="214">
        <v>-0.002234747000474916</v>
      </c>
      <c r="S122" s="214">
        <v>0.0016250133906687836</v>
      </c>
    </row>
    <row r="123">
      <c r="A123" s="208">
        <v>43420.0</v>
      </c>
      <c r="B123" s="30">
        <v>-0.0203261899733562</v>
      </c>
      <c r="C123" s="30">
        <v>0.03384778982507682</v>
      </c>
      <c r="D123" s="30">
        <v>-0.003932765880794137</v>
      </c>
      <c r="E123" s="30">
        <v>-0.003385272044686605</v>
      </c>
      <c r="F123" s="210">
        <v>-2529.0100000000093</v>
      </c>
      <c r="G123" s="209">
        <v>-871.1500000006054</v>
      </c>
      <c r="H123" s="210">
        <v>20296.145592402696</v>
      </c>
      <c r="I123" s="210">
        <v>6666.252424923379</v>
      </c>
      <c r="J123" s="215">
        <v>3.783</v>
      </c>
      <c r="K123" s="212">
        <v>45.431</v>
      </c>
      <c r="L123" s="212">
        <v>162.52</v>
      </c>
      <c r="M123" s="212">
        <v>7.45</v>
      </c>
      <c r="N123" s="212">
        <v>102.32</v>
      </c>
      <c r="O123" s="213">
        <v>-0.0013310895678889285</v>
      </c>
      <c r="P123" s="214">
        <v>-0.006116696515969207</v>
      </c>
      <c r="Q123" s="214">
        <v>-0.0057418367378612905</v>
      </c>
      <c r="R123" s="214">
        <v>4.0596817649548217E-4</v>
      </c>
      <c r="S123" s="214">
        <v>0.0012605863069337826</v>
      </c>
    </row>
    <row r="124">
      <c r="A124" s="208">
        <v>43419.0</v>
      </c>
      <c r="B124" s="30">
        <v>-0.008933020490282089</v>
      </c>
      <c r="C124" s="30">
        <v>0.033938697049316055</v>
      </c>
      <c r="D124" s="30">
        <v>0.007504432494202702</v>
      </c>
      <c r="E124" s="30">
        <v>-0.0026900896371648605</v>
      </c>
      <c r="F124" s="210">
        <v>-1987.2777264205638</v>
      </c>
      <c r="G124" s="209">
        <v>1657.859999999404</v>
      </c>
      <c r="H124" s="210">
        <v>20183.225592402698</v>
      </c>
      <c r="I124" s="210">
        <v>6731.588231374992</v>
      </c>
      <c r="J124" s="215">
        <v>3.813</v>
      </c>
      <c r="K124" s="212">
        <v>45.434</v>
      </c>
      <c r="L124" s="212">
        <v>163.52</v>
      </c>
      <c r="M124" s="212">
        <v>7.49</v>
      </c>
      <c r="N124" s="212">
        <v>102.41</v>
      </c>
      <c r="O124" s="213">
        <v>-0.0019350080151650333</v>
      </c>
      <c r="P124" s="214">
        <v>-0.005806502752264464</v>
      </c>
      <c r="Q124" s="214">
        <v>-0.004960994019923041</v>
      </c>
      <c r="R124" s="214">
        <v>-0.0022846093895962927</v>
      </c>
      <c r="S124" s="214">
        <v>2.456968683040017E-4</v>
      </c>
    </row>
    <row r="125">
      <c r="A125" s="208">
        <v>43418.0</v>
      </c>
      <c r="B125" s="30">
        <v>1.0E-4</v>
      </c>
      <c r="C125" s="30">
        <v>0.034</v>
      </c>
      <c r="D125" s="30">
        <v>0.0165</v>
      </c>
      <c r="E125" s="30">
        <v>-0.0021</v>
      </c>
      <c r="F125" s="210">
        <v>-1613.0170538490815</v>
      </c>
      <c r="G125" s="209">
        <v>3645.1377264199677</v>
      </c>
      <c r="H125" s="210">
        <v>20183.225592402698</v>
      </c>
      <c r="I125" s="210">
        <v>6731.588231374992</v>
      </c>
      <c r="J125" s="215">
        <v>3.802</v>
      </c>
      <c r="K125" s="212">
        <v>45.587</v>
      </c>
      <c r="L125" s="212">
        <v>165.38</v>
      </c>
      <c r="M125" s="212">
        <v>7.54</v>
      </c>
      <c r="N125" s="212">
        <v>101.6</v>
      </c>
      <c r="O125" s="213">
        <v>0.002926924441481312</v>
      </c>
      <c r="P125" s="214">
        <v>-0.007553891038755256</v>
      </c>
      <c r="Q125" s="214">
        <v>0.002466005263300023</v>
      </c>
      <c r="R125" s="214">
        <v>0.003919359592329548</v>
      </c>
      <c r="S125" s="214">
        <v>-0.001348385184180012</v>
      </c>
    </row>
    <row r="126">
      <c r="A126" s="208">
        <v>43417.0</v>
      </c>
      <c r="B126" s="30">
        <v>0.007334510198563619</v>
      </c>
      <c r="C126" s="30">
        <v>0.0339995736359516</v>
      </c>
      <c r="D126" s="30">
        <v>0.023801447403648385</v>
      </c>
      <c r="E126" s="30">
        <v>-0.00832393379841178</v>
      </c>
      <c r="F126" s="210">
        <v>-6269.1146087696925</v>
      </c>
      <c r="G126" s="209">
        <v>5258.154780269049</v>
      </c>
      <c r="H126" s="210">
        <v>20183.225592402698</v>
      </c>
      <c r="I126" s="210">
        <v>6731.588231374992</v>
      </c>
      <c r="J126" s="215">
        <v>3.798</v>
      </c>
      <c r="K126" s="212">
        <v>46.267</v>
      </c>
      <c r="L126" s="212">
        <v>165.33</v>
      </c>
      <c r="M126" s="212">
        <v>7.44</v>
      </c>
      <c r="N126" s="212">
        <v>101.93</v>
      </c>
      <c r="O126" s="213">
        <v>0.006734052064183649</v>
      </c>
      <c r="P126" s="214">
        <v>-0.0036183531550402583</v>
      </c>
      <c r="Q126" s="214">
        <v>0.005756434486252478</v>
      </c>
      <c r="R126" s="214">
        <v>-5.4079604437632746E-5</v>
      </c>
      <c r="S126" s="214">
        <v>-0.0018668582328569272</v>
      </c>
    </row>
    <row r="127">
      <c r="A127" s="208">
        <v>43416.0</v>
      </c>
      <c r="B127" s="30">
        <v>0.03568255587073833</v>
      </c>
      <c r="C127" s="30">
        <v>0.03406066900636661</v>
      </c>
      <c r="D127" s="30">
        <v>0.052179083259480036</v>
      </c>
      <c r="E127" s="30">
        <v>0.008225273929328049</v>
      </c>
      <c r="F127" s="210">
        <v>6222.646452101801</v>
      </c>
      <c r="G127" s="209">
        <v>11527.269389038742</v>
      </c>
      <c r="H127" s="210">
        <v>20183.225592402698</v>
      </c>
      <c r="I127" s="210">
        <v>6731.588231374992</v>
      </c>
      <c r="J127" s="215">
        <v>3.835</v>
      </c>
      <c r="K127" s="212">
        <v>46.227</v>
      </c>
      <c r="L127" s="212">
        <v>165.96</v>
      </c>
      <c r="M127" s="212">
        <v>7.54</v>
      </c>
      <c r="N127" s="212">
        <v>102.33</v>
      </c>
      <c r="O127" s="213">
        <v>0.009264721987301513</v>
      </c>
      <c r="P127" s="214">
        <v>7.037275769613179E-5</v>
      </c>
      <c r="Q127" s="214">
        <v>0.007498474331185445</v>
      </c>
      <c r="R127" s="214">
        <v>0.005770293155418993</v>
      </c>
      <c r="S127" s="214">
        <v>1.5667617103409803E-4</v>
      </c>
    </row>
    <row r="128">
      <c r="A128" s="208">
        <v>43413.0</v>
      </c>
      <c r="B128" s="30">
        <v>0.007470676538369711</v>
      </c>
      <c r="C128" s="30">
        <v>0.034152724868545974</v>
      </c>
      <c r="D128" s="30">
        <v>0.02401178913627017</v>
      </c>
      <c r="E128" s="30">
        <v>0.0037437825130053047</v>
      </c>
      <c r="F128" s="210">
        <v>2820.803721427445</v>
      </c>
      <c r="G128" s="209">
        <v>5304.622936936941</v>
      </c>
      <c r="H128" s="210">
        <v>20183.225592402698</v>
      </c>
      <c r="I128" s="210">
        <v>6731.588231374992</v>
      </c>
      <c r="J128" s="215">
        <v>3.768</v>
      </c>
      <c r="K128" s="212">
        <v>46.625</v>
      </c>
      <c r="L128" s="212">
        <v>164.15</v>
      </c>
      <c r="M128" s="212">
        <v>7.45</v>
      </c>
      <c r="N128" s="212">
        <v>102.01</v>
      </c>
      <c r="O128" s="213">
        <v>0.003977503830726777</v>
      </c>
      <c r="P128" s="214">
        <v>0.007051754611581955</v>
      </c>
      <c r="Q128" s="214">
        <v>0.002527672399098161</v>
      </c>
      <c r="R128" s="214">
        <v>-4.5769946095830516E-4</v>
      </c>
      <c r="S128" s="214">
        <v>-0.002384855712408059</v>
      </c>
    </row>
    <row r="129">
      <c r="A129" s="208">
        <v>43412.0</v>
      </c>
      <c r="B129" s="30">
        <v>-0.0053128266845997515</v>
      </c>
      <c r="C129" s="30">
        <v>0.03418352083326063</v>
      </c>
      <c r="D129" s="30">
        <v>0.011243201253785742</v>
      </c>
      <c r="E129" s="30">
        <v>0.004603892416718586</v>
      </c>
      <c r="F129" s="210">
        <v>3462.635831032896</v>
      </c>
      <c r="G129" s="209">
        <v>2483.819215509496</v>
      </c>
      <c r="H129" s="210">
        <v>20183.225592402698</v>
      </c>
      <c r="I129" s="210">
        <v>6731.588231374992</v>
      </c>
      <c r="J129" s="215">
        <v>3.721</v>
      </c>
      <c r="K129" s="212">
        <v>46.77</v>
      </c>
      <c r="L129" s="212">
        <v>162.48</v>
      </c>
      <c r="M129" s="212">
        <v>7.44</v>
      </c>
      <c r="N129" s="212">
        <v>102.5</v>
      </c>
      <c r="O129" s="213">
        <v>-8.07051122045673E-4</v>
      </c>
      <c r="P129" s="214">
        <v>0.00973161781551446</v>
      </c>
      <c r="Q129" s="214">
        <v>-0.0015592581777192545</v>
      </c>
      <c r="R129" s="214">
        <v>-0.00403291942605181</v>
      </c>
      <c r="S129" s="214">
        <v>-0.0021463685312754035</v>
      </c>
    </row>
    <row r="130">
      <c r="A130" s="208">
        <v>43411.0</v>
      </c>
      <c r="B130" s="30">
        <v>-0.021001659895449852</v>
      </c>
      <c r="C130" s="30">
        <v>0.03421437238635924</v>
      </c>
      <c r="D130" s="30">
        <v>-0.004430689693582062</v>
      </c>
      <c r="E130" s="30">
        <v>0.004335322921611737</v>
      </c>
      <c r="F130" s="210">
        <v>3251.535832534395</v>
      </c>
      <c r="G130" s="209">
        <v>-978.8166155234001</v>
      </c>
      <c r="H130" s="210">
        <v>20183.225592402698</v>
      </c>
      <c r="I130" s="210">
        <v>6731.588231374992</v>
      </c>
      <c r="J130" s="215">
        <v>3.729</v>
      </c>
      <c r="K130" s="212">
        <v>46.212</v>
      </c>
      <c r="L130" s="212">
        <v>162.25</v>
      </c>
      <c r="M130" s="212">
        <v>7.41</v>
      </c>
      <c r="N130" s="212">
        <v>102.28</v>
      </c>
      <c r="O130" s="213">
        <v>-1.797633975421098E-4</v>
      </c>
      <c r="P130" s="214">
        <v>0.006987728014238341</v>
      </c>
      <c r="Q130" s="214">
        <v>-0.0023986680950534023</v>
      </c>
      <c r="R130" s="214">
        <v>-0.004048984199217213</v>
      </c>
      <c r="S130" s="214">
        <v>-0.003895808189301316</v>
      </c>
    </row>
    <row r="131">
      <c r="A131" s="208">
        <v>43410.0</v>
      </c>
      <c r="B131" s="30">
        <v>-0.03573495950711923</v>
      </c>
      <c r="C131" s="30">
        <v>0.03424527967848784</v>
      </c>
      <c r="D131" s="30">
        <v>-0.019149020045809827</v>
      </c>
      <c r="E131" s="30">
        <v>-4.061633908352187E-4</v>
      </c>
      <c r="F131" s="210">
        <v>-299.66378621332933</v>
      </c>
      <c r="G131" s="209">
        <v>-4230.352448057795</v>
      </c>
      <c r="H131" s="210">
        <v>20183.225592402698</v>
      </c>
      <c r="I131" s="210">
        <v>6731.588231374992</v>
      </c>
      <c r="J131" s="215">
        <v>3.723</v>
      </c>
      <c r="K131" s="212">
        <v>45.642</v>
      </c>
      <c r="L131" s="212">
        <v>162.9</v>
      </c>
      <c r="M131" s="212">
        <v>7.46</v>
      </c>
      <c r="N131" s="212">
        <v>102.74</v>
      </c>
      <c r="O131" s="213">
        <v>-0.0032176636942380377</v>
      </c>
      <c r="P131" s="214">
        <v>8.798809429560647E-4</v>
      </c>
      <c r="Q131" s="214">
        <v>-0.002246326049824369</v>
      </c>
      <c r="R131" s="214">
        <v>-9.108825347997987E-4</v>
      </c>
      <c r="S131" s="214">
        <v>-0.0021711691300620264</v>
      </c>
    </row>
    <row r="132">
      <c r="A132" s="208">
        <v>43409.0</v>
      </c>
      <c r="B132" s="30">
        <v>-0.034393504353355586</v>
      </c>
      <c r="C132" s="30">
        <v>0.03427624286083729</v>
      </c>
      <c r="D132" s="30">
        <v>-0.01779256856341932</v>
      </c>
      <c r="E132" s="30">
        <v>0.0010442599754107444</v>
      </c>
      <c r="F132" s="210">
        <v>793.431437883346</v>
      </c>
      <c r="G132" s="209">
        <v>-3930.688661844466</v>
      </c>
      <c r="H132" s="210">
        <v>20183.225592402698</v>
      </c>
      <c r="I132" s="210">
        <v>6731.588231374992</v>
      </c>
      <c r="J132" s="215">
        <v>3.73</v>
      </c>
      <c r="K132" s="212">
        <v>45.417</v>
      </c>
      <c r="L132" s="212">
        <v>163.24</v>
      </c>
      <c r="M132" s="212">
        <v>7.53</v>
      </c>
      <c r="N132" s="212">
        <v>103.16</v>
      </c>
      <c r="O132" s="213">
        <v>-0.004985182772990167</v>
      </c>
      <c r="P132" s="214">
        <v>-0.0012759376002119775</v>
      </c>
      <c r="Q132" s="214">
        <v>-0.003583123027370553</v>
      </c>
      <c r="R132" s="214">
        <v>4.34378942933004E-4</v>
      </c>
      <c r="S132" s="214">
        <v>0.0015768209182767112</v>
      </c>
    </row>
    <row r="133">
      <c r="A133" s="208">
        <v>43406.0</v>
      </c>
      <c r="B133" s="30">
        <v>-0.04057432361885199</v>
      </c>
      <c r="C133" s="30">
        <v>0.034369469269343644</v>
      </c>
      <c r="D133" s="30">
        <v>-0.021384097802544393</v>
      </c>
      <c r="E133" s="30">
        <v>-0.005502402028140756</v>
      </c>
      <c r="F133" s="210">
        <v>-4119.571724047297</v>
      </c>
      <c r="G133" s="209">
        <v>-4724.120099727812</v>
      </c>
      <c r="H133" s="210">
        <v>20183.225592402698</v>
      </c>
      <c r="I133" s="210">
        <v>6731.588231374992</v>
      </c>
      <c r="J133" s="215">
        <v>3.731</v>
      </c>
      <c r="K133" s="212">
        <v>45.249</v>
      </c>
      <c r="L133" s="212">
        <v>163.42</v>
      </c>
      <c r="M133" s="212">
        <v>7.5</v>
      </c>
      <c r="N133" s="212">
        <v>103.48</v>
      </c>
      <c r="O133" s="213">
        <v>-0.004719729928754764</v>
      </c>
      <c r="P133" s="214">
        <v>0.006294144021579203</v>
      </c>
      <c r="Q133" s="214">
        <v>-0.002791323631797571</v>
      </c>
      <c r="R133" s="214">
        <v>-4.5037989405945683E-4</v>
      </c>
      <c r="S133" s="214">
        <v>0.0017666849844426569</v>
      </c>
    </row>
    <row r="134">
      <c r="A134" s="208">
        <v>43405.0</v>
      </c>
      <c r="B134" s="30">
        <v>-0.021944175151915418</v>
      </c>
      <c r="C134" s="30">
        <v>0.034400657535468275</v>
      </c>
      <c r="D134" s="30">
        <v>-0.0027365353375893913</v>
      </c>
      <c r="E134" s="30">
        <v>-0.004145113376101208</v>
      </c>
      <c r="F134" s="210">
        <v>-3146.625361613621</v>
      </c>
      <c r="G134" s="209">
        <v>-604.5483756805147</v>
      </c>
      <c r="H134" s="210">
        <v>19387.470899264576</v>
      </c>
      <c r="I134" s="210">
        <v>6675.401205267746</v>
      </c>
      <c r="J134" s="215">
        <v>3.759</v>
      </c>
      <c r="K134" s="212">
        <v>45.52</v>
      </c>
      <c r="L134" s="212">
        <v>164.0</v>
      </c>
      <c r="M134" s="212">
        <v>7.48</v>
      </c>
      <c r="N134" s="212">
        <v>103.41</v>
      </c>
      <c r="O134" s="213">
        <v>-0.002834797882166488</v>
      </c>
      <c r="P134" s="214">
        <v>0.006946237186758057</v>
      </c>
      <c r="Q134" s="214">
        <v>-0.001001444962068924</v>
      </c>
      <c r="R134" s="214">
        <v>-0.004002384628487639</v>
      </c>
      <c r="S134" s="214">
        <v>5.372800573742639E-4</v>
      </c>
    </row>
    <row r="135">
      <c r="A135" s="208">
        <v>43404.0</v>
      </c>
      <c r="B135" s="30">
        <v>-0.008958552963432575</v>
      </c>
      <c r="C135" s="30">
        <v>0.036653403305982914</v>
      </c>
      <c r="D135" s="30">
        <v>0.011506909591888414</v>
      </c>
      <c r="E135" s="30">
        <v>0.00736599351239275</v>
      </c>
      <c r="F135" s="210">
        <v>5730.798936119121</v>
      </c>
      <c r="G135" s="209">
        <v>2542.0769859331062</v>
      </c>
      <c r="H135" s="210">
        <v>19387.470899264576</v>
      </c>
      <c r="I135" s="210">
        <v>6675.401205267746</v>
      </c>
      <c r="J135" s="215">
        <v>3.786</v>
      </c>
      <c r="K135" s="212">
        <v>45.59</v>
      </c>
      <c r="L135" s="212">
        <v>165.0</v>
      </c>
      <c r="M135" s="212">
        <v>7.52</v>
      </c>
      <c r="N135" s="212">
        <v>102.67</v>
      </c>
      <c r="O135" s="213">
        <v>-0.001583602211373621</v>
      </c>
      <c r="P135" s="214">
        <v>0.00858826878676359</v>
      </c>
      <c r="Q135" s="214">
        <v>6.257822348793388E-4</v>
      </c>
      <c r="R135" s="214">
        <v>-0.003981192051540979</v>
      </c>
      <c r="S135" s="214">
        <v>-0.00465703572211081</v>
      </c>
    </row>
    <row r="136">
      <c r="A136" s="208">
        <v>43403.0</v>
      </c>
      <c r="B136" s="30">
        <v>-0.03491806593970047</v>
      </c>
      <c r="C136" s="30">
        <v>0.036686724581715624</v>
      </c>
      <c r="D136" s="30">
        <v>-0.014433998418420097</v>
      </c>
      <c r="E136" s="30">
        <v>-0.0019113518232795768</v>
      </c>
      <c r="F136" s="210">
        <v>-1475.1449621581214</v>
      </c>
      <c r="G136" s="209">
        <v>-3188.7219501860145</v>
      </c>
      <c r="H136" s="210">
        <v>19387.470899264576</v>
      </c>
      <c r="I136" s="210">
        <v>6675.401205267746</v>
      </c>
      <c r="J136" s="215">
        <v>3.784</v>
      </c>
      <c r="K136" s="212">
        <v>44.386</v>
      </c>
      <c r="L136" s="212">
        <v>164.79</v>
      </c>
      <c r="M136" s="212">
        <v>7.51</v>
      </c>
      <c r="N136" s="212">
        <v>102.93</v>
      </c>
      <c r="O136" s="213">
        <v>-3.5765660291967966E-4</v>
      </c>
      <c r="P136" s="214">
        <v>-0.005370863190125548</v>
      </c>
      <c r="Q136" s="214">
        <v>0.0013349824402237864</v>
      </c>
      <c r="R136" s="214">
        <v>-0.00398643431396158</v>
      </c>
      <c r="S136" s="214">
        <v>-0.0015076532265147307</v>
      </c>
    </row>
    <row r="137">
      <c r="A137" s="208">
        <v>43402.0</v>
      </c>
      <c r="B137" s="30">
        <v>-0.028259346128010274</v>
      </c>
      <c r="C137" s="30">
        <v>0.03672010649671264</v>
      </c>
      <c r="D137" s="30">
        <v>-0.007756639782779692</v>
      </c>
      <c r="E137" s="30">
        <v>-3.5696597542224904E-4</v>
      </c>
      <c r="F137" s="210">
        <v>-269.92335786967965</v>
      </c>
      <c r="G137" s="209">
        <v>-1713.576988027893</v>
      </c>
      <c r="H137" s="210">
        <v>19387.470899264576</v>
      </c>
      <c r="I137" s="210">
        <v>6675.401205267746</v>
      </c>
      <c r="J137" s="215">
        <v>3.791</v>
      </c>
      <c r="K137" s="212">
        <v>44.565</v>
      </c>
      <c r="L137" s="212">
        <v>164.49</v>
      </c>
      <c r="M137" s="212">
        <v>7.57</v>
      </c>
      <c r="N137" s="212">
        <v>103.24</v>
      </c>
      <c r="O137" s="213">
        <v>6.109635640256794E-4</v>
      </c>
      <c r="P137" s="214">
        <v>-0.004033986297208747</v>
      </c>
      <c r="Q137" s="214">
        <v>0.0010734042790487102</v>
      </c>
      <c r="R137" s="214">
        <v>-0.0017619149596504273</v>
      </c>
      <c r="S137" s="214">
        <v>3.989960547134223E-4</v>
      </c>
    </row>
    <row r="138">
      <c r="A138" s="208">
        <v>43399.0</v>
      </c>
      <c r="B138" s="30">
        <v>-0.027110875009051703</v>
      </c>
      <c r="C138" s="30">
        <v>0.03682061773712334</v>
      </c>
      <c r="D138" s="30">
        <v>-0.006534810667087017</v>
      </c>
      <c r="E138" s="30">
        <v>-0.0026552712930717997</v>
      </c>
      <c r="F138" s="210">
        <v>-2064.140472003639</v>
      </c>
      <c r="G138" s="209">
        <v>-1443.6536301582134</v>
      </c>
      <c r="H138" s="210">
        <v>19387.470899264576</v>
      </c>
      <c r="I138" s="210">
        <v>6675.401205267746</v>
      </c>
      <c r="J138" s="215">
        <v>3.804</v>
      </c>
      <c r="K138" s="212">
        <v>44.414</v>
      </c>
      <c r="L138" s="212">
        <v>164.69</v>
      </c>
      <c r="M138" s="212">
        <v>7.61</v>
      </c>
      <c r="N138" s="212">
        <v>104.11</v>
      </c>
      <c r="O138" s="213">
        <v>0.004044366997735842</v>
      </c>
      <c r="P138" s="214">
        <v>-0.0029314448138040294</v>
      </c>
      <c r="Q138" s="214">
        <v>0.004202939092267506</v>
      </c>
      <c r="R138" s="214">
        <v>0.001313484104479327</v>
      </c>
      <c r="S138" s="214">
        <v>0.004436446332352147</v>
      </c>
    </row>
    <row r="139">
      <c r="A139" s="208">
        <v>43398.0</v>
      </c>
      <c r="B139" s="30">
        <v>-0.017786173221465865</v>
      </c>
      <c r="C139" s="30">
        <v>0.0368542438720431</v>
      </c>
      <c r="D139" s="30">
        <v>0.0028086820468385134</v>
      </c>
      <c r="E139" s="30">
        <v>8.338563139547352E-4</v>
      </c>
      <c r="F139" s="210">
        <v>-2944.88926021708</v>
      </c>
      <c r="G139" s="209">
        <v>620.4868418454255</v>
      </c>
      <c r="H139" s="210">
        <v>19387.470899264576</v>
      </c>
      <c r="I139" s="210">
        <v>6675.401205267746</v>
      </c>
      <c r="J139" s="215">
        <v>3.788</v>
      </c>
      <c r="K139" s="212">
        <v>45.101</v>
      </c>
      <c r="L139" s="212">
        <v>164.13</v>
      </c>
      <c r="M139" s="212">
        <v>7.6</v>
      </c>
      <c r="N139" s="212">
        <v>103.39</v>
      </c>
      <c r="O139" s="213">
        <v>0.0049485252864347835</v>
      </c>
      <c r="P139" s="214">
        <v>-0.004516484360536459</v>
      </c>
      <c r="Q139" s="214">
        <v>0.004299357488384725</v>
      </c>
      <c r="R139" s="214">
        <v>-8.835509960746964E-4</v>
      </c>
      <c r="S139" s="214">
        <v>0.005181258791552623</v>
      </c>
    </row>
    <row r="140">
      <c r="A140" s="208">
        <v>43397.0</v>
      </c>
      <c r="B140" s="30">
        <v>-0.020748978689523936</v>
      </c>
      <c r="C140" s="30">
        <v>0.03688793148070127</v>
      </c>
      <c r="D140" s="30">
        <v>0.016138952791177334</v>
      </c>
      <c r="E140" s="30">
        <v>0.005890907435982952</v>
      </c>
      <c r="F140" s="210">
        <v>4595.8721404225325</v>
      </c>
      <c r="G140" s="209">
        <v>3565.376102062505</v>
      </c>
      <c r="H140" s="210">
        <v>19387.470899264576</v>
      </c>
      <c r="I140" s="210">
        <v>6675.401205267746</v>
      </c>
      <c r="J140" s="215">
        <v>3.784</v>
      </c>
      <c r="K140" s="212">
        <v>45.102</v>
      </c>
      <c r="L140" s="212">
        <v>163.96</v>
      </c>
      <c r="M140" s="212">
        <v>7.61</v>
      </c>
      <c r="N140" s="212">
        <v>103.11</v>
      </c>
      <c r="O140" s="213">
        <v>0.004596536550074341</v>
      </c>
      <c r="P140" s="214">
        <v>-0.0063833915912668475</v>
      </c>
      <c r="Q140" s="214">
        <v>0.004653604829747822</v>
      </c>
      <c r="R140" s="214">
        <v>-8.82399824181627E-4</v>
      </c>
      <c r="S140" s="214">
        <v>0.003230618937115848</v>
      </c>
    </row>
    <row r="141">
      <c r="A141" s="208">
        <v>43396.0</v>
      </c>
      <c r="B141" s="30">
        <v>-0.041586301360480415</v>
      </c>
      <c r="C141" s="30">
        <v>0.03692168073182726</v>
      </c>
      <c r="D141" s="30">
        <v>-0.004664620628653159</v>
      </c>
      <c r="E141" s="30">
        <v>-0.0017812068445724998</v>
      </c>
      <c r="F141" s="210">
        <v>-1382.7518005134789</v>
      </c>
      <c r="G141" s="209">
        <v>-1030.4960383600276</v>
      </c>
      <c r="H141" s="210">
        <v>19387.470899264576</v>
      </c>
      <c r="I141" s="210">
        <v>6675.401205267746</v>
      </c>
      <c r="J141" s="215">
        <v>3.758</v>
      </c>
      <c r="K141" s="212">
        <v>44.8</v>
      </c>
      <c r="L141" s="212">
        <v>162.62</v>
      </c>
      <c r="M141" s="212">
        <v>7.58</v>
      </c>
      <c r="N141" s="212">
        <v>102.73</v>
      </c>
      <c r="O141" s="213">
        <v>0.0015023327155729478</v>
      </c>
      <c r="P141" s="214">
        <v>-0.008122219190876226</v>
      </c>
      <c r="Q141" s="214">
        <v>0.0023210834152772217</v>
      </c>
      <c r="R141" s="214">
        <v>-0.0013227162779521073</v>
      </c>
      <c r="S141" s="214">
        <v>0.002491825428614517</v>
      </c>
    </row>
    <row r="142">
      <c r="A142" s="208">
        <v>43395.0</v>
      </c>
      <c r="B142" s="30">
        <v>-0.0353609786345647</v>
      </c>
      <c r="C142" s="30">
        <v>0.03695549179476849</v>
      </c>
      <c r="D142" s="30">
        <v>0.0015945131602037865</v>
      </c>
      <c r="E142" s="30">
        <v>-7.920103926519372E-4</v>
      </c>
      <c r="F142" s="210">
        <v>-619.0233774435162</v>
      </c>
      <c r="G142" s="209">
        <v>352.2557621534514</v>
      </c>
      <c r="H142" s="210">
        <v>19387.470899264576</v>
      </c>
      <c r="I142" s="210">
        <v>6675.401205267746</v>
      </c>
      <c r="J142" s="215">
        <v>3.732</v>
      </c>
      <c r="K142" s="212">
        <v>45.706</v>
      </c>
      <c r="L142" s="212">
        <v>162.02</v>
      </c>
      <c r="M142" s="212">
        <v>7.62</v>
      </c>
      <c r="N142" s="212">
        <v>101.79</v>
      </c>
      <c r="O142" s="213">
        <v>-7.147557854464045E-4</v>
      </c>
      <c r="P142" s="214">
        <v>-0.00199849896250807</v>
      </c>
      <c r="Q142" s="214">
        <v>0.0015246857619182208</v>
      </c>
      <c r="R142" s="214">
        <v>-0.0013157819220324478</v>
      </c>
      <c r="S142" s="214">
        <v>2.917654497183175E-4</v>
      </c>
    </row>
    <row r="143">
      <c r="A143" s="208">
        <v>43392.0</v>
      </c>
      <c r="B143" s="30">
        <v>-0.03266072683591557</v>
      </c>
      <c r="C143" s="30">
        <v>0.03705729755728851</v>
      </c>
      <c r="D143" s="30">
        <v>0.004396570721372943</v>
      </c>
      <c r="E143" s="30">
        <v>-0.0023235370972204735</v>
      </c>
      <c r="F143" s="210">
        <v>-1817.182189463174</v>
      </c>
      <c r="G143" s="209">
        <v>971.2791395969676</v>
      </c>
      <c r="H143" s="210">
        <v>19387.470899264576</v>
      </c>
      <c r="I143" s="210">
        <v>6675.401205267746</v>
      </c>
      <c r="J143" s="215">
        <v>3.732</v>
      </c>
      <c r="K143" s="212">
        <v>45.963</v>
      </c>
      <c r="L143" s="212">
        <v>161.68</v>
      </c>
      <c r="M143" s="212">
        <v>7.63</v>
      </c>
      <c r="N143" s="212">
        <v>102.11</v>
      </c>
      <c r="O143" s="213">
        <v>0.0013351550879939407</v>
      </c>
      <c r="P143" s="214">
        <v>0.0016736822249428702</v>
      </c>
      <c r="Q143" s="214">
        <v>0.002457954806859397</v>
      </c>
      <c r="R143" s="214">
        <v>-8.783366026973901E-4</v>
      </c>
      <c r="S143" s="214">
        <v>0.00242128712964181</v>
      </c>
    </row>
    <row r="144">
      <c r="A144" s="208">
        <v>43391.0</v>
      </c>
      <c r="B144" s="30">
        <v>-0.024469170050574515</v>
      </c>
      <c r="C144" s="30">
        <v>0.03709135757342572</v>
      </c>
      <c r="D144" s="30">
        <v>0.012622187522851207</v>
      </c>
      <c r="E144" s="30">
        <v>-6.574393612228628E-4</v>
      </c>
      <c r="F144" s="210">
        <v>-518.1523293737537</v>
      </c>
      <c r="G144" s="209">
        <v>2788.4613290601415</v>
      </c>
      <c r="H144" s="210">
        <v>19387.470899264576</v>
      </c>
      <c r="I144" s="210">
        <v>6675.401205267746</v>
      </c>
      <c r="J144" s="215">
        <v>3.741</v>
      </c>
      <c r="K144" s="212">
        <v>45.895</v>
      </c>
      <c r="L144" s="212">
        <v>161.49</v>
      </c>
      <c r="M144" s="212">
        <v>7.61</v>
      </c>
      <c r="N144" s="212">
        <v>101.96</v>
      </c>
      <c r="O144" s="213">
        <v>0.0022286916646739874</v>
      </c>
      <c r="P144" s="214">
        <v>0.003943003146465858</v>
      </c>
      <c r="Q144" s="214">
        <v>0.0019623859061296636</v>
      </c>
      <c r="R144" s="214">
        <v>-0.0013163507482128651</v>
      </c>
      <c r="S144" s="214">
        <v>0.0022933303474619304</v>
      </c>
    </row>
    <row r="145">
      <c r="A145" s="208">
        <v>43390.0</v>
      </c>
      <c r="B145" s="30">
        <v>-0.022157835833870695</v>
      </c>
      <c r="C145" s="30">
        <v>0.03712548025748591</v>
      </c>
      <c r="D145" s="30">
        <v>0.014967644423615215</v>
      </c>
      <c r="E145" s="30">
        <v>0.0062148691761467105</v>
      </c>
      <c r="F145" s="210">
        <v>4878.536625793962</v>
      </c>
      <c r="G145" s="209">
        <v>3306.613658433895</v>
      </c>
      <c r="H145" s="210">
        <v>19387.470899264576</v>
      </c>
      <c r="I145" s="210">
        <v>6675.401205267746</v>
      </c>
      <c r="J145" s="215">
        <v>3.74</v>
      </c>
      <c r="K145" s="212">
        <v>45.98</v>
      </c>
      <c r="L145" s="212">
        <v>161.28</v>
      </c>
      <c r="M145" s="212">
        <v>7.65</v>
      </c>
      <c r="N145" s="212">
        <v>101.7</v>
      </c>
      <c r="O145" s="213">
        <v>7.940560982190314E-4</v>
      </c>
      <c r="P145" s="214">
        <v>0.00469264989492398</v>
      </c>
      <c r="Q145" s="214">
        <v>8.644982989105543E-4</v>
      </c>
      <c r="R145" s="214">
        <v>0.0017446303710547302</v>
      </c>
      <c r="S145" s="214">
        <v>0.0029575775452066835</v>
      </c>
    </row>
    <row r="146">
      <c r="A146" s="208">
        <v>43389.0</v>
      </c>
      <c r="B146" s="30">
        <v>-0.044275097601100724</v>
      </c>
      <c r="C146" s="30">
        <v>0.03715966578258489</v>
      </c>
      <c r="D146" s="30">
        <v>-0.007115431818515837</v>
      </c>
      <c r="E146" s="30">
        <v>0.003258618822195278</v>
      </c>
      <c r="F146" s="210">
        <v>2547.4337884285533</v>
      </c>
      <c r="G146" s="209">
        <v>-1571.9229673600676</v>
      </c>
      <c r="H146" s="210">
        <v>19387.470899264576</v>
      </c>
      <c r="I146" s="210">
        <v>6675.401205267746</v>
      </c>
      <c r="J146" s="215">
        <v>3.717</v>
      </c>
      <c r="K146" s="212">
        <v>45.732</v>
      </c>
      <c r="L146" s="212">
        <v>160.49</v>
      </c>
      <c r="M146" s="212">
        <v>7.65</v>
      </c>
      <c r="N146" s="212">
        <v>101.37</v>
      </c>
      <c r="O146" s="213">
        <v>-8.984885641964979E-4</v>
      </c>
      <c r="P146" s="214">
        <v>0.0030344675036239797</v>
      </c>
      <c r="Q146" s="214">
        <v>-8.718826292947549E-4</v>
      </c>
      <c r="R146" s="214">
        <v>0.00393473111568902</v>
      </c>
      <c r="S146" s="214">
        <v>0.0022397215729259567</v>
      </c>
    </row>
    <row r="147">
      <c r="A147" s="208">
        <v>43388.0</v>
      </c>
      <c r="B147" s="30">
        <v>-0.055840503716855366</v>
      </c>
      <c r="C147" s="30">
        <v>0.03719391432247667</v>
      </c>
      <c r="D147" s="30">
        <v>-0.018646589394378695</v>
      </c>
      <c r="E147" s="30">
        <v>-0.0013130839359521888</v>
      </c>
      <c r="F147" s="210">
        <v>-1014.0007360986083</v>
      </c>
      <c r="G147" s="209">
        <v>-4119.356755788621</v>
      </c>
      <c r="H147" s="210">
        <v>19387.470899264576</v>
      </c>
      <c r="I147" s="210">
        <v>6675.401205267746</v>
      </c>
      <c r="J147" s="215">
        <v>3.716</v>
      </c>
      <c r="K147" s="212">
        <v>45.353</v>
      </c>
      <c r="L147" s="212">
        <v>160.54</v>
      </c>
      <c r="M147" s="212">
        <v>7.64</v>
      </c>
      <c r="N147" s="212">
        <v>101.26</v>
      </c>
      <c r="O147" s="213">
        <v>0.001068894465794168</v>
      </c>
      <c r="P147" s="214">
        <v>-0.010070193366201777</v>
      </c>
      <c r="Q147" s="214">
        <v>-1.6728409745684716E-4</v>
      </c>
      <c r="R147" s="214">
        <v>-2.83355924757626E-5</v>
      </c>
      <c r="S147" s="214">
        <v>0.008863146245666531</v>
      </c>
    </row>
    <row r="148">
      <c r="A148" s="208">
        <v>43385.0</v>
      </c>
      <c r="B148" s="30">
        <v>-0.051353675815046435</v>
      </c>
      <c r="C148" s="30">
        <v>0.03729703977808428</v>
      </c>
      <c r="D148" s="30">
        <v>-0.014056636036962153</v>
      </c>
      <c r="E148" s="30">
        <v>0.0023794262221001807</v>
      </c>
      <c r="F148" s="210">
        <v>1798.9913722827805</v>
      </c>
      <c r="G148" s="209">
        <v>-3105.3560196900125</v>
      </c>
      <c r="H148" s="210">
        <v>20604.51725922679</v>
      </c>
      <c r="I148" s="210">
        <v>7532.388698541902</v>
      </c>
      <c r="J148" s="215">
        <v>3.731</v>
      </c>
      <c r="K148" s="212">
        <v>45.335</v>
      </c>
      <c r="L148" s="212">
        <v>160.86</v>
      </c>
      <c r="M148" s="212">
        <v>7.61</v>
      </c>
      <c r="N148" s="212">
        <v>100.8</v>
      </c>
      <c r="O148" s="213">
        <v>8.845496870040585E-4</v>
      </c>
      <c r="P148" s="214">
        <v>-0.017472440257863653</v>
      </c>
      <c r="Q148" s="214">
        <v>-0.001080081462217571</v>
      </c>
      <c r="R148" s="214">
        <v>-0.0057002378612366345</v>
      </c>
      <c r="S148" s="214">
        <v>0.005590591298887208</v>
      </c>
    </row>
    <row r="149">
      <c r="A149" s="208">
        <v>43384.0</v>
      </c>
      <c r="B149" s="30">
        <v>-0.05953145281433947</v>
      </c>
      <c r="C149" s="30">
        <v>0.03733154212755522</v>
      </c>
      <c r="D149" s="30">
        <v>-0.02219991068678425</v>
      </c>
      <c r="E149" s="30">
        <v>-0.006902263831340869</v>
      </c>
      <c r="F149" s="210">
        <v>-4544.819662591174</v>
      </c>
      <c r="G149" s="209">
        <v>-4904.347391972793</v>
      </c>
      <c r="H149" s="210">
        <v>20604.51725922679</v>
      </c>
      <c r="I149" s="210">
        <v>7532.388698541902</v>
      </c>
      <c r="J149" s="215">
        <v>3.727</v>
      </c>
      <c r="K149" s="212">
        <v>45.316</v>
      </c>
      <c r="L149" s="212">
        <v>160.91</v>
      </c>
      <c r="M149" s="212">
        <v>7.56</v>
      </c>
      <c r="N149" s="212">
        <v>100.69</v>
      </c>
      <c r="O149" s="213">
        <v>0.0021396532421712098</v>
      </c>
      <c r="P149" s="214">
        <v>-0.016166842413849542</v>
      </c>
      <c r="Q149" s="214">
        <v>-6.872991446397932E-4</v>
      </c>
      <c r="R149" s="214">
        <v>-0.0070290121631491065</v>
      </c>
      <c r="S149" s="214">
        <v>0.006505004883583372</v>
      </c>
    </row>
    <row r="150">
      <c r="A150" s="208">
        <v>43383.0</v>
      </c>
      <c r="B150" s="30">
        <v>-0.03456476534746203</v>
      </c>
      <c r="C150" s="30">
        <v>0.03293733506086406</v>
      </c>
      <c r="D150" s="30">
        <v>-0.0016274302865979667</v>
      </c>
      <c r="E150" s="30">
        <v>-0.009859611077770702</v>
      </c>
      <c r="F150" s="210">
        <v>-7971.564515127549</v>
      </c>
      <c r="G150" s="209">
        <v>-359.5277293816187</v>
      </c>
      <c r="H150" s="210">
        <v>20604.51725922679</v>
      </c>
      <c r="I150" s="210">
        <v>7532.388698541902</v>
      </c>
      <c r="J150" s="215">
        <v>3.704</v>
      </c>
      <c r="K150" s="212">
        <v>46.722</v>
      </c>
      <c r="L150" s="212">
        <v>160.62</v>
      </c>
      <c r="M150" s="212">
        <v>7.64</v>
      </c>
      <c r="N150" s="212">
        <v>98.58</v>
      </c>
      <c r="O150" s="213">
        <v>-2.774762565977233E-4</v>
      </c>
      <c r="P150" s="214">
        <v>-0.006301504410156348</v>
      </c>
      <c r="Q150" s="214">
        <v>-3.164125623247305E-4</v>
      </c>
      <c r="R150" s="214">
        <v>-0.0022063385149141044</v>
      </c>
      <c r="S150" s="214">
        <v>-0.004160574015851792</v>
      </c>
    </row>
    <row r="151">
      <c r="A151" s="208">
        <v>43382.0</v>
      </c>
      <c r="B151" s="30">
        <v>0.0014886168916975616</v>
      </c>
      <c r="C151" s="30">
        <v>0.03296786085795476</v>
      </c>
      <c r="D151" s="30">
        <v>0.03445647774965232</v>
      </c>
      <c r="E151" s="30">
        <v>0.0048789210254975585</v>
      </c>
      <c r="F151" s="210">
        <v>3980.3294436278793</v>
      </c>
      <c r="G151" s="209">
        <v>7612.0367857459305</v>
      </c>
      <c r="H151" s="210">
        <v>20604.51725922679</v>
      </c>
      <c r="I151" s="210">
        <v>7532.388698541902</v>
      </c>
      <c r="J151" s="215">
        <v>3.721</v>
      </c>
      <c r="K151" s="212">
        <v>47.741</v>
      </c>
      <c r="L151" s="212">
        <v>161.38</v>
      </c>
      <c r="M151" s="212">
        <v>7.74</v>
      </c>
      <c r="N151" s="212">
        <v>99.1</v>
      </c>
      <c r="O151" s="213">
        <v>8.34417272605285E-5</v>
      </c>
      <c r="P151" s="214">
        <v>-6.77142187654615E-4</v>
      </c>
      <c r="Q151" s="214">
        <v>9.912728468930432E-4</v>
      </c>
      <c r="R151" s="214">
        <v>-1.065363143863222E-5</v>
      </c>
      <c r="S151" s="214">
        <v>-0.002368876018099949</v>
      </c>
    </row>
    <row r="152">
      <c r="A152" s="208">
        <v>43381.0</v>
      </c>
      <c r="B152" s="30">
        <v>-0.016559236970407953</v>
      </c>
      <c r="C152" s="30">
        <v>0.03299844328917735</v>
      </c>
      <c r="D152" s="30">
        <v>0.016439206318769398</v>
      </c>
      <c r="E152" s="30">
        <v>-0.001338316915560452</v>
      </c>
      <c r="F152" s="210">
        <v>-1101.5992876103755</v>
      </c>
      <c r="G152" s="209">
        <v>3631.707342118051</v>
      </c>
      <c r="H152" s="210">
        <v>20604.51725922679</v>
      </c>
      <c r="I152" s="210">
        <v>7532.388698541902</v>
      </c>
      <c r="J152" s="215">
        <v>3.703</v>
      </c>
      <c r="K152" s="212">
        <v>47.534</v>
      </c>
      <c r="L152" s="212">
        <v>161.24</v>
      </c>
      <c r="M152" s="212">
        <v>7.72</v>
      </c>
      <c r="N152" s="212">
        <v>98.72</v>
      </c>
      <c r="O152" s="213">
        <v>-0.009503938433196598</v>
      </c>
      <c r="P152" s="214">
        <v>-0.005334738093153213</v>
      </c>
      <c r="Q152" s="214">
        <v>-0.0010795446205258778</v>
      </c>
      <c r="R152" s="214">
        <v>-4.413168527995781E-4</v>
      </c>
      <c r="S152" s="214">
        <v>-0.0025782419413356017</v>
      </c>
    </row>
    <row r="153">
      <c r="A153" s="208">
        <v>43378.0</v>
      </c>
      <c r="B153" s="30">
        <v>-0.011664850621585673</v>
      </c>
      <c r="C153" s="30">
        <v>0.03309053196812389</v>
      </c>
      <c r="D153" s="30">
        <v>0.02142568134653822</v>
      </c>
      <c r="E153" s="30">
        <v>-0.004823270926367549</v>
      </c>
      <c r="F153" s="210">
        <v>-3946.0769163490977</v>
      </c>
      <c r="G153" s="209">
        <v>4733.306629728427</v>
      </c>
      <c r="H153" s="210">
        <v>20689.747259226788</v>
      </c>
      <c r="I153" s="210">
        <v>7567.967085638677</v>
      </c>
      <c r="J153" s="215">
        <v>3.707</v>
      </c>
      <c r="K153" s="212">
        <v>47.602</v>
      </c>
      <c r="L153" s="212">
        <v>160.77</v>
      </c>
      <c r="M153" s="212">
        <v>7.69</v>
      </c>
      <c r="N153" s="212">
        <v>99.81</v>
      </c>
      <c r="O153" s="213">
        <v>-0.009143870020198156</v>
      </c>
      <c r="P153" s="214">
        <v>-0.0029944552381144796</v>
      </c>
      <c r="Q153" s="214">
        <v>-0.0025663476062556256</v>
      </c>
      <c r="R153" s="214">
        <v>-4.4299257956222543E-4</v>
      </c>
      <c r="S153" s="214">
        <v>6.346630839175009E-5</v>
      </c>
    </row>
    <row r="154">
      <c r="A154" s="208">
        <v>43377.0</v>
      </c>
      <c r="B154" s="30">
        <v>0.00616656352394139</v>
      </c>
      <c r="C154" s="30">
        <v>0.03312134251930464</v>
      </c>
      <c r="D154" s="30">
        <v>0.03928790604324603</v>
      </c>
      <c r="E154" s="30">
        <v>-0.010546313134668158</v>
      </c>
      <c r="F154" s="210">
        <v>-8528.881351170474</v>
      </c>
      <c r="G154" s="209">
        <v>8679.383546077524</v>
      </c>
      <c r="H154" s="210">
        <v>20103.275153161077</v>
      </c>
      <c r="I154" s="210">
        <v>7126.072656285893</v>
      </c>
      <c r="J154" s="215">
        <v>3.72</v>
      </c>
      <c r="K154" s="212">
        <v>47.837</v>
      </c>
      <c r="L154" s="212">
        <v>160.9</v>
      </c>
      <c r="M154" s="212">
        <v>7.74</v>
      </c>
      <c r="N154" s="212">
        <v>99.8</v>
      </c>
      <c r="O154" s="213">
        <v>-0.007012278032315411</v>
      </c>
      <c r="P154" s="214">
        <v>-0.0017583494741399235</v>
      </c>
      <c r="Q154" s="214">
        <v>-0.0016384158435488831</v>
      </c>
      <c r="R154" s="214">
        <v>0.006053328611167326</v>
      </c>
      <c r="S154" s="214">
        <v>0.005341222943349304</v>
      </c>
    </row>
    <row r="155">
      <c r="A155" s="208">
        <v>43376.0</v>
      </c>
      <c r="B155" s="30">
        <v>0.044742341672672485</v>
      </c>
      <c r="C155" s="30">
        <v>0.03315221049928535</v>
      </c>
      <c r="D155" s="30">
        <v>0.07789455217195784</v>
      </c>
      <c r="E155" s="30">
        <v>-0.0012260901864757953</v>
      </c>
      <c r="F155" s="210">
        <v>-471.8801288761424</v>
      </c>
      <c r="G155" s="209">
        <v>17208.264897248</v>
      </c>
      <c r="H155" s="210">
        <v>20103.275153161077</v>
      </c>
      <c r="I155" s="210">
        <v>7126.072656285893</v>
      </c>
      <c r="J155" s="215">
        <v>3.809</v>
      </c>
      <c r="K155" s="212">
        <v>48.298</v>
      </c>
      <c r="L155" s="212">
        <v>161.76</v>
      </c>
      <c r="M155" s="212">
        <v>7.73</v>
      </c>
      <c r="N155" s="212">
        <v>99.48</v>
      </c>
      <c r="O155" s="213">
        <v>5.238049089043942E-4</v>
      </c>
      <c r="P155" s="214">
        <v>0.00449704334156494</v>
      </c>
      <c r="Q155" s="214">
        <v>0.0010503146457541135</v>
      </c>
      <c r="R155" s="214">
        <v>0.010008630302087132</v>
      </c>
      <c r="S155" s="214">
        <v>0.004476084655912205</v>
      </c>
    </row>
    <row r="156">
      <c r="A156" s="208">
        <v>43375.0</v>
      </c>
      <c r="B156" s="30">
        <v>0.046847418282195595</v>
      </c>
      <c r="C156" s="30">
        <v>0.033183136068780955</v>
      </c>
      <c r="D156" s="30">
        <v>0.08003055435097656</v>
      </c>
      <c r="E156" s="30">
        <v>0.003678256204768782</v>
      </c>
      <c r="F156" s="210">
        <v>3026.738314251834</v>
      </c>
      <c r="G156" s="209">
        <v>17680.14502612414</v>
      </c>
      <c r="H156" s="210">
        <v>20103.275153161077</v>
      </c>
      <c r="I156" s="210">
        <v>7126.072656285893</v>
      </c>
      <c r="J156" s="215">
        <v>3.809</v>
      </c>
      <c r="K156" s="212">
        <v>48.028</v>
      </c>
      <c r="L156" s="212">
        <v>162.01</v>
      </c>
      <c r="M156" s="212">
        <v>7.7</v>
      </c>
      <c r="N156" s="212">
        <v>99.79</v>
      </c>
      <c r="O156" s="213">
        <v>0.0031533079328328606</v>
      </c>
      <c r="P156" s="214">
        <v>0.003717952864427406</v>
      </c>
      <c r="Q156" s="214">
        <v>0.0035706491062238443</v>
      </c>
      <c r="R156" s="214">
        <v>0.013159413685729445</v>
      </c>
      <c r="S156" s="214">
        <v>0.009488734225536274</v>
      </c>
    </row>
    <row r="157">
      <c r="A157" s="208">
        <v>43374.0</v>
      </c>
      <c r="B157" s="30">
        <v>0.03311566809559177</v>
      </c>
      <c r="C157" s="30">
        <v>0.03321411938910661</v>
      </c>
      <c r="D157" s="30">
        <v>0.06632978748469838</v>
      </c>
      <c r="E157" s="30">
        <v>0.004293895938643127</v>
      </c>
      <c r="F157" s="210">
        <v>2693.8506155570867</v>
      </c>
      <c r="G157" s="209">
        <v>14653.406711872307</v>
      </c>
      <c r="H157" s="210">
        <v>20103.275153161077</v>
      </c>
      <c r="I157" s="210">
        <v>7126.072656285893</v>
      </c>
      <c r="J157" s="215">
        <v>3.798</v>
      </c>
      <c r="K157" s="212">
        <v>48.087</v>
      </c>
      <c r="L157" s="212">
        <v>161.69</v>
      </c>
      <c r="M157" s="212">
        <v>7.6</v>
      </c>
      <c r="N157" s="212">
        <v>98.2</v>
      </c>
      <c r="O157" s="213">
        <v>0.005812903682907026</v>
      </c>
      <c r="P157" s="214">
        <v>0.004955628446177289</v>
      </c>
      <c r="Q157" s="214">
        <v>0.005886215766693422</v>
      </c>
      <c r="R157" s="214">
        <v>0.010181760708076451</v>
      </c>
      <c r="S157" s="214">
        <v>0.0033525833814666375</v>
      </c>
    </row>
    <row r="158">
      <c r="A158" s="208">
        <v>43371.0</v>
      </c>
      <c r="B158" s="30">
        <v>0.018394356286372173</v>
      </c>
      <c r="C158" s="30">
        <v>0.03574150644356897</v>
      </c>
      <c r="D158" s="30">
        <v>0.05413586272994114</v>
      </c>
      <c r="E158" s="30">
        <v>0.005742297918190961</v>
      </c>
      <c r="F158" s="210">
        <v>5065.345523592406</v>
      </c>
      <c r="G158" s="209">
        <v>11959.55609631522</v>
      </c>
      <c r="H158" s="210">
        <v>20103.275153161077</v>
      </c>
      <c r="I158" s="210">
        <v>7126.072656285893</v>
      </c>
      <c r="J158" s="215">
        <v>3.803</v>
      </c>
      <c r="K158" s="212">
        <v>47.648</v>
      </c>
      <c r="L158" s="212">
        <v>161.25</v>
      </c>
      <c r="M158" s="212">
        <v>7.5</v>
      </c>
      <c r="N158" s="212">
        <v>98.14</v>
      </c>
      <c r="O158" s="213">
        <v>0.007412860110586321</v>
      </c>
      <c r="P158" s="214">
        <v>0.0025246701488271794</v>
      </c>
      <c r="Q158" s="214">
        <v>0.005734559842029419</v>
      </c>
      <c r="R158" s="214">
        <v>0.005795795795795811</v>
      </c>
      <c r="S158" s="214">
        <v>0.0014687061671323498</v>
      </c>
    </row>
    <row r="159">
      <c r="A159" s="208">
        <v>43370.0</v>
      </c>
      <c r="B159" s="30">
        <v>-0.004567822184887074</v>
      </c>
      <c r="C159" s="30">
        <v>0.03577500363798656</v>
      </c>
      <c r="D159" s="30">
        <v>0.031207181453099486</v>
      </c>
      <c r="E159" s="30">
        <v>0.00924368039491624</v>
      </c>
      <c r="F159" s="210">
        <v>4062.3354921025843</v>
      </c>
      <c r="G159" s="209">
        <v>6894.2105727228145</v>
      </c>
      <c r="H159" s="210">
        <v>20103.275153161077</v>
      </c>
      <c r="I159" s="210">
        <v>7126.072656285893</v>
      </c>
      <c r="J159" s="215">
        <v>3.773</v>
      </c>
      <c r="K159" s="212">
        <v>47.493</v>
      </c>
      <c r="L159" s="212">
        <v>160.28</v>
      </c>
      <c r="M159" s="212">
        <v>7.4</v>
      </c>
      <c r="N159" s="212">
        <v>96.97</v>
      </c>
      <c r="O159" s="213">
        <v>0.0039766886273945685</v>
      </c>
      <c r="P159" s="214">
        <v>0.002131131886678165</v>
      </c>
      <c r="Q159" s="214">
        <v>0.0035401054930645306</v>
      </c>
      <c r="R159" s="214">
        <v>0.0022559194200986177</v>
      </c>
      <c r="S159" s="214">
        <v>-0.0020616740186180462</v>
      </c>
    </row>
    <row r="160">
      <c r="A160" s="208">
        <v>43369.0</v>
      </c>
      <c r="B160" s="220">
        <v>-0.022989891937988775</v>
      </c>
      <c r="C160" s="220">
        <v>0.03580859519069829</v>
      </c>
      <c r="D160" s="220">
        <v>0.012818703252709514</v>
      </c>
      <c r="E160" s="220">
        <v>0.00924368039491624</v>
      </c>
      <c r="F160" s="210">
        <v>4062.335492102585</v>
      </c>
      <c r="G160" s="209">
        <v>2831.87508062023</v>
      </c>
      <c r="H160" s="210">
        <v>20196.985153161077</v>
      </c>
      <c r="I160" s="210">
        <v>7125.752064888044</v>
      </c>
      <c r="J160" s="215">
        <v>3.732</v>
      </c>
      <c r="K160" s="212">
        <v>47.375</v>
      </c>
      <c r="L160" s="212">
        <v>158.85</v>
      </c>
      <c r="M160" s="212">
        <v>7.37</v>
      </c>
      <c r="N160" s="212">
        <v>97.21</v>
      </c>
      <c r="O160" s="213">
        <v>-8.079143058025521E-4</v>
      </c>
      <c r="P160" s="214">
        <v>-0.001600217786752937</v>
      </c>
      <c r="Q160" s="214">
        <v>-5.268907498684102E-4</v>
      </c>
      <c r="R160" s="214">
        <v>0.002718627025663315</v>
      </c>
      <c r="S160" s="214">
        <v>-8.608780247695661E-4</v>
      </c>
    </row>
    <row r="161">
      <c r="A161" s="208">
        <v>43368.0</v>
      </c>
      <c r="B161" s="30">
        <v>-0.041411961691090474</v>
      </c>
      <c r="C161" s="30">
        <v>0.03584218674341001</v>
      </c>
      <c r="D161" s="30">
        <v>-0.0055697749476804614</v>
      </c>
      <c r="E161" s="30">
        <v>-0.0014871367301187094</v>
      </c>
      <c r="F161" s="210">
        <v>-1305.1714495637116</v>
      </c>
      <c r="G161" s="209">
        <v>-1230.4604114823546</v>
      </c>
      <c r="H161" s="210">
        <v>20196.985153161077</v>
      </c>
      <c r="I161" s="210">
        <v>7125.752064888044</v>
      </c>
      <c r="J161" s="215">
        <v>3.719</v>
      </c>
      <c r="K161" s="212">
        <v>47.288</v>
      </c>
      <c r="L161" s="212">
        <v>158.49</v>
      </c>
      <c r="M161" s="212">
        <v>7.37</v>
      </c>
      <c r="N161" s="212">
        <v>97.7</v>
      </c>
      <c r="O161" s="213">
        <v>-0.002414556957706241</v>
      </c>
      <c r="P161" s="214">
        <v>-0.0010639197329567935</v>
      </c>
      <c r="Q161" s="214">
        <v>-0.0012194668492565193</v>
      </c>
      <c r="R161" s="214">
        <v>0.005454605137838316</v>
      </c>
      <c r="S161" s="214">
        <v>-9.933762858684487E-4</v>
      </c>
    </row>
    <row r="162">
      <c r="A162" s="208">
        <v>43367.0</v>
      </c>
      <c r="B162" s="30">
        <v>-0.03553768767271647</v>
      </c>
      <c r="C162" s="30">
        <v>0.0358758730091463</v>
      </c>
      <c r="D162" s="30">
        <v>3.3818533642982623E-4</v>
      </c>
      <c r="E162" s="30">
        <v>-0.0012547202531743992</v>
      </c>
      <c r="F162" s="210">
        <v>-1114.9297788109961</v>
      </c>
      <c r="G162" s="209">
        <v>74.71103808135689</v>
      </c>
      <c r="H162" s="210">
        <v>20175.74515316108</v>
      </c>
      <c r="I162" s="210">
        <v>7039.931204672988</v>
      </c>
      <c r="J162" s="215">
        <v>3.728</v>
      </c>
      <c r="K162" s="212">
        <v>47.19</v>
      </c>
      <c r="L162" s="212">
        <v>158.58</v>
      </c>
      <c r="M162" s="212">
        <v>7.35</v>
      </c>
      <c r="N162" s="212">
        <v>97.57</v>
      </c>
      <c r="O162" s="213">
        <v>-0.0019638237182329674</v>
      </c>
      <c r="P162" s="214">
        <v>-0.0017125610094500903</v>
      </c>
      <c r="Q162" s="214">
        <v>-0.002769456668583118</v>
      </c>
      <c r="R162" s="214">
        <v>0.0036304968392062062</v>
      </c>
      <c r="S162" s="214">
        <v>-0.003273833050599362</v>
      </c>
    </row>
    <row r="163">
      <c r="A163" s="208">
        <v>43364.0</v>
      </c>
      <c r="B163" s="30">
        <v>-0.03059231092935696</v>
      </c>
      <c r="C163" s="30">
        <v>0.0359773128008781</v>
      </c>
      <c r="D163" s="30">
        <v>0.005385001871521137</v>
      </c>
      <c r="E163" s="30">
        <v>6.424146623034563E-4</v>
      </c>
      <c r="F163" s="210">
        <v>567.9695879530783</v>
      </c>
      <c r="G163" s="209">
        <v>1189.640816892353</v>
      </c>
      <c r="H163" s="210">
        <v>20175.74515316108</v>
      </c>
      <c r="I163" s="210">
        <v>7039.931204672988</v>
      </c>
      <c r="J163" s="215">
        <v>3.741</v>
      </c>
      <c r="K163" s="212">
        <v>47.601</v>
      </c>
      <c r="L163" s="212">
        <v>159.1</v>
      </c>
      <c r="M163" s="212">
        <v>7.31</v>
      </c>
      <c r="N163" s="212">
        <v>97.46</v>
      </c>
      <c r="O163" s="213">
        <v>-0.0032014488970599033</v>
      </c>
      <c r="P163" s="214">
        <v>0.0016684836156217742</v>
      </c>
      <c r="Q163" s="214">
        <v>-0.0026353553246592685</v>
      </c>
      <c r="R163" s="214">
        <v>0.005025974791964501</v>
      </c>
      <c r="S163" s="214">
        <v>-0.002296405870678697</v>
      </c>
    </row>
    <row r="164">
      <c r="A164" s="208">
        <v>43363.0</v>
      </c>
      <c r="B164" s="30">
        <v>-0.033197210394687766</v>
      </c>
      <c r="C164" s="30">
        <v>0.036011253662011</v>
      </c>
      <c r="D164" s="30">
        <v>0.002814043267323235</v>
      </c>
      <c r="E164" s="30">
        <v>-0.0031830947441572476</v>
      </c>
      <c r="F164" s="210">
        <v>-2833.323054303443</v>
      </c>
      <c r="G164" s="209">
        <v>621.6712289392748</v>
      </c>
      <c r="H164" s="210">
        <v>20007.204049794236</v>
      </c>
      <c r="I164" s="210">
        <v>6858.104245781535</v>
      </c>
      <c r="J164" s="215">
        <v>3.746</v>
      </c>
      <c r="K164" s="212">
        <v>47.437</v>
      </c>
      <c r="L164" s="212">
        <v>159.07</v>
      </c>
      <c r="M164" s="212">
        <v>7.25</v>
      </c>
      <c r="N164" s="212">
        <v>97.99</v>
      </c>
      <c r="O164" s="213">
        <v>-0.006109566849831512</v>
      </c>
      <c r="P164" s="214">
        <v>0.0016179517853848562</v>
      </c>
      <c r="Q164" s="214">
        <v>-0.0036543907998891623</v>
      </c>
      <c r="R164" s="214">
        <v>0.0027529596427523875</v>
      </c>
      <c r="S164" s="214">
        <v>-0.0015706898270964054</v>
      </c>
    </row>
    <row r="165">
      <c r="A165" s="208">
        <v>43362.0</v>
      </c>
      <c r="B165" s="30">
        <v>-0.020405957737219402</v>
      </c>
      <c r="C165" s="30">
        <v>0.03604525862297607</v>
      </c>
      <c r="D165" s="30">
        <v>0.015639300885756668</v>
      </c>
      <c r="E165" s="30">
        <v>-0.0024484107236738173</v>
      </c>
      <c r="F165" s="210">
        <v>-2204.471981023731</v>
      </c>
      <c r="G165" s="209">
        <v>3454.9942832427178</v>
      </c>
      <c r="H165" s="210">
        <v>20007.204049794236</v>
      </c>
      <c r="I165" s="210">
        <v>6858.104245781535</v>
      </c>
      <c r="J165" s="215">
        <v>3.75</v>
      </c>
      <c r="K165" s="212">
        <v>47.431</v>
      </c>
      <c r="L165" s="212">
        <v>159.9</v>
      </c>
      <c r="M165" s="212">
        <v>7.27</v>
      </c>
      <c r="N165" s="212">
        <v>98.53</v>
      </c>
      <c r="O165" s="213">
        <v>-0.006015754827944549</v>
      </c>
      <c r="P165" s="214">
        <v>-2.7421751707934483E-4</v>
      </c>
      <c r="Q165" s="214">
        <v>-0.002433292263014438</v>
      </c>
      <c r="R165" s="214">
        <v>0.0027452861498743117</v>
      </c>
      <c r="S165" s="214">
        <v>0.0012819763403191242</v>
      </c>
    </row>
    <row r="166">
      <c r="A166" s="208">
        <v>43361.0</v>
      </c>
      <c r="B166" s="30">
        <v>-0.01046131275362734</v>
      </c>
      <c r="C166" s="30">
        <v>0.03607932786553087</v>
      </c>
      <c r="D166" s="30">
        <v>0.02561801511190353</v>
      </c>
      <c r="E166" s="30">
        <v>-0.0029415907769446614</v>
      </c>
      <c r="F166" s="210">
        <v>-2629.0714275604687</v>
      </c>
      <c r="G166" s="209">
        <v>5659.466264266449</v>
      </c>
      <c r="H166" s="210">
        <v>19939.21455988127</v>
      </c>
      <c r="I166" s="210">
        <v>6821.416627526332</v>
      </c>
      <c r="J166" s="215">
        <v>3.777</v>
      </c>
      <c r="K166" s="212">
        <v>47.363</v>
      </c>
      <c r="L166" s="212">
        <v>160.36</v>
      </c>
      <c r="M166" s="212">
        <v>7.2</v>
      </c>
      <c r="N166" s="212">
        <v>98.13</v>
      </c>
      <c r="O166" s="213">
        <v>-0.005711092701176608</v>
      </c>
      <c r="P166" s="214">
        <v>7.927631851465389E-4</v>
      </c>
      <c r="Q166" s="214">
        <v>-0.0022814620987824754</v>
      </c>
      <c r="R166" s="214">
        <v>-0.0018512133118112246</v>
      </c>
      <c r="S166" s="214">
        <v>-0.0014976375929220593</v>
      </c>
    </row>
    <row r="167">
      <c r="A167" s="208">
        <v>43360.0</v>
      </c>
      <c r="B167" s="30">
        <v>0.0014052502515507993</v>
      </c>
      <c r="C167" s="30">
        <v>0.036113461572120774</v>
      </c>
      <c r="D167" s="30">
        <v>0.03751871182367157</v>
      </c>
      <c r="E167" s="30">
        <v>-0.002605239901936235</v>
      </c>
      <c r="F167" s="210">
        <v>-2360.808687903973</v>
      </c>
      <c r="G167" s="209">
        <v>8288.537691826918</v>
      </c>
      <c r="H167" s="210">
        <v>19939.21455988127</v>
      </c>
      <c r="I167" s="210">
        <v>6821.416627526332</v>
      </c>
      <c r="J167" s="215">
        <v>3.815</v>
      </c>
      <c r="K167" s="212">
        <v>47.207</v>
      </c>
      <c r="L167" s="212">
        <v>160.82</v>
      </c>
      <c r="M167" s="212">
        <v>7.19</v>
      </c>
      <c r="N167" s="212">
        <v>98.45</v>
      </c>
      <c r="O167" s="213">
        <v>-0.002183940335407216</v>
      </c>
      <c r="P167" s="214">
        <v>-8.342519688112245E-4</v>
      </c>
      <c r="Q167" s="214">
        <v>-0.0019239836720323922</v>
      </c>
      <c r="R167" s="214">
        <v>-0.0064578226836139825</v>
      </c>
      <c r="S167" s="214">
        <v>-0.0013913346902601302</v>
      </c>
    </row>
    <row r="168">
      <c r="A168" s="208">
        <v>43357.0</v>
      </c>
      <c r="B168" s="30">
        <v>0.01198884502656722</v>
      </c>
      <c r="C168" s="30">
        <v>0.036216251310940854</v>
      </c>
      <c r="D168" s="30">
        <v>0.04820509633750807</v>
      </c>
      <c r="E168" s="30">
        <v>-8.770459398840324E-4</v>
      </c>
      <c r="F168" s="210">
        <v>-799.7204511487707</v>
      </c>
      <c r="G168" s="209">
        <v>10649.34637973089</v>
      </c>
      <c r="H168" s="210">
        <v>19939.21455988127</v>
      </c>
      <c r="I168" s="210">
        <v>6821.416627526332</v>
      </c>
      <c r="J168" s="215">
        <v>3.818</v>
      </c>
      <c r="K168" s="212">
        <v>47.469</v>
      </c>
      <c r="L168" s="212">
        <v>161.07</v>
      </c>
      <c r="M168" s="212">
        <v>7.21</v>
      </c>
      <c r="N168" s="212">
        <v>98.15</v>
      </c>
      <c r="O168" s="213">
        <v>-0.0034843171375041524</v>
      </c>
      <c r="P168" s="214">
        <v>6.917486006687845E-4</v>
      </c>
      <c r="Q168" s="214">
        <v>-0.0028895772512039417</v>
      </c>
      <c r="R168" s="214">
        <v>-0.003711600320559801</v>
      </c>
      <c r="S168" s="214">
        <v>-0.0013955472641355993</v>
      </c>
    </row>
    <row r="169">
      <c r="A169" s="208">
        <v>43356.0</v>
      </c>
      <c r="B169" s="30">
        <v>0.01557444857331324</v>
      </c>
      <c r="C169" s="30">
        <v>0.03625064471199588</v>
      </c>
      <c r="D169" s="30">
        <v>0.05182509328530912</v>
      </c>
      <c r="E169" s="30">
        <v>-0.002298614356148906</v>
      </c>
      <c r="F169" s="210">
        <v>-2084.130249669259</v>
      </c>
      <c r="G169" s="209">
        <v>11449.066830879661</v>
      </c>
      <c r="H169" s="210">
        <v>19939.21455988127</v>
      </c>
      <c r="I169" s="210">
        <v>6821.416627526332</v>
      </c>
      <c r="J169" s="215">
        <v>3.842</v>
      </c>
      <c r="K169" s="212">
        <v>47.249</v>
      </c>
      <c r="L169" s="212">
        <v>161.46</v>
      </c>
      <c r="M169" s="212">
        <v>7.24</v>
      </c>
      <c r="N169" s="212">
        <v>98.57</v>
      </c>
      <c r="O169" s="213">
        <v>-0.0018209820290897571</v>
      </c>
      <c r="P169" s="214">
        <v>-1.6351263527540164E-4</v>
      </c>
      <c r="Q169" s="214">
        <v>-0.002226091006546508</v>
      </c>
      <c r="R169" s="214">
        <v>-0.0018673903977211026</v>
      </c>
      <c r="S169" s="214">
        <v>-4.0882358494502097E-4</v>
      </c>
    </row>
    <row r="170">
      <c r="A170" s="208">
        <v>43355.0</v>
      </c>
      <c r="B170" s="30">
        <v>0.024973967785983042</v>
      </c>
      <c r="C170" s="30">
        <v>0.036285103499744925</v>
      </c>
      <c r="D170" s="30">
        <v>0.06125907128572797</v>
      </c>
      <c r="E170" s="30">
        <v>-0.0013279996367479862</v>
      </c>
      <c r="F170" s="210">
        <v>-1214.552733057435</v>
      </c>
      <c r="G170" s="209">
        <v>13533.19708054892</v>
      </c>
      <c r="H170" s="210">
        <v>19939.21455988127</v>
      </c>
      <c r="I170" s="210">
        <v>6821.416627526332</v>
      </c>
      <c r="J170" s="215">
        <v>3.84</v>
      </c>
      <c r="K170" s="212">
        <v>47.324</v>
      </c>
      <c r="L170" s="212">
        <v>161.75</v>
      </c>
      <c r="M170" s="212">
        <v>7.33</v>
      </c>
      <c r="N170" s="212">
        <v>98.86</v>
      </c>
      <c r="O170" s="213">
        <v>-0.0021670802089457375</v>
      </c>
      <c r="P170" s="214">
        <v>-3.3248857093023015E-4</v>
      </c>
      <c r="Q170" s="214">
        <v>-0.002406682862231113</v>
      </c>
      <c r="R170" s="214">
        <v>0.002734131468994113</v>
      </c>
      <c r="S170" s="214">
        <v>-3.0630374641049674E-4</v>
      </c>
    </row>
    <row r="171">
      <c r="A171" s="208">
        <v>43354.0</v>
      </c>
      <c r="B171" s="30">
        <v>0.03043721102643443</v>
      </c>
      <c r="C171" s="30">
        <v>0.036319627860829366</v>
      </c>
      <c r="D171" s="30">
        <v>0.0667568388872638</v>
      </c>
      <c r="E171" s="30">
        <v>-6.264254085323545E-4</v>
      </c>
      <c r="F171" s="210">
        <v>-486.7353784344177</v>
      </c>
      <c r="G171" s="209">
        <v>14747.749813606355</v>
      </c>
      <c r="H171" s="210">
        <v>19939.21455988127</v>
      </c>
      <c r="I171" s="210">
        <v>6821.416627526332</v>
      </c>
      <c r="J171" s="215">
        <v>3.858</v>
      </c>
      <c r="K171" s="212">
        <v>47.37</v>
      </c>
      <c r="L171" s="212">
        <v>162.47</v>
      </c>
      <c r="M171" s="212">
        <v>7.29</v>
      </c>
      <c r="N171" s="212">
        <v>98.56</v>
      </c>
      <c r="O171" s="213">
        <v>-0.002156973481908242</v>
      </c>
      <c r="P171" s="214">
        <v>0.0019758553882055865</v>
      </c>
      <c r="Q171" s="214">
        <v>-0.001352570338509329</v>
      </c>
      <c r="R171" s="214">
        <v>0.002749143919945555</v>
      </c>
      <c r="S171" s="214">
        <v>-5.430331164418453E-4</v>
      </c>
    </row>
    <row r="172">
      <c r="A172" s="208">
        <v>43353.0</v>
      </c>
      <c r="B172" s="30">
        <v>0.03303789259607759</v>
      </c>
      <c r="C172" s="30">
        <v>0.03592219191506436</v>
      </c>
      <c r="D172" s="30">
        <v>0.06896008451114194</v>
      </c>
      <c r="E172" s="30">
        <v>-0.0012774103801707138</v>
      </c>
      <c r="F172" s="210">
        <v>-1206.2412974921335</v>
      </c>
      <c r="G172" s="209">
        <v>15234.485192040773</v>
      </c>
      <c r="H172" s="210">
        <v>19939.21455988127</v>
      </c>
      <c r="I172" s="210">
        <v>6821.416627526332</v>
      </c>
      <c r="J172" s="215">
        <v>3.863</v>
      </c>
      <c r="K172" s="212">
        <v>47.272</v>
      </c>
      <c r="L172" s="212">
        <v>162.54</v>
      </c>
      <c r="M172" s="212">
        <v>7.28</v>
      </c>
      <c r="N172" s="212">
        <v>98.69</v>
      </c>
      <c r="O172" s="213">
        <v>-0.001209905046217467</v>
      </c>
      <c r="P172" s="214">
        <v>6.34999692252706E-4</v>
      </c>
      <c r="Q172" s="214">
        <v>-7.185476568247751E-4</v>
      </c>
      <c r="R172" s="214">
        <v>9.087706846643284E-4</v>
      </c>
      <c r="S172" s="214">
        <v>4.0311436789449334E-4</v>
      </c>
    </row>
    <row r="173">
      <c r="A173" s="208">
        <v>43350.0</v>
      </c>
      <c r="B173" s="30">
        <v>0.038395108920118846</v>
      </c>
      <c r="C173" s="30">
        <v>0.03602512083172643</v>
      </c>
      <c r="D173" s="30">
        <v>0.07442022975184528</v>
      </c>
      <c r="E173" s="30">
        <v>5.392939654665401E-4</v>
      </c>
      <c r="F173" s="210">
        <v>476.18706924316393</v>
      </c>
      <c r="G173" s="209">
        <v>16440.726489532906</v>
      </c>
      <c r="H173" s="210">
        <v>19939.21455988127</v>
      </c>
      <c r="I173" s="210">
        <v>6821.416627526332</v>
      </c>
      <c r="J173" s="215">
        <v>3.865</v>
      </c>
      <c r="K173" s="212">
        <v>47.371</v>
      </c>
      <c r="L173" s="212">
        <v>162.92</v>
      </c>
      <c r="M173" s="212">
        <v>7.27</v>
      </c>
      <c r="N173" s="212">
        <v>98.95</v>
      </c>
      <c r="O173" s="213">
        <v>-0.0024129616834238274</v>
      </c>
      <c r="P173" s="214">
        <v>-0.002008653317306005</v>
      </c>
      <c r="Q173" s="214">
        <v>-0.0012284658836024809</v>
      </c>
      <c r="R173" s="214">
        <v>-0.002763062532623447</v>
      </c>
      <c r="S173" s="214">
        <v>9.769328337799015E-4</v>
      </c>
    </row>
    <row r="174">
      <c r="A174" s="208">
        <v>43349.0</v>
      </c>
      <c r="B174" s="30">
        <v>0.036205170197774986</v>
      </c>
      <c r="C174" s="30">
        <v>0.036059561673821766</v>
      </c>
      <c r="D174" s="30">
        <v>0.07226473187159675</v>
      </c>
      <c r="E174" s="30">
        <v>0.0018539586834947904</v>
      </c>
      <c r="F174" s="210">
        <v>1666.7362568207645</v>
      </c>
      <c r="G174" s="209">
        <v>15964.539420289742</v>
      </c>
      <c r="H174" s="210">
        <v>19916.83048633697</v>
      </c>
      <c r="I174" s="210">
        <v>6819.065751843002</v>
      </c>
      <c r="J174" s="215">
        <v>3.883</v>
      </c>
      <c r="K174" s="212">
        <v>47.089</v>
      </c>
      <c r="L174" s="212">
        <v>163.13</v>
      </c>
      <c r="M174" s="212">
        <v>7.23</v>
      </c>
      <c r="N174" s="212">
        <v>98.72</v>
      </c>
      <c r="O174" s="213">
        <v>-0.0013743110254113011</v>
      </c>
      <c r="P174" s="214">
        <v>-0.0037621591552957265</v>
      </c>
      <c r="Q174" s="214">
        <v>-8.533683575751017E-5</v>
      </c>
      <c r="R174" s="214">
        <v>-0.0050518357839387145</v>
      </c>
      <c r="S174" s="214">
        <v>-5.073766539657187E-4</v>
      </c>
    </row>
    <row r="175">
      <c r="A175" s="208">
        <v>43348.0</v>
      </c>
      <c r="B175" s="30">
        <v>0.028626051877722686</v>
      </c>
      <c r="C175" s="30">
        <v>0.03609406843140437</v>
      </c>
      <c r="D175" s="30">
        <v>0.06472012030912705</v>
      </c>
      <c r="E175" s="30">
        <v>-0.007022435945771128</v>
      </c>
      <c r="F175" s="210">
        <v>-5703.491552132289</v>
      </c>
      <c r="G175" s="209">
        <v>14297.803163468978</v>
      </c>
      <c r="H175" s="210">
        <v>19916.83048633697</v>
      </c>
      <c r="I175" s="210">
        <v>6819.065751843002</v>
      </c>
      <c r="J175" s="215">
        <v>3.877</v>
      </c>
      <c r="K175" s="212">
        <v>47.181</v>
      </c>
      <c r="L175" s="212">
        <v>162.89</v>
      </c>
      <c r="M175" s="212">
        <v>7.26</v>
      </c>
      <c r="N175" s="212">
        <v>98.57</v>
      </c>
      <c r="O175" s="213">
        <v>-0.00471061291069826</v>
      </c>
      <c r="P175" s="214">
        <v>-0.0022779442536842907</v>
      </c>
      <c r="Q175" s="214">
        <v>-0.0013316011587967136</v>
      </c>
      <c r="R175" s="214">
        <v>-0.0041228425262062425</v>
      </c>
      <c r="S175" s="214">
        <v>-0.001418431295892771</v>
      </c>
    </row>
    <row r="176">
      <c r="A176" s="208">
        <v>43347.0</v>
      </c>
      <c r="B176" s="30">
        <v>0.05440877802374997</v>
      </c>
      <c r="C176" s="30">
        <v>0.036128641293886564</v>
      </c>
      <c r="D176" s="30">
        <v>0.09053741931763654</v>
      </c>
      <c r="E176" s="30">
        <v>-0.0018697871013772587</v>
      </c>
      <c r="F176" s="210">
        <v>-1734.5222354209945</v>
      </c>
      <c r="G176" s="209">
        <v>20001.294715601267</v>
      </c>
      <c r="H176" s="210">
        <v>19916.83048633697</v>
      </c>
      <c r="I176" s="210">
        <v>6819.065751843002</v>
      </c>
      <c r="J176" s="215">
        <v>3.893</v>
      </c>
      <c r="K176" s="212">
        <v>47.654</v>
      </c>
      <c r="L176" s="212">
        <v>163.52</v>
      </c>
      <c r="M176" s="212">
        <v>7.33</v>
      </c>
      <c r="N176" s="212">
        <v>98.66</v>
      </c>
      <c r="O176" s="213">
        <v>-7.069693346198521E-4</v>
      </c>
      <c r="P176" s="214">
        <v>0.00142869333538261</v>
      </c>
      <c r="Q176" s="214">
        <v>0.0017512612733920907</v>
      </c>
      <c r="R176" s="214">
        <v>0.0013586889293511668</v>
      </c>
      <c r="S176" s="214">
        <v>3.675520822888541E-4</v>
      </c>
    </row>
    <row r="177">
      <c r="A177" s="208">
        <v>43346.0</v>
      </c>
      <c r="B177" s="30">
        <v>0.06222558894368782</v>
      </c>
      <c r="C177" s="30">
        <v>0.036163280451407064</v>
      </c>
      <c r="D177" s="30">
        <v>0.09838886939509489</v>
      </c>
      <c r="E177" s="30">
        <v>-0.0017270819217674056</v>
      </c>
      <c r="F177" s="210">
        <v>-3732.4005460908265</v>
      </c>
      <c r="G177" s="209">
        <v>21735.81695102226</v>
      </c>
      <c r="H177" s="210">
        <v>19916.83048633697</v>
      </c>
      <c r="I177" s="210">
        <v>6819.065751843002</v>
      </c>
      <c r="J177" s="215">
        <v>3.899</v>
      </c>
      <c r="K177" s="212">
        <v>47.621</v>
      </c>
      <c r="L177" s="212">
        <v>163.17</v>
      </c>
      <c r="M177" s="212">
        <v>7.34</v>
      </c>
      <c r="N177" s="212">
        <v>98.87</v>
      </c>
      <c r="O177" s="213">
        <v>0.0029683557805437744</v>
      </c>
      <c r="P177" s="214">
        <v>0.0017177082163736257</v>
      </c>
      <c r="Q177" s="214">
        <v>0.003210011126715262</v>
      </c>
      <c r="R177" s="214">
        <v>0.002726683098556393</v>
      </c>
      <c r="S177" s="214">
        <v>0.001449121040713634</v>
      </c>
    </row>
    <row r="178">
      <c r="A178" s="208">
        <v>43343.0</v>
      </c>
      <c r="B178" s="30">
        <v>0.07577851635817813</v>
      </c>
      <c r="C178" s="30">
        <v>0.03950535499092612</v>
      </c>
      <c r="D178" s="30">
        <v>0.11528387134910426</v>
      </c>
      <c r="E178" s="30">
        <v>0.00444317487159717</v>
      </c>
      <c r="F178" s="210">
        <v>4441.626174806483</v>
      </c>
      <c r="G178" s="209">
        <v>25468.217497113088</v>
      </c>
      <c r="H178" s="210">
        <v>19916.83048633697</v>
      </c>
      <c r="I178" s="210">
        <v>6819.065751843002</v>
      </c>
      <c r="J178" s="215">
        <v>3.932</v>
      </c>
      <c r="K178" s="212">
        <v>47.502</v>
      </c>
      <c r="L178" s="212">
        <v>163.54</v>
      </c>
      <c r="M178" s="212">
        <v>7.35</v>
      </c>
      <c r="N178" s="212">
        <v>98.99</v>
      </c>
      <c r="O178" s="213">
        <v>0.005271993651272362</v>
      </c>
      <c r="P178" s="214">
        <v>0.0031854853602056865</v>
      </c>
      <c r="Q178" s="214">
        <v>0.003883360774605271</v>
      </c>
      <c r="R178" s="214">
        <v>0.003638691163153037</v>
      </c>
      <c r="S178" s="214">
        <v>9.055686316621347E-4</v>
      </c>
    </row>
    <row r="179">
      <c r="A179" s="208">
        <v>43342.0</v>
      </c>
      <c r="B179" s="30">
        <v>0.05563512684442858</v>
      </c>
      <c r="C179" s="30">
        <v>0.039543377469261946</v>
      </c>
      <c r="D179" s="30">
        <v>0.09517850431369053</v>
      </c>
      <c r="E179" s="30">
        <v>0.005256470062374909</v>
      </c>
      <c r="F179" s="210">
        <v>5222.66244556693</v>
      </c>
      <c r="G179" s="209">
        <v>21026.591322306605</v>
      </c>
      <c r="H179" s="210">
        <v>19784.590486336972</v>
      </c>
      <c r="I179" s="210">
        <v>6753.027902380636</v>
      </c>
      <c r="J179" s="215">
        <v>3.901</v>
      </c>
      <c r="K179" s="212">
        <v>47.45</v>
      </c>
      <c r="L179" s="212">
        <v>162.66</v>
      </c>
      <c r="M179" s="212">
        <v>7.3</v>
      </c>
      <c r="N179" s="212">
        <v>98.55</v>
      </c>
      <c r="O179" s="213">
        <v>-2.84525748725728E-4</v>
      </c>
      <c r="P179" s="214">
        <v>0.001970410969036903</v>
      </c>
      <c r="Q179" s="214">
        <v>3.574674281957198E-4</v>
      </c>
      <c r="R179" s="214">
        <v>-4.6290362423465997E-4</v>
      </c>
      <c r="S179" s="214">
        <v>-0.0019604493274668253</v>
      </c>
    </row>
    <row r="180">
      <c r="A180" s="208">
        <v>43341.0</v>
      </c>
      <c r="B180" s="30">
        <v>0.03195624252050753</v>
      </c>
      <c r="C180" s="30">
        <v>0.039581473208635025</v>
      </c>
      <c r="D180" s="30">
        <v>0.07153771572914255</v>
      </c>
      <c r="E180" s="30">
        <v>3.4260761994863337E-4</v>
      </c>
      <c r="F180" s="210">
        <v>267.33199133426024</v>
      </c>
      <c r="G180" s="209">
        <v>15803.928876739676</v>
      </c>
      <c r="H180" s="210">
        <v>19582.841208150618</v>
      </c>
      <c r="I180" s="210">
        <v>6731.60725960506</v>
      </c>
      <c r="J180" s="215">
        <v>3.864</v>
      </c>
      <c r="K180" s="212">
        <v>47.376</v>
      </c>
      <c r="L180" s="212">
        <v>161.6</v>
      </c>
      <c r="M180" s="212">
        <v>7.28</v>
      </c>
      <c r="N180" s="212">
        <v>98.44</v>
      </c>
      <c r="O180" s="213">
        <v>-0.006263731199759019</v>
      </c>
      <c r="P180" s="214">
        <v>0.0024257822914130664</v>
      </c>
      <c r="Q180" s="214">
        <v>-0.0038457719471255794</v>
      </c>
      <c r="R180" s="214">
        <v>-0.0036561273935130645</v>
      </c>
      <c r="S180" s="214">
        <v>-0.003072280213216668</v>
      </c>
    </row>
    <row r="181">
      <c r="A181" s="208">
        <v>43340.0</v>
      </c>
      <c r="B181" s="30">
        <v>0.030707974215042216</v>
      </c>
      <c r="C181" s="30">
        <v>0.03961964242098665</v>
      </c>
      <c r="D181" s="30">
        <v>0.07032761663602886</v>
      </c>
      <c r="E181" s="30">
        <v>-0.006400030545955846</v>
      </c>
      <c r="F181" s="210">
        <v>-8243.413114594583</v>
      </c>
      <c r="G181" s="209">
        <v>15536.596885405415</v>
      </c>
      <c r="H181" s="210">
        <v>19536.040729370507</v>
      </c>
      <c r="I181" s="210">
        <v>6753.611275859337</v>
      </c>
      <c r="J181" s="215">
        <v>3.87</v>
      </c>
      <c r="K181" s="212">
        <v>47.049</v>
      </c>
      <c r="L181" s="212">
        <v>161.64</v>
      </c>
      <c r="M181" s="212">
        <v>7.27</v>
      </c>
      <c r="N181" s="212">
        <v>98.72</v>
      </c>
      <c r="O181" s="213">
        <v>-0.006846801724078144</v>
      </c>
      <c r="P181" s="214">
        <v>6.778661580609432E-4</v>
      </c>
      <c r="Q181" s="214">
        <v>-0.005312987396877578</v>
      </c>
      <c r="R181" s="214">
        <v>-0.002302408648489962</v>
      </c>
      <c r="S181" s="214">
        <v>0.001298088445423969</v>
      </c>
    </row>
    <row r="182">
      <c r="A182" s="208">
        <v>43339.0</v>
      </c>
      <c r="B182" s="30">
        <v>0.068</v>
      </c>
      <c r="C182" s="30">
        <v>0.0397</v>
      </c>
      <c r="D182" s="30">
        <v>0.1076</v>
      </c>
      <c r="E182" s="30">
        <v>-0.0022</v>
      </c>
      <c r="F182" s="210">
        <v>-0.0018619169859448448</v>
      </c>
      <c r="G182" s="209">
        <v>23780.01</v>
      </c>
      <c r="H182" s="209">
        <v>19238.83</v>
      </c>
      <c r="I182" s="209">
        <v>6869.15</v>
      </c>
      <c r="J182" s="215">
        <v>3.904</v>
      </c>
      <c r="K182" s="212">
        <v>47.169</v>
      </c>
      <c r="L182" s="212">
        <v>162.48</v>
      </c>
      <c r="M182" s="212">
        <v>7.31</v>
      </c>
      <c r="N182" s="212">
        <v>99.13</v>
      </c>
      <c r="O182" s="213">
        <v>-0.0025680808483599105</v>
      </c>
      <c r="P182" s="214">
        <v>0.0010594899725658118</v>
      </c>
      <c r="Q182" s="214">
        <v>-0.002707983155431896</v>
      </c>
      <c r="R182" s="214">
        <v>-4.683875572473924E-4</v>
      </c>
      <c r="S182" s="214">
        <v>0.0015637932741402831</v>
      </c>
    </row>
    <row r="183">
      <c r="A183" s="208">
        <v>43336.0</v>
      </c>
      <c r="B183" s="30">
        <v>0.067984191653141</v>
      </c>
      <c r="C183" s="30">
        <v>0.03965788531907641</v>
      </c>
      <c r="D183" s="30">
        <v>0.107642076972217</v>
      </c>
      <c r="E183" s="30">
        <v>-0.002240447656546123</v>
      </c>
      <c r="F183" s="210">
        <v>-311.4749841918165</v>
      </c>
      <c r="G183" s="209">
        <v>23780.011861916984</v>
      </c>
      <c r="H183" s="210">
        <v>19238.832729370508</v>
      </c>
      <c r="I183" s="210">
        <v>6869.14585292027</v>
      </c>
      <c r="J183" s="215">
        <v>3.937</v>
      </c>
      <c r="K183" s="212">
        <v>47.031</v>
      </c>
      <c r="L183" s="212">
        <v>163.47</v>
      </c>
      <c r="M183" s="212">
        <v>7.36</v>
      </c>
      <c r="N183" s="212">
        <v>99.35</v>
      </c>
      <c r="O183" s="213">
        <v>-7.672347150288564E-4</v>
      </c>
      <c r="P183" s="214">
        <v>-0.0019716332786859545</v>
      </c>
      <c r="Q183" s="214">
        <v>-0.0023049655810701473</v>
      </c>
      <c r="R183" s="214">
        <v>-4.652728280668539E-4</v>
      </c>
      <c r="S183" s="214">
        <v>0.002100846200857228</v>
      </c>
    </row>
    <row r="184">
      <c r="A184" s="208">
        <v>43335.0</v>
      </c>
      <c r="B184" s="30">
        <v>0.06927893449502678</v>
      </c>
      <c r="C184" s="30">
        <v>0.03977305826772813</v>
      </c>
      <c r="D184" s="30">
        <v>0.10905199276275492</v>
      </c>
      <c r="E184" s="30">
        <v>-0.0021275216460599606</v>
      </c>
      <c r="F184" s="210">
        <v>-2085.880252181283</v>
      </c>
      <c r="G184" s="209">
        <v>24091.4868461088</v>
      </c>
      <c r="H184" s="210">
        <v>19238.832729370508</v>
      </c>
      <c r="I184" s="210">
        <v>6869.14585292027</v>
      </c>
      <c r="J184" s="215">
        <v>3.95</v>
      </c>
      <c r="K184" s="212">
        <v>46.953</v>
      </c>
      <c r="L184" s="212">
        <v>164.23</v>
      </c>
      <c r="M184" s="212">
        <v>7.32</v>
      </c>
      <c r="N184" s="212">
        <v>98.33</v>
      </c>
      <c r="O184" s="213">
        <v>-0.003636831094532389</v>
      </c>
      <c r="P184" s="214">
        <v>-0.003644754373335409</v>
      </c>
      <c r="Q184" s="214">
        <v>-0.0035701467002582365</v>
      </c>
      <c r="R184" s="214">
        <v>-0.004086003168459751</v>
      </c>
      <c r="S184" s="214">
        <v>-0.0032122681890847105</v>
      </c>
    </row>
    <row r="185">
      <c r="A185" s="208">
        <v>43334.0</v>
      </c>
      <c r="B185" s="30">
        <v>0.07868229423305845</v>
      </c>
      <c r="C185" s="30">
        <v>0.03981159805287127</v>
      </c>
      <c r="D185" s="30">
        <v>0.11849389228592971</v>
      </c>
      <c r="E185" s="30">
        <v>0.0032385474691262435</v>
      </c>
      <c r="F185" s="210">
        <v>3123.962496787917</v>
      </c>
      <c r="G185" s="209">
        <v>26177.367098290084</v>
      </c>
      <c r="H185" s="210">
        <v>19238.832729370508</v>
      </c>
      <c r="I185" s="210">
        <v>6869.14585292027</v>
      </c>
      <c r="J185" s="215">
        <v>3.934</v>
      </c>
      <c r="K185" s="212">
        <v>47.019</v>
      </c>
      <c r="L185" s="212">
        <v>163.8</v>
      </c>
      <c r="M185" s="212">
        <v>7.32</v>
      </c>
      <c r="N185" s="212">
        <v>98.66</v>
      </c>
      <c r="O185" s="213">
        <v>-0.003651371307838177</v>
      </c>
      <c r="P185" s="214">
        <v>-0.00248801779708215</v>
      </c>
      <c r="Q185" s="214">
        <v>-0.004322417261671226</v>
      </c>
      <c r="R185" s="214">
        <v>-0.004086003168459751</v>
      </c>
      <c r="S185" s="214">
        <v>-8.513084668536989E-4</v>
      </c>
    </row>
    <row r="186">
      <c r="A186" s="208">
        <v>43333.0</v>
      </c>
      <c r="B186" s="30">
        <v>0.06450281998033634</v>
      </c>
      <c r="C186" s="30">
        <v>0.03985021259996426</v>
      </c>
      <c r="D186" s="30">
        <v>0.1043530325803006</v>
      </c>
      <c r="E186" s="30">
        <v>-0.003173666530684312</v>
      </c>
      <c r="F186" s="210">
        <v>-3101.6282718442344</v>
      </c>
      <c r="G186" s="209">
        <v>23053.404601502167</v>
      </c>
      <c r="H186" s="210">
        <v>19238.832729370508</v>
      </c>
      <c r="I186" s="210">
        <v>6869.14585292027</v>
      </c>
      <c r="J186" s="215">
        <v>3.946</v>
      </c>
      <c r="K186" s="212">
        <v>47.309</v>
      </c>
      <c r="L186" s="212">
        <v>164.6</v>
      </c>
      <c r="M186" s="212">
        <v>7.37</v>
      </c>
      <c r="N186" s="212">
        <v>98.72</v>
      </c>
      <c r="O186" s="213">
        <v>-0.00137736542321365</v>
      </c>
      <c r="P186" s="214">
        <v>-0.0013750428514707942</v>
      </c>
      <c r="Q186" s="214">
        <v>-0.0027145044261323026</v>
      </c>
      <c r="R186" s="214">
        <v>-0.001359293582388658</v>
      </c>
      <c r="S186" s="214">
        <v>-0.0010192994441737824</v>
      </c>
    </row>
    <row r="187">
      <c r="A187" s="208">
        <v>43332.0</v>
      </c>
      <c r="B187" s="30">
        <v>0.07850389254935898</v>
      </c>
      <c r="C187" s="30">
        <v>0.03988890212676034</v>
      </c>
      <c r="D187" s="30">
        <v>0.11839279467611932</v>
      </c>
      <c r="E187" s="30">
        <v>-0.006179198734281191</v>
      </c>
      <c r="F187" s="210">
        <v>-6139.807878311822</v>
      </c>
      <c r="G187" s="209">
        <v>26155.0328733464</v>
      </c>
      <c r="H187" s="210">
        <v>19238.832729370508</v>
      </c>
      <c r="I187" s="210">
        <v>6869.14585292027</v>
      </c>
      <c r="J187" s="215">
        <v>3.993</v>
      </c>
      <c r="K187" s="212">
        <v>47.468</v>
      </c>
      <c r="L187" s="212">
        <v>165.99</v>
      </c>
      <c r="M187" s="212">
        <v>7.41</v>
      </c>
      <c r="N187" s="212">
        <v>99.28</v>
      </c>
      <c r="O187" s="213">
        <v>-3.5174092953364305E-4</v>
      </c>
      <c r="P187" s="214">
        <v>0.0013731844706349101</v>
      </c>
      <c r="Q187" s="214">
        <v>-0.0026515983207618943</v>
      </c>
      <c r="R187" s="214">
        <v>0.0018011939064570548</v>
      </c>
      <c r="S187" s="214">
        <v>-8.45254527927645E-4</v>
      </c>
    </row>
    <row r="188">
      <c r="A188" s="208">
        <v>43329.0</v>
      </c>
      <c r="B188" s="30">
        <v>0.10614069912334669</v>
      </c>
      <c r="C188" s="30">
        <v>0.040044414415753564</v>
      </c>
      <c r="D188" s="30">
        <v>0.14618511353910024</v>
      </c>
      <c r="E188" s="30">
        <v>-5.012328035095623E-4</v>
      </c>
      <c r="F188" s="210">
        <v>-524.770169630785</v>
      </c>
      <c r="G188" s="209">
        <v>32294.840751658223</v>
      </c>
      <c r="H188" s="210">
        <v>19238.832729370508</v>
      </c>
      <c r="I188" s="210">
        <v>6869.14585292027</v>
      </c>
      <c r="J188" s="215">
        <v>3.977</v>
      </c>
      <c r="K188" s="212">
        <v>47.37</v>
      </c>
      <c r="L188" s="212">
        <v>165.93</v>
      </c>
      <c r="M188" s="212">
        <v>7.41</v>
      </c>
      <c r="N188" s="212">
        <v>98.91</v>
      </c>
      <c r="O188" s="213">
        <v>8.978606008569479E-4</v>
      </c>
      <c r="P188" s="214">
        <v>-9.791266116497093E-4</v>
      </c>
      <c r="Q188" s="214">
        <v>-7.399316285476853E-4</v>
      </c>
      <c r="R188" s="214">
        <v>-0.004078498540399544</v>
      </c>
      <c r="S188" s="214">
        <v>-0.0064413284362961525</v>
      </c>
    </row>
    <row r="189">
      <c r="A189" s="208">
        <v>43328.0</v>
      </c>
      <c r="B189" s="30">
        <v>0.10847704447240984</v>
      </c>
      <c r="C189" s="30">
        <v>0.040083482137134786</v>
      </c>
      <c r="D189" s="30">
        <v>0.14856052660954464</v>
      </c>
      <c r="E189" s="30">
        <v>-0.002273905293610541</v>
      </c>
      <c r="F189" s="210">
        <v>-2273.1548850170875</v>
      </c>
      <c r="G189" s="209">
        <v>32819.61092128901</v>
      </c>
      <c r="H189" s="210">
        <v>19238.832729370508</v>
      </c>
      <c r="I189" s="210">
        <v>6869.14585292027</v>
      </c>
      <c r="J189" s="215">
        <v>3.962</v>
      </c>
      <c r="K189" s="212">
        <v>47.504</v>
      </c>
      <c r="L189" s="212">
        <v>165.94</v>
      </c>
      <c r="M189" s="212">
        <v>7.4</v>
      </c>
      <c r="N189" s="212">
        <v>99.02</v>
      </c>
      <c r="O189" s="213">
        <v>6.492044031107813E-4</v>
      </c>
      <c r="P189" s="214">
        <v>0.002195008086044855</v>
      </c>
      <c r="Q189" s="214">
        <v>4.6283000453484213E-4</v>
      </c>
      <c r="R189" s="214">
        <v>-0.0018616744288385927</v>
      </c>
      <c r="S189" s="214">
        <v>-0.004351555966158438</v>
      </c>
    </row>
    <row r="190">
      <c r="A190" s="208">
        <v>43327.0</v>
      </c>
      <c r="B190" s="30">
        <v>0.11872751319071409</v>
      </c>
      <c r="C190" s="30">
        <v>0.04012262616265933</v>
      </c>
      <c r="D190" s="30">
        <v>0.15885013935337342</v>
      </c>
      <c r="E190" s="30">
        <v>-2.0353365648355541E-4</v>
      </c>
      <c r="F190" s="210">
        <v>-235.5570376672913</v>
      </c>
      <c r="G190" s="209">
        <v>35092.765806306095</v>
      </c>
      <c r="H190" s="210">
        <v>19238.832729370508</v>
      </c>
      <c r="I190" s="210">
        <v>6869.14585292027</v>
      </c>
      <c r="J190" s="215">
        <v>3.997</v>
      </c>
      <c r="K190" s="212">
        <v>47.272</v>
      </c>
      <c r="L190" s="212">
        <v>167.31</v>
      </c>
      <c r="M190" s="212">
        <v>7.37</v>
      </c>
      <c r="N190" s="212">
        <v>99.53</v>
      </c>
      <c r="O190" s="213">
        <v>0.0032566338940825945</v>
      </c>
      <c r="P190" s="214">
        <v>-4.50089653820059E-4</v>
      </c>
      <c r="Q190" s="214">
        <v>0.003536695546529652</v>
      </c>
      <c r="R190" s="214">
        <v>-0.008589369866211505</v>
      </c>
      <c r="S190" s="214">
        <v>-0.007386666748398274</v>
      </c>
    </row>
    <row r="191">
      <c r="A191" s="208">
        <v>43326.0</v>
      </c>
      <c r="B191" s="30">
        <v>0.11975455992626087</v>
      </c>
      <c r="C191" s="30">
        <v>0.04016184671609302</v>
      </c>
      <c r="D191" s="30">
        <v>0.1599164066423539</v>
      </c>
      <c r="E191" s="30">
        <v>0.004360065045290208</v>
      </c>
      <c r="F191" s="210">
        <v>4281.6719254785385</v>
      </c>
      <c r="G191" s="209">
        <v>35328.32284397339</v>
      </c>
      <c r="H191" s="210">
        <v>19238.832729370508</v>
      </c>
      <c r="I191" s="210">
        <v>6869.14585292027</v>
      </c>
      <c r="J191" s="215">
        <v>3.966</v>
      </c>
      <c r="K191" s="212">
        <v>47.508</v>
      </c>
      <c r="L191" s="212">
        <v>166.29</v>
      </c>
      <c r="M191" s="212">
        <v>7.5</v>
      </c>
      <c r="N191" s="212">
        <v>100.83</v>
      </c>
      <c r="O191" s="213">
        <v>0.008672035347480215</v>
      </c>
      <c r="P191" s="214">
        <v>0.0036999189928108947</v>
      </c>
      <c r="Q191" s="214">
        <v>0.0074446951190676085</v>
      </c>
      <c r="R191" s="214">
        <v>0.001699493656482809</v>
      </c>
      <c r="S191" s="214">
        <v>0.0012918787880757583</v>
      </c>
    </row>
    <row r="192">
      <c r="A192" s="208">
        <v>43325.0</v>
      </c>
      <c r="B192" s="30">
        <v>0.10033394096037263</v>
      </c>
      <c r="C192" s="30">
        <v>0.04020114402207745</v>
      </c>
      <c r="D192" s="30">
        <v>0.14053508498245007</v>
      </c>
      <c r="E192" s="30">
        <v>-0.002827535259083948</v>
      </c>
      <c r="F192" s="210">
        <v>-2886.5101192577677</v>
      </c>
      <c r="G192" s="209">
        <v>31046.650918494848</v>
      </c>
      <c r="H192" s="210">
        <v>19238.832729370508</v>
      </c>
      <c r="I192" s="210">
        <v>6869.14585292027</v>
      </c>
      <c r="J192" s="215">
        <v>3.954</v>
      </c>
      <c r="K192" s="212">
        <v>47.19</v>
      </c>
      <c r="L192" s="212">
        <v>165.7</v>
      </c>
      <c r="M192" s="212">
        <v>7.44</v>
      </c>
      <c r="N192" s="212">
        <v>100.31</v>
      </c>
      <c r="O192" s="213">
        <v>0.009820680529691131</v>
      </c>
      <c r="P192" s="214">
        <v>0.0024833103794359435</v>
      </c>
      <c r="Q192" s="214">
        <v>0.007943142478542034</v>
      </c>
      <c r="R192" s="214">
        <v>-7.351796103286883E-5</v>
      </c>
      <c r="S192" s="214">
        <v>0.0016640305840807113</v>
      </c>
    </row>
    <row r="193">
      <c r="A193" s="208">
        <v>43322.0</v>
      </c>
      <c r="B193" s="30">
        <v>0.11328159928051887</v>
      </c>
      <c r="C193" s="30">
        <v>0.040319498714978565</v>
      </c>
      <c r="D193" s="30">
        <v>0.15360109799549743</v>
      </c>
      <c r="E193" s="30">
        <v>0.014858944085092909</v>
      </c>
      <c r="F193" s="210">
        <v>14711.25373820659</v>
      </c>
      <c r="G193" s="209">
        <v>33933.161037752616</v>
      </c>
      <c r="H193" s="210">
        <v>19238.832729370508</v>
      </c>
      <c r="I193" s="210">
        <v>6869.14585292027</v>
      </c>
      <c r="J193" s="215">
        <v>3.958</v>
      </c>
      <c r="K193" s="212">
        <v>47.334</v>
      </c>
      <c r="L193" s="212">
        <v>165.54</v>
      </c>
      <c r="M193" s="212">
        <v>7.56</v>
      </c>
      <c r="N193" s="212">
        <v>101.74</v>
      </c>
      <c r="O193" s="213">
        <v>0.009202533098783161</v>
      </c>
      <c r="P193" s="214">
        <v>0.0033367902755736534</v>
      </c>
      <c r="Q193" s="214">
        <v>0.007085535608494935</v>
      </c>
      <c r="R193" s="214">
        <v>0.0030626827558131176</v>
      </c>
      <c r="S193" s="214">
        <v>0.005380458350259391</v>
      </c>
    </row>
    <row r="194">
      <c r="A194" s="208">
        <v>43321.0</v>
      </c>
      <c r="B194" s="30">
        <v>0.046650356142579105</v>
      </c>
      <c r="C194" s="30">
        <v>0.04035910529524868</v>
      </c>
      <c r="D194" s="30">
        <v>0.08700946143782778</v>
      </c>
      <c r="E194" s="30">
        <v>0.006960278790708909</v>
      </c>
      <c r="F194" s="210">
        <v>6791.87992021392</v>
      </c>
      <c r="G194" s="209">
        <v>19221.907299546026</v>
      </c>
      <c r="H194" s="210">
        <v>19238.832729370508</v>
      </c>
      <c r="I194" s="210">
        <v>6869.14585292027</v>
      </c>
      <c r="J194" s="215">
        <v>3.863</v>
      </c>
      <c r="K194" s="212">
        <v>46.981</v>
      </c>
      <c r="L194" s="212">
        <v>162.59</v>
      </c>
      <c r="M194" s="212">
        <v>7.46</v>
      </c>
      <c r="N194" s="212">
        <v>100.42</v>
      </c>
      <c r="O194" s="213">
        <v>-0.0013096154841137537</v>
      </c>
      <c r="P194" s="214">
        <v>0.0016973848311166255</v>
      </c>
      <c r="Q194" s="214">
        <v>-3.358270262075654E-4</v>
      </c>
      <c r="R194" s="214">
        <v>-0.001346488320024597</v>
      </c>
      <c r="S194" s="214">
        <v>7.227086561424345E-4</v>
      </c>
    </row>
    <row r="195">
      <c r="A195" s="208">
        <v>43320.0</v>
      </c>
      <c r="B195" s="30">
        <v>0.015866697893814938</v>
      </c>
      <c r="C195" s="30">
        <v>0.04039878976456554</v>
      </c>
      <c r="D195" s="30">
        <v>0.05626548765838048</v>
      </c>
      <c r="E195" s="30">
        <v>-0.002092917335277462</v>
      </c>
      <c r="F195" s="210">
        <v>-2047.948729139538</v>
      </c>
      <c r="G195" s="209">
        <v>12430.027379332107</v>
      </c>
      <c r="H195" s="210">
        <v>19238.832729370508</v>
      </c>
      <c r="I195" s="210">
        <v>6869.14585292027</v>
      </c>
      <c r="J195" s="215">
        <v>3.838</v>
      </c>
      <c r="K195" s="212">
        <v>46.838</v>
      </c>
      <c r="L195" s="212">
        <v>161.77</v>
      </c>
      <c r="M195" s="212">
        <v>7.44</v>
      </c>
      <c r="N195" s="212">
        <v>99.79</v>
      </c>
      <c r="O195" s="213">
        <v>-8.881847476793769E-4</v>
      </c>
      <c r="P195" s="214">
        <v>0.0031573670333763606</v>
      </c>
      <c r="Q195" s="214">
        <v>-4.194049835983075E-4</v>
      </c>
      <c r="R195" s="214">
        <v>-9.050298845293773E-4</v>
      </c>
      <c r="S195" s="214">
        <v>-0.0025328462236087943</v>
      </c>
    </row>
    <row r="196">
      <c r="A196" s="208">
        <v>43319.0</v>
      </c>
      <c r="B196" s="30">
        <v>0.025097134833422557</v>
      </c>
      <c r="C196" s="30">
        <v>0.0404385523529165</v>
      </c>
      <c r="D196" s="30">
        <v>0.06553568718633905</v>
      </c>
      <c r="E196" s="30">
        <v>-0.003955628267148287</v>
      </c>
      <c r="F196" s="210">
        <v>-3233.3909654870513</v>
      </c>
      <c r="G196" s="209">
        <v>14477.976108471645</v>
      </c>
      <c r="H196" s="210">
        <v>19238.832729370508</v>
      </c>
      <c r="I196" s="210">
        <v>6869.14585292027</v>
      </c>
      <c r="J196" s="215">
        <v>3.849</v>
      </c>
      <c r="K196" s="212">
        <v>46.861</v>
      </c>
      <c r="L196" s="212">
        <v>162.03</v>
      </c>
      <c r="M196" s="212">
        <v>7.49</v>
      </c>
      <c r="N196" s="212">
        <v>100.1</v>
      </c>
      <c r="O196" s="213">
        <v>0.0017130505919614365</v>
      </c>
      <c r="P196" s="214">
        <v>0.005972199543757717</v>
      </c>
      <c r="Q196" s="214">
        <v>0.0012276519693877515</v>
      </c>
      <c r="R196" s="214">
        <v>0.0031224235829482674</v>
      </c>
      <c r="S196" s="214">
        <v>2.5966482565957055E-4</v>
      </c>
    </row>
    <row r="197">
      <c r="A197" s="208">
        <v>43318.0</v>
      </c>
      <c r="B197" s="30">
        <v>0.03969349009257376</v>
      </c>
      <c r="C197" s="30">
        <v>0.040478393291195236</v>
      </c>
      <c r="D197" s="30">
        <v>0.08017188338376899</v>
      </c>
      <c r="E197" s="30">
        <v>0.006430065556227211</v>
      </c>
      <c r="F197" s="210">
        <v>6264.557157083458</v>
      </c>
      <c r="G197" s="209">
        <v>17711.367073958696</v>
      </c>
      <c r="H197" s="210">
        <v>19238.832729370508</v>
      </c>
      <c r="I197" s="210">
        <v>6869.14585292027</v>
      </c>
      <c r="J197" s="215">
        <v>3.878</v>
      </c>
      <c r="K197" s="212">
        <v>46.742</v>
      </c>
      <c r="L197" s="212">
        <v>162.75</v>
      </c>
      <c r="M197" s="212">
        <v>7.49</v>
      </c>
      <c r="N197" s="212">
        <v>100.2</v>
      </c>
      <c r="O197" s="213">
        <v>0.00605267899881116</v>
      </c>
      <c r="P197" s="214">
        <v>0.006509000626952921</v>
      </c>
      <c r="Q197" s="214">
        <v>0.0046911424958678465</v>
      </c>
      <c r="R197" s="214">
        <v>0.006267077670998618</v>
      </c>
      <c r="S197" s="214">
        <v>9.259318386571902E-4</v>
      </c>
    </row>
    <row r="198">
      <c r="A198" s="208">
        <v>43315.0</v>
      </c>
      <c r="B198" s="30">
        <v>0.011216488659952556</v>
      </c>
      <c r="C198" s="30">
        <v>0.04059838852822446</v>
      </c>
      <c r="D198" s="30">
        <v>0.05181487718817702</v>
      </c>
      <c r="E198" s="30">
        <v>0.005005098160566388</v>
      </c>
      <c r="F198" s="210">
        <v>4879.014472655198</v>
      </c>
      <c r="G198" s="209">
        <v>11446.809916875238</v>
      </c>
      <c r="H198" s="210">
        <v>19238.832729370508</v>
      </c>
      <c r="I198" s="210">
        <v>6869.14585292027</v>
      </c>
      <c r="J198" s="215">
        <v>3.848</v>
      </c>
      <c r="K198" s="212">
        <v>46.395</v>
      </c>
      <c r="L198" s="212">
        <v>161.97</v>
      </c>
      <c r="M198" s="212">
        <v>7.46</v>
      </c>
      <c r="N198" s="212">
        <v>100.55</v>
      </c>
      <c r="O198" s="213">
        <v>0.0017233299306640415</v>
      </c>
      <c r="P198" s="214">
        <v>0.0050307512785616</v>
      </c>
      <c r="Q198" s="214">
        <v>0.0031974618264593766</v>
      </c>
      <c r="R198" s="214">
        <v>0.001303846272520152</v>
      </c>
      <c r="S198" s="214">
        <v>0.001723309594488039</v>
      </c>
    </row>
    <row r="199">
      <c r="A199" s="208">
        <v>43314.0</v>
      </c>
      <c r="B199" s="30">
        <v>-0.010908907258447457</v>
      </c>
      <c r="C199" s="30">
        <v>0.04063854519343537</v>
      </c>
      <c r="D199" s="30">
        <v>0.029729637934987913</v>
      </c>
      <c r="E199" s="30">
        <v>0.004930361932714623</v>
      </c>
      <c r="F199" s="210">
        <v>4791.453490378414</v>
      </c>
      <c r="G199" s="209">
        <v>6567.79544422004</v>
      </c>
      <c r="H199" s="210">
        <v>19238.832729370508</v>
      </c>
      <c r="I199" s="210">
        <v>6869.14585292027</v>
      </c>
      <c r="J199" s="215">
        <v>3.829</v>
      </c>
      <c r="K199" s="212">
        <v>46.026</v>
      </c>
      <c r="L199" s="212">
        <v>161.43</v>
      </c>
      <c r="M199" s="212">
        <v>7.42</v>
      </c>
      <c r="N199" s="212">
        <v>100.02</v>
      </c>
      <c r="O199" s="213">
        <v>0.001993162097047918</v>
      </c>
      <c r="P199" s="214">
        <v>0.0034518605171242425</v>
      </c>
      <c r="Q199" s="214">
        <v>0.0028549601093709556</v>
      </c>
      <c r="R199" s="214">
        <v>4.1379952101031997E-4</v>
      </c>
      <c r="S199" s="214">
        <v>3.295311780763625E-5</v>
      </c>
    </row>
    <row r="200">
      <c r="A200" s="208">
        <v>43313.0</v>
      </c>
      <c r="B200" s="30">
        <v>-0.032638031084714206</v>
      </c>
      <c r="C200" s="30">
        <v>0.0406787813767952</v>
      </c>
      <c r="D200" s="30">
        <v>0.008040750292080998</v>
      </c>
      <c r="E200" s="30">
        <v>-0.0026181042221789285</v>
      </c>
      <c r="F200" s="210">
        <v>-960.3205916210429</v>
      </c>
      <c r="G200" s="209">
        <v>1776.3419538416254</v>
      </c>
      <c r="H200" s="210">
        <v>19238.832729370508</v>
      </c>
      <c r="I200" s="210">
        <v>6869.14585292027</v>
      </c>
      <c r="J200" s="215">
        <v>3.808</v>
      </c>
      <c r="K200" s="212">
        <v>45.835</v>
      </c>
      <c r="L200" s="212">
        <v>160.47</v>
      </c>
      <c r="M200" s="212">
        <v>7.35</v>
      </c>
      <c r="N200" s="212">
        <v>99.92</v>
      </c>
      <c r="O200" s="213">
        <v>-0.0026375838658196558</v>
      </c>
      <c r="P200" s="214">
        <v>-0.0026367641858095294</v>
      </c>
      <c r="Q200" s="214">
        <v>-0.001147525253456405</v>
      </c>
      <c r="R200" s="214">
        <v>-0.003180697122145674</v>
      </c>
      <c r="S200" s="214">
        <v>-0.0023334435825209296</v>
      </c>
    </row>
    <row r="201">
      <c r="A201" s="208">
        <v>43312.0</v>
      </c>
      <c r="B201" s="30">
        <v>-0.02829106508480136</v>
      </c>
      <c r="C201" s="30">
        <v>0.0406787813767952</v>
      </c>
      <c r="D201" s="30">
        <v>0.012387716291993842</v>
      </c>
      <c r="E201" s="30">
        <v>0.0029556130585910332</v>
      </c>
      <c r="F201" s="210">
        <v>2779.9357793658637</v>
      </c>
      <c r="G201" s="209">
        <v>2736.6625454626683</v>
      </c>
      <c r="H201" s="210">
        <v>17970.885087645926</v>
      </c>
      <c r="I201" s="210">
        <v>6709.9234341846295</v>
      </c>
      <c r="J201" s="215">
        <v>3.828</v>
      </c>
      <c r="K201" s="212">
        <v>45.698</v>
      </c>
      <c r="L201" s="212">
        <v>160.42</v>
      </c>
      <c r="M201" s="212">
        <v>7.43</v>
      </c>
      <c r="N201" s="212">
        <v>100.03</v>
      </c>
      <c r="O201" s="213">
        <v>-1.9207726297010286E-4</v>
      </c>
      <c r="P201" s="214">
        <v>-0.004268094694941715</v>
      </c>
      <c r="Q201" s="214">
        <v>-8.994636702078415E-4</v>
      </c>
      <c r="R201" s="214">
        <v>4.4742079168658133E-4</v>
      </c>
      <c r="S201" s="214">
        <v>-0.002330890688817903</v>
      </c>
    </row>
    <row r="202">
      <c r="A202" s="208">
        <v>43311.0</v>
      </c>
      <c r="B202" s="30">
        <v>-0.04476676196123595</v>
      </c>
      <c r="C202" s="30">
        <v>0.04457088229550272</v>
      </c>
      <c r="D202" s="30">
        <v>-1.9587966573322846E-4</v>
      </c>
      <c r="E202" s="30">
        <v>-0.00794027208299974</v>
      </c>
      <c r="F202" s="210">
        <v>-8008.810143885387</v>
      </c>
      <c r="G202" s="209">
        <v>-43.27323390319537</v>
      </c>
      <c r="H202" s="210">
        <v>17970.885087645926</v>
      </c>
      <c r="I202" s="210">
        <v>6709.9234341846295</v>
      </c>
      <c r="J202" s="215">
        <v>3.806</v>
      </c>
      <c r="K202" s="212">
        <v>45.551</v>
      </c>
      <c r="L202" s="212">
        <v>160.05</v>
      </c>
      <c r="M202" s="212">
        <v>7.41</v>
      </c>
      <c r="N202" s="212">
        <v>100.01</v>
      </c>
      <c r="O202" s="213">
        <v>-0.0037613979116100462</v>
      </c>
      <c r="P202" s="214">
        <v>-0.0031580778003189223</v>
      </c>
      <c r="Q202" s="214">
        <v>-0.0022070831326460225</v>
      </c>
      <c r="R202" s="214">
        <v>0.0013471026380658853</v>
      </c>
      <c r="S202" s="214">
        <v>-0.0024306291249428145</v>
      </c>
    </row>
    <row r="203">
      <c r="A203" s="208">
        <v>43308.0</v>
      </c>
      <c r="B203" s="30">
        <v>-0.00869165523015001</v>
      </c>
      <c r="C203" s="30">
        <v>0.044748278841952475</v>
      </c>
      <c r="D203" s="30">
        <v>0.036056623611802466</v>
      </c>
      <c r="E203" s="30">
        <v>-8.540861288220167E-4</v>
      </c>
      <c r="F203" s="210">
        <v>-877.1024480066035</v>
      </c>
      <c r="G203" s="209">
        <v>7965.536909982192</v>
      </c>
      <c r="H203" s="210">
        <v>17970.885087645926</v>
      </c>
      <c r="I203" s="210">
        <v>6709.9234341846295</v>
      </c>
      <c r="J203" s="215">
        <v>3.838</v>
      </c>
      <c r="K203" s="212">
        <v>46.194</v>
      </c>
      <c r="L203" s="212">
        <v>161.02</v>
      </c>
      <c r="M203" s="212">
        <v>7.42</v>
      </c>
      <c r="N203" s="212">
        <v>100.62</v>
      </c>
      <c r="O203" s="213">
        <v>0.001725874489822199</v>
      </c>
      <c r="P203" s="214">
        <v>0.002467980962604773</v>
      </c>
      <c r="Q203" s="214">
        <v>0.0014683027164100377</v>
      </c>
      <c r="R203" s="214">
        <v>0.004055301110064136</v>
      </c>
      <c r="S203" s="214">
        <v>9.260400390586435E-4</v>
      </c>
    </row>
    <row r="204">
      <c r="A204" s="208">
        <v>43307.0</v>
      </c>
      <c r="B204" s="30">
        <v>-0.004765952641704611</v>
      </c>
      <c r="C204" s="30">
        <v>0.044792848840799045</v>
      </c>
      <c r="D204" s="30">
        <v>0.040026896199094435</v>
      </c>
      <c r="E204" s="30">
        <v>0.0034243188130746774</v>
      </c>
      <c r="F204" s="210">
        <v>3482.457966002221</v>
      </c>
      <c r="G204" s="209">
        <v>8842.639357988795</v>
      </c>
      <c r="H204" s="210">
        <v>17970.885087645926</v>
      </c>
      <c r="I204" s="210">
        <v>6709.9234341846295</v>
      </c>
      <c r="J204" s="215">
        <v>3.83</v>
      </c>
      <c r="K204" s="212">
        <v>46.282</v>
      </c>
      <c r="L204" s="212">
        <v>160.85</v>
      </c>
      <c r="M204" s="212">
        <v>7.42</v>
      </c>
      <c r="N204" s="212">
        <v>100.73</v>
      </c>
      <c r="O204" s="213">
        <v>0.0015549026353927076</v>
      </c>
      <c r="P204" s="214">
        <v>0.005712830237201742</v>
      </c>
      <c r="Q204" s="214">
        <v>0.0010332073726457096</v>
      </c>
      <c r="R204" s="214">
        <v>0.006329061910427887</v>
      </c>
      <c r="S204" s="214">
        <v>0.0020877365968734463</v>
      </c>
    </row>
    <row r="205">
      <c r="A205" s="208">
        <v>43306.0</v>
      </c>
      <c r="B205" s="30">
        <v>-0.020574228900059967</v>
      </c>
      <c r="C205" s="30">
        <v>0.044837507713023174</v>
      </c>
      <c r="D205" s="30">
        <v>0.024263278812963206</v>
      </c>
      <c r="E205" s="30">
        <v>0.004396395461449809</v>
      </c>
      <c r="F205" s="210">
        <v>4466.138809870006</v>
      </c>
      <c r="G205" s="209">
        <v>5360.181391986574</v>
      </c>
      <c r="H205" s="210">
        <v>17970.885087645926</v>
      </c>
      <c r="I205" s="210">
        <v>6709.9234341846295</v>
      </c>
      <c r="J205" s="215">
        <v>3.849</v>
      </c>
      <c r="K205" s="212">
        <v>45.979</v>
      </c>
      <c r="L205" s="212">
        <v>161.11</v>
      </c>
      <c r="M205" s="212">
        <v>7.38</v>
      </c>
      <c r="N205" s="212">
        <v>100.74</v>
      </c>
      <c r="O205" s="213">
        <v>-6.389846537962299E-4</v>
      </c>
      <c r="P205" s="214">
        <v>0.0029370584502497557</v>
      </c>
      <c r="Q205" s="214">
        <v>9.607358945588433E-5</v>
      </c>
      <c r="R205" s="214">
        <v>0.005447867633007197</v>
      </c>
      <c r="S205" s="214">
        <v>0.0010885273280325143</v>
      </c>
    </row>
    <row r="206">
      <c r="A206" s="208">
        <v>43305.0</v>
      </c>
      <c r="B206" s="30">
        <v>-0.04083530230015413</v>
      </c>
      <c r="C206" s="30">
        <v>0.04488225572471282</v>
      </c>
      <c r="D206" s="30">
        <v>0.004046953424558693</v>
      </c>
      <c r="E206" s="30">
        <v>-0.002469321514954386</v>
      </c>
      <c r="F206" s="210">
        <v>-1128.2448186488252</v>
      </c>
      <c r="G206" s="209">
        <v>894.0425821165682</v>
      </c>
      <c r="H206" s="210">
        <v>17970.885087645926</v>
      </c>
      <c r="I206" s="210">
        <v>6709.9234341846295</v>
      </c>
      <c r="J206" s="215">
        <v>3.818</v>
      </c>
      <c r="K206" s="212">
        <v>45.852</v>
      </c>
      <c r="L206" s="212">
        <v>160.31</v>
      </c>
      <c r="M206" s="212">
        <v>7.33</v>
      </c>
      <c r="N206" s="212">
        <v>100.34</v>
      </c>
      <c r="O206" s="213">
        <v>-0.009979957879943583</v>
      </c>
      <c r="P206" s="214">
        <v>-9.166105798417886E-4</v>
      </c>
      <c r="Q206" s="214">
        <v>-0.005305126216880692</v>
      </c>
      <c r="R206" s="214">
        <v>0.002271238070568319</v>
      </c>
      <c r="S206" s="214">
        <v>-1.6861736621365253E-4</v>
      </c>
    </row>
    <row r="207">
      <c r="A207" s="208">
        <v>43304.0</v>
      </c>
      <c r="B207" s="220">
        <v>-0.035818158599788125</v>
      </c>
      <c r="C207" s="220">
        <v>0.044972200124962745</v>
      </c>
      <c r="D207" s="220">
        <v>0.00915404152517462</v>
      </c>
      <c r="E207" s="220">
        <v>-0.002469321514954386</v>
      </c>
      <c r="F207" s="210">
        <v>-1128.2448186488252</v>
      </c>
      <c r="G207" s="209">
        <v>2022.2874007653934</v>
      </c>
      <c r="H207" s="210">
        <v>10661.922506173694</v>
      </c>
      <c r="I207" s="210">
        <v>7316.1039329759</v>
      </c>
      <c r="J207" s="215">
        <v>3.812</v>
      </c>
      <c r="K207" s="212">
        <v>45.493</v>
      </c>
      <c r="L207" s="212">
        <v>160.35</v>
      </c>
      <c r="M207" s="212">
        <v>7.28</v>
      </c>
      <c r="N207" s="212">
        <v>100.1</v>
      </c>
      <c r="O207" s="213">
        <v>-0.00872398049978984</v>
      </c>
      <c r="P207" s="214">
        <v>-0.0031566905743124116</v>
      </c>
      <c r="Q207" s="214">
        <v>-0.003707453712433676</v>
      </c>
      <c r="R207" s="214">
        <v>0.0018289791017063555</v>
      </c>
      <c r="S207" s="214">
        <v>-0.0022276524406981504</v>
      </c>
    </row>
    <row r="208">
      <c r="A208" s="208">
        <v>43301.0</v>
      </c>
      <c r="B208" s="30">
        <v>-0.03080101489942212</v>
      </c>
      <c r="C208" s="30">
        <v>0.04506214452521267</v>
      </c>
      <c r="D208" s="30">
        <v>0.014261129625790549</v>
      </c>
      <c r="E208" s="30">
        <v>-0.011099601525440586</v>
      </c>
      <c r="F208" s="210">
        <v>-7069.479014214974</v>
      </c>
      <c r="G208" s="209">
        <v>3150.5322194142186</v>
      </c>
      <c r="H208" s="210">
        <v>10661.922506173694</v>
      </c>
      <c r="I208" s="210">
        <v>7316.1039329759</v>
      </c>
      <c r="J208" s="215">
        <v>3.856</v>
      </c>
      <c r="K208" s="212">
        <v>45.574</v>
      </c>
      <c r="L208" s="212">
        <v>161.06</v>
      </c>
      <c r="M208" s="212">
        <v>7.26</v>
      </c>
      <c r="N208" s="212">
        <v>100.41</v>
      </c>
      <c r="O208" s="213">
        <v>-0.004280026023164944</v>
      </c>
      <c r="P208" s="214">
        <v>7.159523692427487E-5</v>
      </c>
      <c r="Q208" s="214">
        <v>-9.979376672875073E-4</v>
      </c>
      <c r="R208" s="214">
        <v>0.002294443655568671</v>
      </c>
      <c r="S208" s="214">
        <v>-6.660933620209475E-4</v>
      </c>
    </row>
    <row r="209">
      <c r="A209" s="208">
        <v>43300.0</v>
      </c>
      <c r="B209" s="30">
        <v>0.0011543350757814454</v>
      </c>
      <c r="C209" s="30">
        <v>0.0451073422629511</v>
      </c>
      <c r="D209" s="30">
        <v>0.04626167733873254</v>
      </c>
      <c r="E209" s="30">
        <v>0.0018260191553907843</v>
      </c>
      <c r="F209" s="210">
        <v>1166.324583172218</v>
      </c>
      <c r="G209" s="209">
        <v>10220.011233629193</v>
      </c>
      <c r="H209" s="210">
        <v>10661.922506173694</v>
      </c>
      <c r="I209" s="210">
        <v>7316.1039329759</v>
      </c>
      <c r="J209" s="215">
        <v>3.933</v>
      </c>
      <c r="K209" s="212">
        <v>45.975</v>
      </c>
      <c r="L209" s="212">
        <v>162.87</v>
      </c>
      <c r="M209" s="212">
        <v>7.28</v>
      </c>
      <c r="N209" s="212">
        <v>100.39</v>
      </c>
      <c r="O209" s="213">
        <v>0.0034005949844095515</v>
      </c>
      <c r="P209" s="214">
        <v>0.004292205075783724</v>
      </c>
      <c r="Q209" s="214">
        <v>0.0034084303603817423</v>
      </c>
      <c r="R209" s="214">
        <v>0.0027503964504447254</v>
      </c>
      <c r="S209" s="214">
        <v>-0.003018542875553846</v>
      </c>
    </row>
    <row r="210">
      <c r="A210" s="208">
        <v>43299.0</v>
      </c>
      <c r="B210" s="30">
        <v>-0.00417041254291843</v>
      </c>
      <c r="C210" s="30">
        <v>0.04515263075919904</v>
      </c>
      <c r="D210" s="30">
        <v>0.04098221821628061</v>
      </c>
      <c r="E210" s="30">
        <v>0.003104335351364045</v>
      </c>
      <c r="F210" s="210">
        <v>1989.4936390998</v>
      </c>
      <c r="G210" s="209">
        <v>9053.686650456975</v>
      </c>
      <c r="H210" s="210">
        <v>10661.922506173694</v>
      </c>
      <c r="I210" s="210">
        <v>7316.1039329759</v>
      </c>
      <c r="J210" s="215">
        <v>3.912</v>
      </c>
      <c r="K210" s="212">
        <v>45.924</v>
      </c>
      <c r="L210" s="212">
        <v>162.13</v>
      </c>
      <c r="M210" s="212">
        <v>7.24</v>
      </c>
      <c r="N210" s="212">
        <v>100.77</v>
      </c>
      <c r="O210" s="213">
        <v>-0.001461672553751699</v>
      </c>
      <c r="P210" s="214">
        <v>0.0020422288437963454</v>
      </c>
      <c r="Q210" s="214">
        <v>7.435722922732868E-5</v>
      </c>
      <c r="R210" s="214">
        <v>-0.003697910551878921</v>
      </c>
      <c r="S210" s="214">
        <v>-0.003764036241161469</v>
      </c>
    </row>
    <row r="211">
      <c r="A211" s="208">
        <v>43298.0</v>
      </c>
      <c r="B211" s="30">
        <v>-0.013221390078555162</v>
      </c>
      <c r="C211" s="30">
        <v>0.045198010287600246</v>
      </c>
      <c r="D211" s="30">
        <v>0.031976620209045084</v>
      </c>
      <c r="E211" s="30">
        <v>0.00267135972671557</v>
      </c>
      <c r="F211" s="210">
        <v>1709.1239146191765</v>
      </c>
      <c r="G211" s="209">
        <v>7064.193011357175</v>
      </c>
      <c r="H211" s="210">
        <v>10661.922506173694</v>
      </c>
      <c r="I211" s="210">
        <v>7316.1039329759</v>
      </c>
      <c r="J211" s="215">
        <v>3.905</v>
      </c>
      <c r="K211" s="212">
        <v>45.561</v>
      </c>
      <c r="L211" s="212">
        <v>161.53</v>
      </c>
      <c r="M211" s="212">
        <v>7.21</v>
      </c>
      <c r="N211" s="212">
        <v>100.61</v>
      </c>
      <c r="O211" s="213">
        <v>-7.855394599114071E-4</v>
      </c>
      <c r="P211" s="214">
        <v>0.0014742960270744214</v>
      </c>
      <c r="Q211" s="214">
        <v>-2.955030760369108E-4</v>
      </c>
      <c r="R211" s="214">
        <v>-0.0028022589905267736</v>
      </c>
      <c r="S211" s="214">
        <v>-0.00527455226025871</v>
      </c>
    </row>
    <row r="212">
      <c r="A212" s="208">
        <v>43297.0</v>
      </c>
      <c r="B212" s="30">
        <v>-0.021003343512802402</v>
      </c>
      <c r="C212" s="30">
        <v>0.04524348112289964</v>
      </c>
      <c r="D212" s="30">
        <v>0.024240137610097235</v>
      </c>
      <c r="E212" s="30">
        <v>-0.007522455939933409</v>
      </c>
      <c r="F212" s="210">
        <v>-4673.363409837996</v>
      </c>
      <c r="G212" s="209">
        <v>5355.069096737999</v>
      </c>
      <c r="H212" s="210">
        <v>9083.742506173701</v>
      </c>
      <c r="I212" s="210">
        <v>6489.4668433701645</v>
      </c>
      <c r="J212" s="215">
        <v>3.893</v>
      </c>
      <c r="K212" s="212">
        <v>45.385</v>
      </c>
      <c r="L212" s="212">
        <v>161.21</v>
      </c>
      <c r="M212" s="212">
        <v>7.22</v>
      </c>
      <c r="N212" s="212">
        <v>101.3</v>
      </c>
      <c r="O212" s="213">
        <v>-6.175661036000127E-4</v>
      </c>
      <c r="P212" s="214">
        <v>0.0027955196219692593</v>
      </c>
      <c r="Q212" s="214">
        <v>2.3999650570138975E-4</v>
      </c>
      <c r="R212" s="214">
        <v>-0.005090969776720226</v>
      </c>
      <c r="S212" s="214">
        <v>-0.0017166059917666694</v>
      </c>
    </row>
    <row r="213">
      <c r="A213" s="208">
        <v>43294.0</v>
      </c>
      <c r="B213" s="30">
        <v>1.4037065896173973E-5</v>
      </c>
      <c r="C213" s="30">
        <v>0.04538044423427068</v>
      </c>
      <c r="D213" s="30">
        <v>0.04539448130016685</v>
      </c>
      <c r="E213" s="30">
        <v>0.0027726138030923345</v>
      </c>
      <c r="F213" s="210">
        <v>1580.8162964674411</v>
      </c>
      <c r="G213" s="209">
        <v>10028.432506575995</v>
      </c>
      <c r="H213" s="210">
        <v>9083.742506173701</v>
      </c>
      <c r="I213" s="210">
        <v>6489.4668433701645</v>
      </c>
      <c r="J213" s="215">
        <v>3.929</v>
      </c>
      <c r="K213" s="212">
        <v>45.641</v>
      </c>
      <c r="L213" s="212">
        <v>162.09</v>
      </c>
      <c r="M213" s="212">
        <v>7.32</v>
      </c>
      <c r="N213" s="212">
        <v>101.91</v>
      </c>
      <c r="O213" s="213">
        <v>0.0034905306117404646</v>
      </c>
      <c r="P213" s="214">
        <v>0.0033498921399294592</v>
      </c>
      <c r="Q213" s="214">
        <v>0.0026803403172084663</v>
      </c>
      <c r="R213" s="214">
        <v>-0.005021686206625982</v>
      </c>
      <c r="S213" s="214">
        <v>-0.0016081423854400108</v>
      </c>
    </row>
    <row r="214">
      <c r="A214" s="208">
        <v>43293.0</v>
      </c>
      <c r="B214" s="30">
        <v>-0.007187489932479689</v>
      </c>
      <c r="C214" s="30">
        <v>0.045426283066830546</v>
      </c>
      <c r="D214" s="30">
        <v>0.03823879313435086</v>
      </c>
      <c r="E214" s="30">
        <v>0.0030860621165356584</v>
      </c>
      <c r="F214" s="210">
        <v>1759.1450364541115</v>
      </c>
      <c r="G214" s="209">
        <v>8447.616210108554</v>
      </c>
      <c r="H214" s="210">
        <v>9083.742506173701</v>
      </c>
      <c r="I214" s="210">
        <v>6489.4668433701645</v>
      </c>
      <c r="J214" s="215">
        <v>3.914</v>
      </c>
      <c r="K214" s="212">
        <v>45.358</v>
      </c>
      <c r="L214" s="212">
        <v>161.67</v>
      </c>
      <c r="M214" s="212">
        <v>7.27</v>
      </c>
      <c r="N214" s="212">
        <v>102.21</v>
      </c>
      <c r="O214" s="213">
        <v>0.002389409930903826</v>
      </c>
      <c r="P214" s="214">
        <v>0.0032749807405822264</v>
      </c>
      <c r="Q214" s="214">
        <v>0.0021483182158796485</v>
      </c>
      <c r="R214" s="214">
        <v>-0.008195816584383694</v>
      </c>
      <c r="S214" s="214">
        <v>-0.0017336552460522903</v>
      </c>
    </row>
    <row r="215">
      <c r="A215" s="208">
        <v>43292.0</v>
      </c>
      <c r="B215" s="30">
        <v>-0.01519632856767159</v>
      </c>
      <c r="C215" s="30">
        <v>0.045472214596726235</v>
      </c>
      <c r="D215" s="30">
        <v>0.030275886029054642</v>
      </c>
      <c r="E215" s="30">
        <v>7.043684693068704E-4</v>
      </c>
      <c r="F215" s="210">
        <v>395.8486231353618</v>
      </c>
      <c r="G215" s="209">
        <v>6688.471173654442</v>
      </c>
      <c r="H215" s="210">
        <v>9083.742506173701</v>
      </c>
      <c r="I215" s="210">
        <v>6489.4668433701645</v>
      </c>
      <c r="J215" s="215">
        <v>3.9</v>
      </c>
      <c r="K215" s="212">
        <v>45.003</v>
      </c>
      <c r="L215" s="212">
        <v>161.09</v>
      </c>
      <c r="M215" s="212">
        <v>7.33</v>
      </c>
      <c r="N215" s="212">
        <v>101.82</v>
      </c>
      <c r="O215" s="213">
        <v>-1.7533931460467223E-4</v>
      </c>
      <c r="P215" s="214">
        <v>0.003471592441923965</v>
      </c>
      <c r="Q215" s="214">
        <v>4.3367598859052797E-4</v>
      </c>
      <c r="R215" s="214">
        <v>-0.004102503068325196</v>
      </c>
      <c r="S215" s="214">
        <v>-0.0010913293327922495</v>
      </c>
    </row>
    <row r="216">
      <c r="A216" s="208">
        <v>43291.0</v>
      </c>
      <c r="B216" s="30">
        <v>-0.017034192719191477</v>
      </c>
      <c r="C216" s="30">
        <v>0.04551823910542738</v>
      </c>
      <c r="D216" s="30">
        <v>0.0284840463862359</v>
      </c>
      <c r="E216" s="30">
        <v>0.0013361916263893415</v>
      </c>
      <c r="F216" s="210">
        <v>757.6433981897881</v>
      </c>
      <c r="G216" s="209">
        <v>6292.6225505190805</v>
      </c>
      <c r="H216" s="210">
        <v>9083.742506173701</v>
      </c>
      <c r="I216" s="210">
        <v>6489.4668433701645</v>
      </c>
      <c r="J216" s="215">
        <v>3.888</v>
      </c>
      <c r="K216" s="212">
        <v>45.182</v>
      </c>
      <c r="L216" s="212">
        <v>160.79</v>
      </c>
      <c r="M216" s="212">
        <v>7.43</v>
      </c>
      <c r="N216" s="212">
        <v>102.4</v>
      </c>
      <c r="O216" s="213">
        <v>-0.002311521942842639</v>
      </c>
      <c r="P216" s="214">
        <v>0.006938116495349774</v>
      </c>
      <c r="Q216" s="214">
        <v>-0.0017824870195968605</v>
      </c>
      <c r="R216" s="214">
        <v>-0.0013519266607692944</v>
      </c>
      <c r="S216" s="214">
        <v>-0.001998884275324575</v>
      </c>
    </row>
    <row r="217">
      <c r="A217" s="208">
        <v>43290.0</v>
      </c>
      <c r="B217" s="30">
        <v>-0.020509842377643774</v>
      </c>
      <c r="C217" s="30">
        <v>0.045564356875544325</v>
      </c>
      <c r="D217" s="30">
        <v>0.02505451449790055</v>
      </c>
      <c r="E217" s="30">
        <v>0.0010687543473265765</v>
      </c>
      <c r="F217" s="210">
        <v>981.9736378905391</v>
      </c>
      <c r="G217" s="209">
        <v>5534.979152329292</v>
      </c>
      <c r="H217" s="210">
        <v>9083.742506173701</v>
      </c>
      <c r="I217" s="210">
        <v>6489.4668433701645</v>
      </c>
      <c r="J217" s="215">
        <v>3.886</v>
      </c>
      <c r="K217" s="212">
        <v>44.912</v>
      </c>
      <c r="L217" s="212">
        <v>160.63</v>
      </c>
      <c r="M217" s="212">
        <v>7.45</v>
      </c>
      <c r="N217" s="212">
        <v>102.74</v>
      </c>
      <c r="O217" s="213">
        <v>-0.0023127044791464435</v>
      </c>
      <c r="P217" s="214">
        <v>0.0042455761638220775</v>
      </c>
      <c r="Q217" s="214">
        <v>-0.003557630384093846</v>
      </c>
      <c r="R217" s="214">
        <v>-0.0017951458877035753</v>
      </c>
      <c r="S217" s="214">
        <v>-0.0018952522958241753</v>
      </c>
    </row>
    <row r="218">
      <c r="A218" s="208">
        <v>43287.0</v>
      </c>
      <c r="B218" s="30">
        <v>-0.025604417150991283</v>
      </c>
      <c r="C218" s="30">
        <v>0.0462139514475245</v>
      </c>
      <c r="D218" s="30">
        <v>0.020609534296533217</v>
      </c>
      <c r="E218" s="30">
        <v>-0.0012504394031402953</v>
      </c>
      <c r="F218" s="210">
        <v>-720.7178014481042</v>
      </c>
      <c r="G218" s="209">
        <v>4553.005514438753</v>
      </c>
      <c r="H218" s="210">
        <v>9083.742506173701</v>
      </c>
      <c r="I218" s="210">
        <v>6489.4668433701645</v>
      </c>
      <c r="J218" s="215">
        <v>3.902</v>
      </c>
      <c r="K218" s="212">
        <v>44.534</v>
      </c>
      <c r="L218" s="212">
        <v>160.88</v>
      </c>
      <c r="M218" s="212">
        <v>7.42</v>
      </c>
      <c r="N218" s="212">
        <v>102.15</v>
      </c>
      <c r="O218" s="213">
        <v>-7.698841114449628E-4</v>
      </c>
      <c r="P218" s="214">
        <v>3.50052818272754E-4</v>
      </c>
      <c r="Q218" s="214">
        <v>-0.0025460772386836084</v>
      </c>
      <c r="R218" s="214">
        <v>-0.003137427766898219</v>
      </c>
      <c r="S218" s="214">
        <v>-0.0032610115479363433</v>
      </c>
    </row>
    <row r="219">
      <c r="A219" s="208">
        <v>43286.0</v>
      </c>
      <c r="B219" s="30">
        <v>-0.02238904502950858</v>
      </c>
      <c r="C219" s="30">
        <v>0.046260964622954336</v>
      </c>
      <c r="D219" s="30">
        <v>0.023871919593445756</v>
      </c>
      <c r="E219" s="30">
        <v>-0.001021206223919431</v>
      </c>
      <c r="F219" s="210">
        <v>185.01502602990786</v>
      </c>
      <c r="G219" s="209">
        <v>5273.723315886858</v>
      </c>
      <c r="H219" s="210">
        <v>9083.742506173701</v>
      </c>
      <c r="I219" s="210">
        <v>6489.4668433701645</v>
      </c>
      <c r="J219" s="215">
        <v>3.915</v>
      </c>
      <c r="K219" s="212">
        <v>44.248</v>
      </c>
      <c r="L219" s="212">
        <v>161.65</v>
      </c>
      <c r="M219" s="212">
        <v>7.46</v>
      </c>
      <c r="N219" s="212">
        <v>103.01</v>
      </c>
      <c r="O219" s="213">
        <v>2.5542779712665425E-4</v>
      </c>
      <c r="P219" s="214">
        <v>-4.3440177524430484E-4</v>
      </c>
      <c r="Q219" s="214">
        <v>-0.0019171072049222193</v>
      </c>
      <c r="R219" s="214">
        <v>-0.0035656717148035977</v>
      </c>
      <c r="S219" s="214">
        <v>0.0011287735277750361</v>
      </c>
    </row>
    <row r="220">
      <c r="A220" s="208">
        <v>43285.0</v>
      </c>
      <c r="B220" s="30">
        <v>-0.01975871821550624</v>
      </c>
      <c r="C220" s="30">
        <v>0.042793152874605854</v>
      </c>
      <c r="D220" s="30">
        <v>0.023034434659099615</v>
      </c>
      <c r="E220" s="30">
        <v>-9.224676061348955E-4</v>
      </c>
      <c r="F220" s="210">
        <v>-535.7361233810925</v>
      </c>
      <c r="G220" s="209">
        <v>5088.70828985695</v>
      </c>
      <c r="H220" s="210">
        <v>9083.742506173701</v>
      </c>
      <c r="I220" s="210">
        <v>6489.4668433701645</v>
      </c>
      <c r="J220" s="215">
        <v>3.913</v>
      </c>
      <c r="K220" s="212">
        <v>44.341</v>
      </c>
      <c r="L220" s="212">
        <v>162.35</v>
      </c>
      <c r="M220" s="212">
        <v>7.49</v>
      </c>
      <c r="N220" s="212">
        <v>103.32</v>
      </c>
      <c r="O220" s="213">
        <v>0.0010224295496018554</v>
      </c>
      <c r="P220" s="214">
        <v>-0.0015394704129078802</v>
      </c>
      <c r="Q220" s="214">
        <v>0.00141259144456507</v>
      </c>
      <c r="R220" s="214">
        <v>-0.005761882332942614</v>
      </c>
      <c r="S220" s="214">
        <v>0.0020994427407221203</v>
      </c>
    </row>
    <row r="221">
      <c r="A221" s="208">
        <v>43284.0</v>
      </c>
      <c r="B221" s="30">
        <v>-0.017377288871097348</v>
      </c>
      <c r="C221" s="30">
        <v>0.04283677484491636</v>
      </c>
      <c r="D221" s="30">
        <v>0.025459485973819012</v>
      </c>
      <c r="E221" s="30">
        <v>0.0015848820404775075</v>
      </c>
      <c r="F221" s="210">
        <v>907.5509268648611</v>
      </c>
      <c r="G221" s="209">
        <v>5624.444413238042</v>
      </c>
      <c r="H221" s="210">
        <v>9083.742506173701</v>
      </c>
      <c r="I221" s="210">
        <v>6489.4668433701645</v>
      </c>
      <c r="J221" s="215">
        <v>3.911</v>
      </c>
      <c r="K221" s="212">
        <v>44.486</v>
      </c>
      <c r="L221" s="212">
        <v>162.11</v>
      </c>
      <c r="M221" s="212">
        <v>7.49</v>
      </c>
      <c r="N221" s="212">
        <v>103.15</v>
      </c>
      <c r="O221" s="213">
        <v>-0.0011986989301483824</v>
      </c>
      <c r="P221" s="214">
        <v>5.00916481853871E-4</v>
      </c>
      <c r="Q221" s="214">
        <v>-0.0020287463044583363</v>
      </c>
      <c r="R221" s="214">
        <v>-0.006199327652277671</v>
      </c>
      <c r="S221" s="214">
        <v>-6.89202131724224E-4</v>
      </c>
    </row>
    <row r="222">
      <c r="A222" s="208">
        <v>43283.0</v>
      </c>
      <c r="B222" s="30">
        <v>-0.02152909986566267</v>
      </c>
      <c r="C222" s="30">
        <v>0.04288048583965607</v>
      </c>
      <c r="D222" s="30">
        <v>0.0213513859739934</v>
      </c>
      <c r="E222" s="30">
        <v>-9.162127632499735E-4</v>
      </c>
      <c r="F222" s="210">
        <v>26.883321853822054</v>
      </c>
      <c r="G222" s="209">
        <v>4716.893486373181</v>
      </c>
      <c r="H222" s="210">
        <v>9083.742506173701</v>
      </c>
      <c r="I222" s="210">
        <v>6489.4668433701645</v>
      </c>
      <c r="J222" s="215">
        <v>3.912</v>
      </c>
      <c r="K222" s="212">
        <v>44.305</v>
      </c>
      <c r="L222" s="212">
        <v>162.58</v>
      </c>
      <c r="M222" s="212">
        <v>7.54</v>
      </c>
      <c r="N222" s="212">
        <v>102.66</v>
      </c>
      <c r="O222" s="213">
        <v>-4.340637159531517E-4</v>
      </c>
      <c r="P222" s="214">
        <v>-0.0031967085702096685</v>
      </c>
      <c r="Q222" s="214">
        <v>-7.353065255797745E-4</v>
      </c>
      <c r="R222" s="214">
        <v>-0.004411010507705686</v>
      </c>
      <c r="S222" s="214">
        <v>-0.002885401745840325</v>
      </c>
    </row>
    <row r="223">
      <c r="A223" s="208">
        <v>43280.0</v>
      </c>
      <c r="B223" s="30">
        <v>-0.023461005539590785</v>
      </c>
      <c r="C223" s="30">
        <v>0.04469070206207923</v>
      </c>
      <c r="D223" s="30">
        <v>0.021229696522488444</v>
      </c>
      <c r="E223" s="30">
        <v>-0.0062184452906430465</v>
      </c>
      <c r="F223" s="210">
        <v>-357.34123816326246</v>
      </c>
      <c r="G223" s="209">
        <v>4690.010164519359</v>
      </c>
      <c r="H223" s="210">
        <v>9083.742506173701</v>
      </c>
      <c r="I223" s="210">
        <v>6489.4668433701645</v>
      </c>
      <c r="J223" s="215">
        <v>3.901</v>
      </c>
      <c r="K223" s="212">
        <v>44.545</v>
      </c>
      <c r="L223" s="212">
        <v>161.66</v>
      </c>
      <c r="M223" s="212">
        <v>7.62</v>
      </c>
      <c r="N223" s="212">
        <v>102.67</v>
      </c>
      <c r="O223" s="213">
        <v>0.0032240028907438343</v>
      </c>
      <c r="P223" s="214">
        <v>0.002118905284961059</v>
      </c>
      <c r="Q223" s="214">
        <v>6.109146258043522E-4</v>
      </c>
      <c r="R223" s="214">
        <v>0.004797584952920782</v>
      </c>
      <c r="S223" s="214">
        <v>-0.002466645286992216</v>
      </c>
    </row>
    <row r="224">
      <c r="A224" s="208">
        <v>43279.0</v>
      </c>
      <c r="B224" s="30">
        <v>-0.00659594949397851</v>
      </c>
      <c r="C224" s="30">
        <v>0.02944317898016231</v>
      </c>
      <c r="D224" s="30">
        <v>0.022847229486183798</v>
      </c>
      <c r="E224" s="30">
        <v>-0.0013675462055778552</v>
      </c>
      <c r="F224" s="210">
        <v>-831.6737792731547</v>
      </c>
      <c r="G224" s="209">
        <v>5047.3514026826215</v>
      </c>
      <c r="H224" s="210">
        <v>9083.742506173701</v>
      </c>
      <c r="I224" s="210">
        <v>6489.4668433701645</v>
      </c>
      <c r="J224" s="215">
        <v>3.925</v>
      </c>
      <c r="K224" s="212">
        <v>44.418</v>
      </c>
      <c r="L224" s="212">
        <v>163.09</v>
      </c>
      <c r="M224" s="212">
        <v>7.63</v>
      </c>
      <c r="N224" s="212">
        <v>103.36</v>
      </c>
      <c r="O224" s="213">
        <v>0.005447336551226571</v>
      </c>
      <c r="P224" s="214">
        <v>0.00323216586591372</v>
      </c>
      <c r="Q224" s="214">
        <v>0.004137942463971885</v>
      </c>
      <c r="R224" s="214">
        <v>0.005678882913179084</v>
      </c>
      <c r="S224" s="214">
        <v>-0.0013222074179800591</v>
      </c>
    </row>
    <row r="225">
      <c r="A225" s="208">
        <v>43278.0</v>
      </c>
      <c r="B225" s="30">
        <v>-0.002861511448448627</v>
      </c>
      <c r="C225" s="30">
        <v>0.029473377112449652</v>
      </c>
      <c r="D225" s="30">
        <v>0.026611865664001026</v>
      </c>
      <c r="E225" s="30">
        <v>0.011888307456831304</v>
      </c>
      <c r="F225" s="210">
        <v>7195.9878168666355</v>
      </c>
      <c r="G225" s="209">
        <v>5879.025181955776</v>
      </c>
      <c r="H225" s="210">
        <v>9083.742506173701</v>
      </c>
      <c r="I225" s="210">
        <v>6489.4668433701645</v>
      </c>
      <c r="J225" s="215">
        <v>3.917</v>
      </c>
      <c r="K225" s="212">
        <v>44.73</v>
      </c>
      <c r="L225" s="212">
        <v>162.93</v>
      </c>
      <c r="M225" s="212">
        <v>7.64</v>
      </c>
      <c r="N225" s="212">
        <v>103.55</v>
      </c>
      <c r="O225" s="213">
        <v>0.004767931031056734</v>
      </c>
      <c r="P225" s="214">
        <v>-0.0023609641380607505</v>
      </c>
      <c r="Q225" s="214">
        <v>0.0031486867115667616</v>
      </c>
      <c r="R225" s="214">
        <v>0.0012268660207952475</v>
      </c>
      <c r="S225" s="214">
        <v>-0.0017373766175863652</v>
      </c>
    </row>
    <row r="226">
      <c r="A226" s="208">
        <v>43277.0</v>
      </c>
      <c r="B226" s="30">
        <v>-0.03546497125674445</v>
      </c>
      <c r="C226" s="30">
        <v>0.02950363725322219</v>
      </c>
      <c r="D226" s="30">
        <v>-0.005961334003522261</v>
      </c>
      <c r="E226" s="30">
        <v>0.0030416813770725018</v>
      </c>
      <c r="F226" s="210">
        <v>1823.9887702409983</v>
      </c>
      <c r="G226" s="209">
        <v>-1316.9626349108594</v>
      </c>
      <c r="H226" s="210">
        <v>9083.742506173701</v>
      </c>
      <c r="I226" s="210">
        <v>6489.4668433701645</v>
      </c>
      <c r="J226" s="215">
        <v>3.863</v>
      </c>
      <c r="K226" s="212">
        <v>44.259</v>
      </c>
      <c r="L226" s="212">
        <v>161.35</v>
      </c>
      <c r="M226" s="212">
        <v>7.51</v>
      </c>
      <c r="N226" s="212">
        <v>103.43</v>
      </c>
      <c r="O226" s="213">
        <v>-1.7275623453901398E-4</v>
      </c>
      <c r="P226" s="214">
        <v>-0.00621141132682886</v>
      </c>
      <c r="Q226" s="214">
        <v>-8.479797057141525E-4</v>
      </c>
      <c r="R226" s="214">
        <v>-0.0026929556522582443</v>
      </c>
      <c r="S226" s="214">
        <v>-0.0036607947642065173</v>
      </c>
    </row>
    <row r="227">
      <c r="A227" s="208">
        <v>43276.0</v>
      </c>
      <c r="B227" s="30">
        <v>-0.04375172091702508</v>
      </c>
      <c r="C227" s="30">
        <v>0.029533959593667433</v>
      </c>
      <c r="D227" s="30">
        <v>-0.014217761323357649</v>
      </c>
      <c r="E227" s="30">
        <v>-0.008079244482340323</v>
      </c>
      <c r="F227" s="210">
        <v>-4709.12212674247</v>
      </c>
      <c r="G227" s="209">
        <v>-3140.9514051518577</v>
      </c>
      <c r="H227" s="210">
        <v>9083.742506173701</v>
      </c>
      <c r="I227" s="210">
        <v>6489.4668433701645</v>
      </c>
      <c r="J227" s="215">
        <v>3.861</v>
      </c>
      <c r="K227" s="212">
        <v>43.985</v>
      </c>
      <c r="L227" s="212">
        <v>161.07</v>
      </c>
      <c r="M227" s="212">
        <v>7.5</v>
      </c>
      <c r="N227" s="212">
        <v>103.77</v>
      </c>
      <c r="O227" s="213">
        <v>-0.0012077743858684247</v>
      </c>
      <c r="P227" s="214">
        <v>-0.011388144180906353</v>
      </c>
      <c r="Q227" s="214">
        <v>-0.0019415988467177403</v>
      </c>
      <c r="R227" s="214">
        <v>-0.0031368082931814514</v>
      </c>
      <c r="S227" s="214">
        <v>-0.004892035521429398</v>
      </c>
    </row>
    <row r="228">
      <c r="A228" s="208">
        <v>43273.0</v>
      </c>
      <c r="B228" s="30">
        <v>-0.022526854751128988</v>
      </c>
      <c r="C228" s="30">
        <v>0.02962530173674063</v>
      </c>
      <c r="D228" s="30">
        <v>0.007098446985611642</v>
      </c>
      <c r="E228" s="30">
        <v>-0.002066866955970422</v>
      </c>
      <c r="F228" s="210">
        <v>-1251.2506910588531</v>
      </c>
      <c r="G228" s="209">
        <v>1568.1707215906117</v>
      </c>
      <c r="H228" s="210">
        <v>9083.742506173701</v>
      </c>
      <c r="I228" s="210">
        <v>6489.4668433701645</v>
      </c>
      <c r="J228" s="215">
        <v>3.861</v>
      </c>
      <c r="K228" s="212">
        <v>45.032</v>
      </c>
      <c r="L228" s="212">
        <v>161.39</v>
      </c>
      <c r="M228" s="212">
        <v>7.61</v>
      </c>
      <c r="N228" s="212">
        <v>104.09</v>
      </c>
      <c r="O228" s="213">
        <v>-0.003100247504147946</v>
      </c>
      <c r="P228" s="214">
        <v>-0.0022594556084866526</v>
      </c>
      <c r="Q228" s="214">
        <v>-0.0022463793931448706</v>
      </c>
      <c r="R228" s="214">
        <v>0.001752080595707417</v>
      </c>
      <c r="S228" s="214">
        <v>-0.004212332683106501</v>
      </c>
    </row>
    <row r="229">
      <c r="A229" s="208">
        <v>43272.0</v>
      </c>
      <c r="B229" s="30">
        <v>-0.016893544049476815</v>
      </c>
      <c r="C229" s="30">
        <v>0.02965587480354841</v>
      </c>
      <c r="D229" s="30">
        <v>0.012762330754071596</v>
      </c>
      <c r="E229" s="30">
        <v>-0.005576682087729457</v>
      </c>
      <c r="F229" s="210">
        <v>-3385.030102091831</v>
      </c>
      <c r="G229" s="209">
        <v>2819.421412649465</v>
      </c>
      <c r="H229" s="210">
        <v>9083.742506173701</v>
      </c>
      <c r="I229" s="210">
        <v>6489.4668433701645</v>
      </c>
      <c r="J229" s="215">
        <v>3.865</v>
      </c>
      <c r="K229" s="212">
        <v>45.078</v>
      </c>
      <c r="L229" s="212">
        <v>161.76</v>
      </c>
      <c r="M229" s="212">
        <v>7.57</v>
      </c>
      <c r="N229" s="212">
        <v>104.57</v>
      </c>
      <c r="O229" s="213">
        <v>1.5330617280836142E-4</v>
      </c>
      <c r="P229" s="214">
        <v>-0.0028012580412049015</v>
      </c>
      <c r="Q229" s="214">
        <v>5.488342037493302E-4</v>
      </c>
      <c r="R229" s="214">
        <v>-0.00440334654337297</v>
      </c>
      <c r="S229" s="214">
        <v>-0.0028965592268833293</v>
      </c>
    </row>
    <row r="230">
      <c r="A230" s="208">
        <v>43271.0</v>
      </c>
      <c r="B230" s="30">
        <v>-0.0016015777166122809</v>
      </c>
      <c r="C230" s="30">
        <v>0.029686511037849597</v>
      </c>
      <c r="D230" s="30">
        <v>0.028084933321237317</v>
      </c>
      <c r="E230" s="30">
        <v>-6.041643882001327E-4</v>
      </c>
      <c r="F230" s="210">
        <v>-216.04244143950564</v>
      </c>
      <c r="G230" s="209">
        <v>6204.451514741296</v>
      </c>
      <c r="H230" s="210">
        <v>9083.742506173701</v>
      </c>
      <c r="I230" s="210">
        <v>6489.4668433701645</v>
      </c>
      <c r="J230" s="215">
        <v>3.875</v>
      </c>
      <c r="K230" s="212">
        <v>45.499</v>
      </c>
      <c r="L230" s="212">
        <v>162.01</v>
      </c>
      <c r="M230" s="212">
        <v>7.57</v>
      </c>
      <c r="N230" s="212">
        <v>105.3</v>
      </c>
      <c r="O230" s="213">
        <v>1.5285965936947163E-4</v>
      </c>
      <c r="P230" s="214">
        <v>0.0010745066605325482</v>
      </c>
      <c r="Q230" s="214">
        <v>0.0011259240444692065</v>
      </c>
      <c r="R230" s="214">
        <v>-0.004837940198305635</v>
      </c>
      <c r="S230" s="214">
        <v>-3.483583596930462E-4</v>
      </c>
    </row>
    <row r="231">
      <c r="A231" s="208">
        <v>43270.0</v>
      </c>
      <c r="B231" s="30">
        <v>-6.236447683138153E-4</v>
      </c>
      <c r="C231" s="30">
        <v>0.029686511037849597</v>
      </c>
      <c r="D231" s="30">
        <v>0.029062866269535782</v>
      </c>
      <c r="E231" s="30">
        <v>0.00782791532044539</v>
      </c>
      <c r="F231" s="210">
        <v>1729.3229971985656</v>
      </c>
      <c r="G231" s="209">
        <v>6420.493956180801</v>
      </c>
      <c r="H231" s="210">
        <v>9083.742506173701</v>
      </c>
      <c r="I231" s="210">
        <v>6489.4668433701645</v>
      </c>
      <c r="J231" s="215">
        <v>3.897</v>
      </c>
      <c r="K231" s="212">
        <v>45.336</v>
      </c>
      <c r="L231" s="212">
        <v>162.48</v>
      </c>
      <c r="M231" s="212">
        <v>7.57</v>
      </c>
      <c r="N231" s="212">
        <v>105.41</v>
      </c>
      <c r="O231" s="213">
        <v>0.004713376499139684</v>
      </c>
      <c r="P231" s="214">
        <v>-0.0013838441144510643</v>
      </c>
      <c r="Q231" s="214">
        <v>0.003600023758495922</v>
      </c>
      <c r="R231" s="214">
        <v>-0.009178217976083461</v>
      </c>
      <c r="S231" s="214">
        <v>-0.006166544775334848</v>
      </c>
    </row>
    <row r="232">
      <c r="A232" s="208">
        <v>43269.0</v>
      </c>
      <c r="B232" s="30">
        <v>-0.008482259686523266</v>
      </c>
      <c r="C232" s="30">
        <v>0.02971721063561366</v>
      </c>
      <c r="D232" s="30">
        <v>0.021234950949090392</v>
      </c>
      <c r="E232" s="30">
        <v>-0.007244470253654163</v>
      </c>
      <c r="F232" s="210">
        <v>-737.5996676240302</v>
      </c>
      <c r="G232" s="209">
        <v>4691.170958982236</v>
      </c>
      <c r="H232" s="210">
        <v>9083.742506173701</v>
      </c>
      <c r="I232" s="210">
        <v>6489.4668433701645</v>
      </c>
      <c r="J232" s="215">
        <v>3.863</v>
      </c>
      <c r="K232" s="212">
        <v>45.456</v>
      </c>
      <c r="L232" s="212">
        <v>161.49</v>
      </c>
      <c r="M232" s="212">
        <v>7.67</v>
      </c>
      <c r="N232" s="212">
        <v>105.48</v>
      </c>
      <c r="O232" s="213">
        <v>0.0019786772365783336</v>
      </c>
      <c r="P232" s="214">
        <v>0.0024932142707757197</v>
      </c>
      <c r="Q232" s="214">
        <v>0.005613053582450012</v>
      </c>
      <c r="R232" s="214">
        <v>-0.003917973403575988</v>
      </c>
      <c r="S232" s="214">
        <v>-3.2546509465377255E-4</v>
      </c>
    </row>
    <row r="233">
      <c r="A233" s="208">
        <v>43266.0</v>
      </c>
      <c r="B233" s="30">
        <v>-0.005235938252649949</v>
      </c>
      <c r="C233" s="30">
        <v>0.029809691581575114</v>
      </c>
      <c r="D233" s="30">
        <v>0.024573753328925165</v>
      </c>
      <c r="E233" s="30">
        <v>-0.00368814008458734</v>
      </c>
      <c r="F233" s="210">
        <v>-814.7744583424874</v>
      </c>
      <c r="G233" s="209">
        <v>5428.770626606266</v>
      </c>
      <c r="H233" s="210">
        <v>9083.742506173701</v>
      </c>
      <c r="I233" s="210">
        <v>6489.4668433701645</v>
      </c>
      <c r="J233" s="215">
        <v>3.873</v>
      </c>
      <c r="K233" s="212">
        <v>45.352</v>
      </c>
      <c r="L233" s="212">
        <v>161.46</v>
      </c>
      <c r="M233" s="212">
        <v>7.68</v>
      </c>
      <c r="N233" s="212">
        <v>105.41</v>
      </c>
      <c r="O233" s="213">
        <v>0.0044040644572186</v>
      </c>
      <c r="P233" s="214">
        <v>0.002713245916083166</v>
      </c>
      <c r="Q233" s="214">
        <v>0.00622291930177928</v>
      </c>
      <c r="R233" s="214">
        <v>-0.0021947199548288943</v>
      </c>
      <c r="S233" s="214">
        <v>-1.99289362154594E-4</v>
      </c>
    </row>
    <row r="234">
      <c r="A234" s="208">
        <v>43265.0</v>
      </c>
      <c r="B234" s="30">
        <v>-0.0015787531956654895</v>
      </c>
      <c r="C234" s="30">
        <v>0.029840646609177995</v>
      </c>
      <c r="D234" s="30">
        <v>0.028261893413512505</v>
      </c>
      <c r="E234" s="30">
        <v>0.02474955898878539</v>
      </c>
      <c r="F234" s="210">
        <v>5467.609162562307</v>
      </c>
      <c r="G234" s="209">
        <v>6243.545084948753</v>
      </c>
      <c r="H234" s="210">
        <v>9083.742506173701</v>
      </c>
      <c r="I234" s="210">
        <v>6489.4668433701645</v>
      </c>
      <c r="J234" s="215">
        <v>3.842</v>
      </c>
      <c r="K234" s="212">
        <v>45.524</v>
      </c>
      <c r="L234" s="212">
        <v>160.73</v>
      </c>
      <c r="M234" s="212">
        <v>7.78</v>
      </c>
      <c r="N234" s="212">
        <v>107.36</v>
      </c>
      <c r="O234" s="213">
        <v>0.0015615919898706032</v>
      </c>
      <c r="P234" s="214">
        <v>0.004585081719127748</v>
      </c>
      <c r="Q234" s="214">
        <v>0.0047999812962994754</v>
      </c>
      <c r="R234" s="214">
        <v>0.00214555782294897</v>
      </c>
      <c r="S234" s="214">
        <v>0.005556132286203848</v>
      </c>
    </row>
    <row r="235">
      <c r="A235" s="208">
        <v>43264.0</v>
      </c>
      <c r="B235" s="30">
        <v>-0.02635933156762051</v>
      </c>
      <c r="C235" s="30">
        <v>0.029871665992347623</v>
      </c>
      <c r="D235" s="30">
        <v>0.0035123344247271135</v>
      </c>
      <c r="E235" s="30">
        <v>0.003377853235649264</v>
      </c>
      <c r="F235" s="210">
        <v>746.2266826409025</v>
      </c>
      <c r="G235" s="209">
        <v>775.935922386447</v>
      </c>
      <c r="H235" s="210">
        <v>9083.742506173701</v>
      </c>
      <c r="I235" s="210">
        <v>6489.4668433701645</v>
      </c>
      <c r="J235" s="215">
        <v>3.84</v>
      </c>
      <c r="K235" s="212">
        <v>45.115</v>
      </c>
      <c r="L235" s="212">
        <v>158.78</v>
      </c>
      <c r="M235" s="212">
        <v>7.76</v>
      </c>
      <c r="N235" s="212">
        <v>105.55</v>
      </c>
      <c r="O235" s="213">
        <v>-8.783164724961434E-4</v>
      </c>
      <c r="P235" s="214">
        <v>0.00230301925252178</v>
      </c>
      <c r="Q235" s="214">
        <v>-0.001221932477734981</v>
      </c>
      <c r="R235" s="214">
        <v>4.26219086613E-4</v>
      </c>
      <c r="S235" s="214">
        <v>-5.056342948630924E-4</v>
      </c>
    </row>
    <row r="236">
      <c r="A236" s="208">
        <v>43263.0</v>
      </c>
      <c r="B236" s="30">
        <v>-0.02976826874290801</v>
      </c>
      <c r="C236" s="30">
        <v>0.02990274993198586</v>
      </c>
      <c r="D236" s="30">
        <v>1.344811890778494E-4</v>
      </c>
      <c r="E236" s="30">
        <v>0.002017159723591129</v>
      </c>
      <c r="F236" s="210">
        <v>445.6257581016302</v>
      </c>
      <c r="G236" s="209">
        <v>29.70923974554459</v>
      </c>
      <c r="H236" s="210">
        <v>9083.742506173701</v>
      </c>
      <c r="I236" s="210">
        <v>6489.4668433701645</v>
      </c>
      <c r="J236" s="215">
        <v>3.822</v>
      </c>
      <c r="K236" s="212">
        <v>44.982</v>
      </c>
      <c r="L236" s="212">
        <v>158.46</v>
      </c>
      <c r="M236" s="212">
        <v>7.73</v>
      </c>
      <c r="N236" s="212">
        <v>105.44</v>
      </c>
      <c r="O236" s="213">
        <v>0.0011955471638675312</v>
      </c>
      <c r="P236" s="214">
        <v>0.00251815506447021</v>
      </c>
      <c r="Q236" s="214">
        <v>9.71907647429567E-4</v>
      </c>
      <c r="R236" s="214">
        <v>-4.323331803196921E-4</v>
      </c>
      <c r="S236" s="214">
        <v>9.758819741174651E-4</v>
      </c>
    </row>
    <row r="237">
      <c r="A237" s="208">
        <v>43262.0</v>
      </c>
      <c r="B237" s="30">
        <v>-0.03181657716434496</v>
      </c>
      <c r="C237" s="30">
        <v>0.02993389862983168</v>
      </c>
      <c r="D237" s="30">
        <v>-0.0018826785345132796</v>
      </c>
      <c r="E237" s="30">
        <v>-0.004582503662836437</v>
      </c>
      <c r="F237" s="210">
        <v>-859.2759123944443</v>
      </c>
      <c r="G237" s="209">
        <v>-415.9165183560856</v>
      </c>
      <c r="H237" s="210">
        <v>9083.742506173701</v>
      </c>
      <c r="I237" s="210">
        <v>6489.4668433701645</v>
      </c>
      <c r="J237" s="215">
        <v>3.824</v>
      </c>
      <c r="K237" s="212">
        <v>44.9</v>
      </c>
      <c r="L237" s="212">
        <v>158.42</v>
      </c>
      <c r="M237" s="212">
        <v>7.73</v>
      </c>
      <c r="N237" s="212">
        <v>105.57</v>
      </c>
      <c r="O237" s="213">
        <v>7.572308116855867E-4</v>
      </c>
      <c r="P237" s="214">
        <v>0.0018433048119151918</v>
      </c>
      <c r="Q237" s="214">
        <v>-5.891222871052074E-4</v>
      </c>
      <c r="R237" s="214">
        <v>-8.629964016805639E-4</v>
      </c>
      <c r="S237" s="214">
        <v>-6.740822222450019E-4</v>
      </c>
    </row>
    <row r="238">
      <c r="A238" s="208">
        <v>43259.0</v>
      </c>
      <c r="B238" s="30">
        <v>-0.028020834452621296</v>
      </c>
      <c r="C238" s="30">
        <v>0.030027735302652465</v>
      </c>
      <c r="D238" s="30">
        <v>0.0020069008500311694</v>
      </c>
      <c r="E238" s="30">
        <v>0.00893930583940149</v>
      </c>
      <c r="F238" s="210">
        <v>1974.8485432247692</v>
      </c>
      <c r="G238" s="209">
        <v>443.35939403835863</v>
      </c>
      <c r="H238" s="210">
        <v>6472.201861277941</v>
      </c>
      <c r="I238" s="210">
        <v>6738.175685288983</v>
      </c>
      <c r="J238" s="215">
        <v>3.85</v>
      </c>
      <c r="K238" s="212">
        <v>44.804</v>
      </c>
      <c r="L238" s="212">
        <v>159.36</v>
      </c>
      <c r="M238" s="212">
        <v>7.75</v>
      </c>
      <c r="N238" s="212">
        <v>105.71</v>
      </c>
      <c r="O238" s="213">
        <v>-0.003354712610648939</v>
      </c>
      <c r="P238" s="214">
        <v>5.110034964747786E-4</v>
      </c>
      <c r="Q238" s="214">
        <v>-0.0025392513218150206</v>
      </c>
      <c r="R238" s="214">
        <v>-0.0017209858020060438</v>
      </c>
      <c r="S238" s="214">
        <v>-0.0019336823728504093</v>
      </c>
    </row>
    <row r="239">
      <c r="A239" s="208">
        <v>43258.0</v>
      </c>
      <c r="B239" s="30">
        <v>-0.03699155005698372</v>
      </c>
      <c r="C239" s="30">
        <v>0.0300591450676134</v>
      </c>
      <c r="D239" s="30">
        <v>-0.006932404989370321</v>
      </c>
      <c r="E239" s="30">
        <v>-5.615200528304443E-4</v>
      </c>
      <c r="F239" s="210">
        <v>-124.04957143718707</v>
      </c>
      <c r="G239" s="209">
        <v>-1531.4891491864105</v>
      </c>
      <c r="H239" s="210">
        <v>6472.201861277941</v>
      </c>
      <c r="I239" s="210">
        <v>6738.175685288983</v>
      </c>
      <c r="J239" s="215">
        <v>3.808</v>
      </c>
      <c r="K239" s="212">
        <v>44.643</v>
      </c>
      <c r="L239" s="212">
        <v>157.99</v>
      </c>
      <c r="M239" s="212">
        <v>7.74</v>
      </c>
      <c r="N239" s="212">
        <v>105.13</v>
      </c>
      <c r="O239" s="213">
        <v>-0.006733874600922007</v>
      </c>
      <c r="P239" s="214">
        <v>-3.216931496120938E-4</v>
      </c>
      <c r="Q239" s="214">
        <v>-0.0047197783627140515</v>
      </c>
      <c r="R239" s="214">
        <v>-0.001723194313055491</v>
      </c>
      <c r="S239" s="214">
        <v>-0.002727972855799917</v>
      </c>
    </row>
    <row r="240">
      <c r="A240" s="208">
        <v>43257.0</v>
      </c>
      <c r="B240" s="30">
        <v>-0.036461505548726694</v>
      </c>
      <c r="C240" s="30">
        <v>0.030090620612186817</v>
      </c>
      <c r="D240" s="30">
        <v>-0.006370884936539877</v>
      </c>
      <c r="E240" s="30">
        <v>-0.00815082676113291</v>
      </c>
      <c r="F240" s="210">
        <v>-1800.6597653647905</v>
      </c>
      <c r="G240" s="209">
        <v>-1407.4395777492234</v>
      </c>
      <c r="H240" s="210">
        <v>6472.201861277941</v>
      </c>
      <c r="I240" s="210">
        <v>6738.175685288983</v>
      </c>
      <c r="J240" s="215">
        <v>3.815</v>
      </c>
      <c r="K240" s="212">
        <v>44.652</v>
      </c>
      <c r="L240" s="212">
        <v>158.69</v>
      </c>
      <c r="M240" s="212">
        <v>7.75</v>
      </c>
      <c r="N240" s="212">
        <v>105.78</v>
      </c>
      <c r="O240" s="213">
        <v>-0.00775133113308446</v>
      </c>
      <c r="P240" s="214">
        <v>8.420469387993013E-4</v>
      </c>
      <c r="Q240" s="214">
        <v>-0.004428687059010783</v>
      </c>
      <c r="R240" s="214">
        <v>-0.004720123208232785</v>
      </c>
      <c r="S240" s="214">
        <v>-0.0021451593001460267</v>
      </c>
    </row>
    <row r="241">
      <c r="A241" s="208">
        <v>43256.0</v>
      </c>
      <c r="B241" s="30">
        <v>-0.02834222031863381</v>
      </c>
      <c r="C241" s="30">
        <v>0.030122162143226845</v>
      </c>
      <c r="D241" s="30">
        <v>0.001779941824593033</v>
      </c>
      <c r="E241" s="30">
        <v>-0.007724989181165286</v>
      </c>
      <c r="F241" s="210">
        <v>-1706.5848182091925</v>
      </c>
      <c r="G241" s="209">
        <v>393.22018761556706</v>
      </c>
      <c r="H241" s="210">
        <v>6563.48186127794</v>
      </c>
      <c r="I241" s="210">
        <v>6802.83059926748</v>
      </c>
      <c r="J241" s="215">
        <v>3.888</v>
      </c>
      <c r="K241" s="212">
        <v>44.735</v>
      </c>
      <c r="L241" s="212">
        <v>160.56</v>
      </c>
      <c r="M241" s="212">
        <v>7.79</v>
      </c>
      <c r="N241" s="212">
        <v>106.32</v>
      </c>
      <c r="O241" s="213">
        <v>-0.003934475393947164</v>
      </c>
      <c r="P241" s="214">
        <v>0.003407513559195885</v>
      </c>
      <c r="Q241" s="214">
        <v>-0.0019310415352902603</v>
      </c>
      <c r="R241" s="214">
        <v>-0.004696045942096901</v>
      </c>
      <c r="S241" s="214">
        <v>-0.0020403582617473472</v>
      </c>
    </row>
    <row r="242">
      <c r="A242" s="208">
        <v>43255.0</v>
      </c>
      <c r="B242" s="30">
        <v>-0.0171110087612281</v>
      </c>
      <c r="C242" s="30">
        <v>0.0304159397669864</v>
      </c>
      <c r="D242" s="30">
        <v>0.009504931005758319</v>
      </c>
      <c r="E242" s="30">
        <v>-0.0074241217901819465</v>
      </c>
      <c r="F242" s="210">
        <v>-1595.7049209982379</v>
      </c>
      <c r="G242" s="209">
        <v>2099.8050058247595</v>
      </c>
      <c r="H242" s="210">
        <v>5881.259132784586</v>
      </c>
      <c r="I242" s="210">
        <v>6958.204680938696</v>
      </c>
      <c r="J242" s="215">
        <v>3.885</v>
      </c>
      <c r="K242" s="212">
        <v>44.686</v>
      </c>
      <c r="L242" s="212">
        <v>160.23</v>
      </c>
      <c r="M242" s="212">
        <v>7.78</v>
      </c>
      <c r="N242" s="212">
        <v>105.99</v>
      </c>
      <c r="O242" s="213">
        <v>-0.0022428548065180167</v>
      </c>
      <c r="P242" s="214">
        <v>0.002387462479182534</v>
      </c>
      <c r="Q242" s="214">
        <v>-0.0024510147740410084</v>
      </c>
      <c r="R242" s="214">
        <v>-0.004280063101389064</v>
      </c>
      <c r="S242" s="214">
        <v>-0.0026698727497866206</v>
      </c>
    </row>
    <row r="243">
      <c r="A243" s="208">
        <v>43252.0</v>
      </c>
      <c r="B243" s="30">
        <v>-0.017667111490894838</v>
      </c>
      <c r="C243" s="30">
        <v>0.0306159397669864</v>
      </c>
      <c r="D243" s="30">
        <v>0.016728013690847914</v>
      </c>
      <c r="E243" s="30">
        <v>-0.0048475590530868695</v>
      </c>
      <c r="F243" s="210">
        <v>-1070.9103263912489</v>
      </c>
      <c r="G243" s="209">
        <v>3695.5099268229974</v>
      </c>
      <c r="H243" s="210">
        <v>5881.259132784586</v>
      </c>
      <c r="I243" s="210">
        <v>6958.204680938696</v>
      </c>
      <c r="J243" s="215">
        <v>3.904</v>
      </c>
      <c r="K243" s="212">
        <v>44.539</v>
      </c>
      <c r="L243" s="212">
        <v>160.8</v>
      </c>
      <c r="M243" s="212">
        <v>7.86</v>
      </c>
      <c r="N243" s="212">
        <v>106.46</v>
      </c>
      <c r="O243" s="213">
        <v>-0.005215056653687822</v>
      </c>
      <c r="P243" s="214">
        <v>4.3441043250499095E-4</v>
      </c>
      <c r="Q243" s="214">
        <v>-0.004982461161535445</v>
      </c>
      <c r="R243" s="214">
        <v>-0.003813553895172387</v>
      </c>
      <c r="S243" s="214">
        <v>-0.004748466211936697</v>
      </c>
    </row>
    <row r="244">
      <c r="A244" s="208">
        <v>43251.0</v>
      </c>
      <c r="B244" s="30">
        <v>-0.0090903324020164</v>
      </c>
      <c r="C244" s="30">
        <v>0.030665905145951182</v>
      </c>
      <c r="D244" s="30">
        <v>0.021575572743934783</v>
      </c>
      <c r="E244" s="30">
        <v>0.004115488668584633</v>
      </c>
      <c r="F244" s="210">
        <v>909.1832126370746</v>
      </c>
      <c r="G244" s="209">
        <v>4766.420253214246</v>
      </c>
      <c r="H244" s="210">
        <v>5881.259132784586</v>
      </c>
      <c r="I244" s="210">
        <v>6958.204680938696</v>
      </c>
      <c r="J244" s="215">
        <v>3.934</v>
      </c>
      <c r="K244" s="212">
        <v>44.279</v>
      </c>
      <c r="L244" s="212">
        <v>161.49</v>
      </c>
      <c r="M244" s="212">
        <v>7.9</v>
      </c>
      <c r="N244" s="212">
        <v>106.97</v>
      </c>
      <c r="O244" s="213">
        <v>0.002222417074769519</v>
      </c>
      <c r="P244" s="214">
        <v>-0.0020585121000766815</v>
      </c>
      <c r="Q244" s="214">
        <v>4.2438084651319485E-5</v>
      </c>
      <c r="R244" s="214">
        <v>-2.0764995081190563E-5</v>
      </c>
      <c r="S244" s="214">
        <v>-2.8910803823167797E-6</v>
      </c>
    </row>
    <row r="245">
      <c r="A245" s="208">
        <v>43250.0</v>
      </c>
      <c r="B245" s="30">
        <v>-0.013238203230206047</v>
      </c>
      <c r="C245" s="30">
        <v>0.030698287305556196</v>
      </c>
      <c r="D245" s="30">
        <v>0.01746008407535015</v>
      </c>
      <c r="E245" s="30">
        <v>-0.012517071391652375</v>
      </c>
      <c r="F245" s="210">
        <v>-2765.2393426669187</v>
      </c>
      <c r="G245" s="209">
        <v>3857.2370405771717</v>
      </c>
      <c r="H245" s="210">
        <v>5881.259132784586</v>
      </c>
      <c r="I245" s="210">
        <v>6958.204680938696</v>
      </c>
      <c r="J245" s="215">
        <v>3.911</v>
      </c>
      <c r="K245" s="212">
        <v>44.366</v>
      </c>
      <c r="L245" s="212">
        <v>161.41</v>
      </c>
      <c r="M245" s="212">
        <v>7.88</v>
      </c>
      <c r="N245" s="212">
        <v>106.84</v>
      </c>
      <c r="O245" s="213">
        <v>0.003430322082952649</v>
      </c>
      <c r="P245" s="214">
        <v>-6.62883230778529E-4</v>
      </c>
      <c r="Q245" s="214">
        <v>0.00216904036702655</v>
      </c>
      <c r="R245" s="214">
        <v>-0.0012865877798913239</v>
      </c>
      <c r="S245" s="214">
        <v>-8.131249592775447E-4</v>
      </c>
    </row>
    <row r="246">
      <c r="A246" s="208">
        <v>43249.0</v>
      </c>
      <c r="B246" s="30">
        <v>-7.535824593840699E-4</v>
      </c>
      <c r="C246" s="30">
        <v>0.030730737926386593</v>
      </c>
      <c r="D246" s="30">
        <v>0.029977155467002525</v>
      </c>
      <c r="E246" s="30">
        <v>0.01618031365285199</v>
      </c>
      <c r="F246" s="210">
        <v>3574.5163832440903</v>
      </c>
      <c r="G246" s="209">
        <v>6622.47638324409</v>
      </c>
      <c r="H246" s="210">
        <v>5881.259132784586</v>
      </c>
      <c r="I246" s="210">
        <v>6958.204680938696</v>
      </c>
      <c r="J246" s="215">
        <v>3.965</v>
      </c>
      <c r="K246" s="212">
        <v>44.48</v>
      </c>
      <c r="L246" s="212">
        <v>163.21</v>
      </c>
      <c r="M246" s="212">
        <v>7.95</v>
      </c>
      <c r="N246" s="212">
        <v>107.98</v>
      </c>
      <c r="O246" s="213">
        <v>0.011478031331211244</v>
      </c>
      <c r="P246" s="214">
        <v>0.002825562646609455</v>
      </c>
      <c r="Q246" s="214">
        <v>0.008505715876986378</v>
      </c>
      <c r="R246" s="214">
        <v>-1.1134873783902322E-5</v>
      </c>
      <c r="S246" s="214">
        <v>0.0043310451787593</v>
      </c>
    </row>
    <row r="247">
      <c r="A247" s="208">
        <v>43248.0</v>
      </c>
      <c r="B247" s="30">
        <v>-0.017</v>
      </c>
      <c r="C247" s="30">
        <v>0.0308</v>
      </c>
      <c r="D247" s="30">
        <v>0.0138</v>
      </c>
      <c r="E247" s="30">
        <v>0.0046</v>
      </c>
      <c r="F247" s="210">
        <v>1018.8696963677876</v>
      </c>
      <c r="G247" s="209">
        <v>3047.96</v>
      </c>
      <c r="H247" s="209">
        <v>5881.26</v>
      </c>
      <c r="I247" s="209">
        <v>6958.2</v>
      </c>
      <c r="J247" s="215">
        <v>3.907</v>
      </c>
      <c r="K247" s="212">
        <v>44.553</v>
      </c>
      <c r="L247" s="212">
        <v>161.45</v>
      </c>
      <c r="M247" s="212">
        <v>7.9</v>
      </c>
      <c r="N247" s="212">
        <v>106.96</v>
      </c>
      <c r="O247" s="213">
        <v>0.008516741454713705</v>
      </c>
      <c r="P247" s="214">
        <v>0.003062744338573046</v>
      </c>
      <c r="Q247" s="214">
        <v>0.00539310269857481</v>
      </c>
      <c r="R247" s="214">
        <v>-8.49709297263986E-4</v>
      </c>
      <c r="S247" s="214">
        <v>0.00359052060014986</v>
      </c>
    </row>
    <row r="248">
      <c r="A248" s="208">
        <v>43245.0</v>
      </c>
      <c r="B248" s="30">
        <v>-0.021643667339030847</v>
      </c>
      <c r="C248" s="30">
        <v>0.03082850273421179</v>
      </c>
      <c r="D248" s="30">
        <v>0.009184835395180942</v>
      </c>
      <c r="E248" s="30">
        <v>0.014658935381627339</v>
      </c>
      <c r="F248" s="210">
        <v>3238.4144478013513</v>
      </c>
      <c r="G248" s="209">
        <v>2029.0903036322125</v>
      </c>
      <c r="H248" s="210">
        <v>5881.259132784586</v>
      </c>
      <c r="I248" s="210">
        <v>6958.204680938696</v>
      </c>
      <c r="J248" s="215">
        <v>3.87</v>
      </c>
      <c r="K248" s="212">
        <v>44.454</v>
      </c>
      <c r="L248" s="212">
        <v>160.34</v>
      </c>
      <c r="M248" s="212">
        <v>7.91</v>
      </c>
      <c r="N248" s="212">
        <v>107.09</v>
      </c>
      <c r="O248" s="213">
        <v>0.010874720095363721</v>
      </c>
      <c r="P248" s="214">
        <v>0.0019747054030315736</v>
      </c>
      <c r="Q248" s="214">
        <v>0.00710934549209441</v>
      </c>
      <c r="R248" s="214">
        <v>8.34857893632357E-4</v>
      </c>
      <c r="S248" s="214">
        <v>0.006610406185087125</v>
      </c>
    </row>
    <row r="249">
      <c r="A249" s="208">
        <v>43244.0</v>
      </c>
      <c r="B249" s="30">
        <v>-0.03636812557450348</v>
      </c>
      <c r="C249" s="30">
        <v>0.030894025588057084</v>
      </c>
      <c r="D249" s="30">
        <v>-0.005474099986446396</v>
      </c>
      <c r="E249" s="30">
        <v>0.0049622155322448305</v>
      </c>
      <c r="F249" s="210">
        <v>1096.2399420128954</v>
      </c>
      <c r="G249" s="209">
        <v>-1209.324144169139</v>
      </c>
      <c r="H249" s="210">
        <v>5881.259132784586</v>
      </c>
      <c r="I249" s="210">
        <v>6958.204680938696</v>
      </c>
      <c r="J249" s="215">
        <v>3.83</v>
      </c>
      <c r="K249" s="212">
        <v>44.103</v>
      </c>
      <c r="L249" s="212">
        <v>159.08</v>
      </c>
      <c r="M249" s="212">
        <v>7.95</v>
      </c>
      <c r="N249" s="212">
        <v>106.58</v>
      </c>
      <c r="O249" s="213">
        <v>0.007162391627547319</v>
      </c>
      <c r="P249" s="214">
        <v>-9.148987618501359E-5</v>
      </c>
      <c r="Q249" s="214">
        <v>0.003427934812375096</v>
      </c>
      <c r="R249" s="214">
        <v>0.005055342143727233</v>
      </c>
      <c r="S249" s="214">
        <v>0.004768939738425071</v>
      </c>
    </row>
    <row r="250">
      <c r="A250" s="208">
        <v>43243.0</v>
      </c>
      <c r="B250" s="30">
        <v>-0.04136320709141646</v>
      </c>
      <c r="C250" s="30">
        <v>0.03092689157272523</v>
      </c>
      <c r="D250" s="30">
        <v>-0.010436315518691227</v>
      </c>
      <c r="E250" s="30">
        <v>0.015396839597304698</v>
      </c>
      <c r="F250" s="210">
        <v>3401.4303565922532</v>
      </c>
      <c r="G250" s="209">
        <v>-2305.5640861820343</v>
      </c>
      <c r="H250" s="210">
        <v>5881.259132784586</v>
      </c>
      <c r="I250" s="210">
        <v>6958.204680938696</v>
      </c>
      <c r="J250" s="215">
        <v>3.808</v>
      </c>
      <c r="K250" s="212">
        <v>44.144</v>
      </c>
      <c r="L250" s="212">
        <v>158.85</v>
      </c>
      <c r="M250" s="212">
        <v>7.92</v>
      </c>
      <c r="N250" s="212">
        <v>105.81</v>
      </c>
      <c r="O250" s="213">
        <v>0.005247683185423679</v>
      </c>
      <c r="P250" s="214">
        <v>0.001842932698930803</v>
      </c>
      <c r="Q250" s="214">
        <v>0.003538815431490557</v>
      </c>
      <c r="R250" s="214">
        <v>0.004223193577898354</v>
      </c>
      <c r="S250" s="214">
        <v>0.002170365661407825</v>
      </c>
    </row>
    <row r="251">
      <c r="A251" s="208">
        <v>43242.0</v>
      </c>
      <c r="B251" s="30">
        <v>-0.05679298267548657</v>
      </c>
      <c r="C251" s="30">
        <v>0.030959827559490644</v>
      </c>
      <c r="D251" s="30">
        <v>-0.025833155115995925</v>
      </c>
      <c r="E251" s="30">
        <v>-0.001442014369251423</v>
      </c>
      <c r="F251" s="210">
        <v>-318.56611996351876</v>
      </c>
      <c r="G251" s="209">
        <v>-5706.994442774288</v>
      </c>
      <c r="H251" s="210">
        <v>5881.259132784586</v>
      </c>
      <c r="I251" s="210">
        <v>6958.204680938696</v>
      </c>
      <c r="J251" s="215">
        <v>3.745</v>
      </c>
      <c r="K251" s="212">
        <v>44.19</v>
      </c>
      <c r="L251" s="212">
        <v>156.94</v>
      </c>
      <c r="M251" s="212">
        <v>7.89</v>
      </c>
      <c r="N251" s="212">
        <v>104.98</v>
      </c>
      <c r="O251" s="213">
        <v>0.0017785126997268048</v>
      </c>
      <c r="P251" s="214">
        <v>0.0014765374157916418</v>
      </c>
      <c r="Q251" s="214">
        <v>0.0011852064302112126</v>
      </c>
      <c r="R251" s="214">
        <v>0.00423933969378872</v>
      </c>
      <c r="S251" s="214">
        <v>9.825565920800194E-4</v>
      </c>
    </row>
    <row r="252">
      <c r="A252" s="208">
        <v>43241.0</v>
      </c>
      <c r="B252" s="30">
        <v>-0.055383974518985135</v>
      </c>
      <c r="C252" s="30">
        <v>0.030992833772240633</v>
      </c>
      <c r="D252" s="30">
        <v>-0.0243911407467445</v>
      </c>
      <c r="E252" s="30">
        <v>0.008095149675338167</v>
      </c>
      <c r="F252" s="210">
        <v>2056.6857437106264</v>
      </c>
      <c r="G252" s="209">
        <v>-5388.428322810769</v>
      </c>
      <c r="H252" s="210">
        <v>5881.259132784586</v>
      </c>
      <c r="I252" s="210">
        <v>6958.204680938696</v>
      </c>
      <c r="J252" s="215">
        <v>3.748</v>
      </c>
      <c r="K252" s="212">
        <v>44.115</v>
      </c>
      <c r="L252" s="212">
        <v>157.44</v>
      </c>
      <c r="M252" s="212">
        <v>7.83</v>
      </c>
      <c r="N252" s="212">
        <v>105.06</v>
      </c>
      <c r="O252" s="213">
        <v>5.24282600235478E-4</v>
      </c>
      <c r="P252" s="214">
        <v>0.0022973512725804612</v>
      </c>
      <c r="Q252" s="214">
        <v>-0.002207776733280061</v>
      </c>
      <c r="R252" s="214">
        <v>0.0034160815112368828</v>
      </c>
      <c r="S252" s="214">
        <v>0.00107734263241821</v>
      </c>
    </row>
    <row r="253">
      <c r="A253" s="208">
        <v>43238.0</v>
      </c>
      <c r="B253" s="30">
        <v>-0.062075197856825234</v>
      </c>
      <c r="C253" s="30">
        <v>0.02837430880475277</v>
      </c>
      <c r="D253" s="30">
        <v>-0.03370088905207247</v>
      </c>
      <c r="E253" s="30">
        <v>0.005740038232732378</v>
      </c>
      <c r="F253" s="210">
        <v>1268.0745401955028</v>
      </c>
      <c r="G253" s="209">
        <v>-7445.114066521395</v>
      </c>
      <c r="H253" s="210">
        <v>5881.259132784586</v>
      </c>
      <c r="I253" s="210">
        <v>6958.204680938696</v>
      </c>
      <c r="J253" s="215">
        <v>3.748</v>
      </c>
      <c r="K253" s="212">
        <v>43.9</v>
      </c>
      <c r="L253" s="212">
        <v>157.16</v>
      </c>
      <c r="M253" s="212">
        <v>7.82</v>
      </c>
      <c r="N253" s="212">
        <v>105.12</v>
      </c>
      <c r="O253" s="213">
        <v>0.001504150763428025</v>
      </c>
      <c r="P253" s="214">
        <v>0.0035107572073781825</v>
      </c>
      <c r="Q253" s="214">
        <v>-0.0013702508271003315</v>
      </c>
      <c r="R253" s="214">
        <v>0.005571013603135981</v>
      </c>
      <c r="S253" s="214">
        <v>0.002031651981930301</v>
      </c>
    </row>
    <row r="254">
      <c r="A254" s="208">
        <v>43237.0</v>
      </c>
      <c r="B254" s="30">
        <v>-0.06784561543517298</v>
      </c>
      <c r="C254" s="30">
        <v>0.028404688150368135</v>
      </c>
      <c r="D254" s="30">
        <v>-0.03944092728480485</v>
      </c>
      <c r="E254" s="30">
        <v>-0.004301362194410484</v>
      </c>
      <c r="F254" s="210">
        <v>-950.2459157480143</v>
      </c>
      <c r="G254" s="209">
        <v>-8713.188606716898</v>
      </c>
      <c r="H254" s="210">
        <v>5881.259132784586</v>
      </c>
      <c r="I254" s="210">
        <v>6958.204680938696</v>
      </c>
      <c r="J254" s="215">
        <v>3.725</v>
      </c>
      <c r="K254" s="212">
        <v>43.994</v>
      </c>
      <c r="L254" s="212">
        <v>156.38</v>
      </c>
      <c r="M254" s="212">
        <v>7.79</v>
      </c>
      <c r="N254" s="212">
        <v>104.67</v>
      </c>
      <c r="O254" s="213">
        <v>-0.0016134832663022476</v>
      </c>
      <c r="P254" s="214">
        <v>0.00397893984092812</v>
      </c>
      <c r="Q254" s="214">
        <v>-0.0014824817454287171</v>
      </c>
      <c r="R254" s="214">
        <v>0.0055926313416544415</v>
      </c>
      <c r="S254" s="214">
        <v>-0.002681404022321273</v>
      </c>
    </row>
    <row r="255">
      <c r="A255" s="208">
        <v>43236.0</v>
      </c>
      <c r="B255" s="30">
        <v>-0.06357469770823342</v>
      </c>
      <c r="C255" s="30">
        <v>0.028435132617839053</v>
      </c>
      <c r="D255" s="30">
        <v>-0.03513956509039436</v>
      </c>
      <c r="E255" s="30">
        <v>0.0072910420399697265</v>
      </c>
      <c r="F255" s="210">
        <v>1610.7183275640991</v>
      </c>
      <c r="G255" s="209">
        <v>-7762.942690968884</v>
      </c>
      <c r="H255" s="210">
        <v>5881.259132784586</v>
      </c>
      <c r="I255" s="210">
        <v>6958.204680938696</v>
      </c>
      <c r="J255" s="215">
        <v>3.742</v>
      </c>
      <c r="K255" s="212">
        <v>43.811</v>
      </c>
      <c r="L255" s="212">
        <v>158.47</v>
      </c>
      <c r="M255" s="212">
        <v>7.75</v>
      </c>
      <c r="N255" s="212">
        <v>104.72</v>
      </c>
      <c r="O255" s="213">
        <v>-0.001962388097453157</v>
      </c>
      <c r="P255" s="214">
        <v>0.002899112073600829</v>
      </c>
      <c r="Q255" s="214">
        <v>0.0013170600829282748</v>
      </c>
      <c r="R255" s="214">
        <v>0.0038810352783254323</v>
      </c>
      <c r="S255" s="214">
        <v>-0.0040070247814710065</v>
      </c>
    </row>
    <row r="256">
      <c r="A256" s="208">
        <v>43235.0</v>
      </c>
      <c r="B256" s="30">
        <v>-0.07089624954714932</v>
      </c>
      <c r="C256" s="30">
        <v>0.028465642416785234</v>
      </c>
      <c r="D256" s="30">
        <v>-0.04243060713036409</v>
      </c>
      <c r="E256" s="30">
        <v>-0.0010718629265307478</v>
      </c>
      <c r="F256" s="210">
        <v>-236.79321157867525</v>
      </c>
      <c r="G256" s="209">
        <v>-9373.661018532983</v>
      </c>
      <c r="H256" s="210">
        <v>5881.259132784586</v>
      </c>
      <c r="I256" s="210">
        <v>6958.204680938696</v>
      </c>
      <c r="J256" s="215">
        <v>3.731</v>
      </c>
      <c r="K256" s="212">
        <v>43.438</v>
      </c>
      <c r="L256" s="212">
        <v>157.79</v>
      </c>
      <c r="M256" s="212">
        <v>7.69</v>
      </c>
      <c r="N256" s="212">
        <v>104.48</v>
      </c>
      <c r="O256" s="213">
        <v>-0.0023223483612479314</v>
      </c>
      <c r="P256" s="214">
        <v>3.835220390207746E-4</v>
      </c>
      <c r="Q256" s="214">
        <v>-9.580215381395826E-4</v>
      </c>
      <c r="R256" s="214">
        <v>-4.402539212590521E-4</v>
      </c>
      <c r="S256" s="214">
        <v>-0.005274206326840429</v>
      </c>
    </row>
    <row r="257">
      <c r="A257" s="208">
        <v>43234.0</v>
      </c>
      <c r="B257" s="30">
        <v>-0.06985496196156034</v>
      </c>
      <c r="C257" s="30">
        <v>0.028496217757727</v>
      </c>
      <c r="D257" s="30">
        <v>-0.04135874420383334</v>
      </c>
      <c r="E257" s="30">
        <v>-0.003935660790469628</v>
      </c>
      <c r="F257" s="210">
        <v>-920.4013613107709</v>
      </c>
      <c r="G257" s="209">
        <v>-9136.867806954308</v>
      </c>
      <c r="H257" s="210">
        <v>5881.259132784586</v>
      </c>
      <c r="I257" s="210">
        <v>6958.204680938696</v>
      </c>
      <c r="J257" s="215">
        <v>3.743</v>
      </c>
      <c r="K257" s="212">
        <v>43.47</v>
      </c>
      <c r="L257" s="212">
        <v>157.06</v>
      </c>
      <c r="M257" s="212">
        <v>7.66</v>
      </c>
      <c r="N257" s="212">
        <v>105.51</v>
      </c>
      <c r="O257" s="213">
        <v>-0.0018713126329735763</v>
      </c>
      <c r="P257" s="214">
        <v>0.004109307708573096</v>
      </c>
      <c r="Q257" s="214">
        <v>-0.0033216925041427516</v>
      </c>
      <c r="R257" s="214">
        <v>-0.0017406440382941775</v>
      </c>
      <c r="S257" s="214">
        <v>-0.0019880909618582945</v>
      </c>
    </row>
    <row r="258">
      <c r="A258" s="208">
        <v>43231.0</v>
      </c>
      <c r="B258" s="30">
        <v>-0.06578081486233868</v>
      </c>
      <c r="C258" s="30">
        <v>0.02858833915134034</v>
      </c>
      <c r="D258" s="30">
        <v>-0.03719247571099834</v>
      </c>
      <c r="E258" s="30">
        <v>-0.01603016036147936</v>
      </c>
      <c r="F258" s="210">
        <v>-3541.341957223658</v>
      </c>
      <c r="G258" s="209">
        <v>-8216.466445643537</v>
      </c>
      <c r="H258" s="210">
        <v>5881.259132784586</v>
      </c>
      <c r="I258" s="210">
        <v>6958.204680938696</v>
      </c>
      <c r="J258" s="215">
        <v>3.764</v>
      </c>
      <c r="K258" s="212">
        <v>43.43</v>
      </c>
      <c r="L258" s="212">
        <v>157.84</v>
      </c>
      <c r="M258" s="212">
        <v>7.66</v>
      </c>
      <c r="N258" s="212">
        <v>105.98</v>
      </c>
      <c r="O258" s="213">
        <v>-1.7827154808717585E-4</v>
      </c>
      <c r="P258" s="214">
        <v>0.005161225673991983</v>
      </c>
      <c r="Q258" s="214">
        <v>-0.0019184333050693188</v>
      </c>
      <c r="R258" s="214">
        <v>0.002155459857809664</v>
      </c>
      <c r="S258" s="214">
        <v>0.0010984185823429045</v>
      </c>
    </row>
    <row r="259">
      <c r="A259" s="208">
        <v>43230.0</v>
      </c>
      <c r="B259" s="30">
        <v>-0.03688746229525589</v>
      </c>
      <c r="C259" s="30">
        <v>0.01572514694573691</v>
      </c>
      <c r="D259" s="30">
        <v>-0.02116231534951898</v>
      </c>
      <c r="E259" s="30">
        <v>0.0018742026661245567</v>
      </c>
      <c r="F259" s="210">
        <v>414.0440512271216</v>
      </c>
      <c r="G259" s="209">
        <v>-4675.124488419879</v>
      </c>
      <c r="H259" s="210">
        <v>5881.259132784586</v>
      </c>
      <c r="I259" s="210">
        <v>6958.204680938696</v>
      </c>
      <c r="J259" s="215">
        <v>3.757</v>
      </c>
      <c r="K259" s="212">
        <v>43.388</v>
      </c>
      <c r="L259" s="212">
        <v>158.24</v>
      </c>
      <c r="M259" s="212">
        <v>7.7</v>
      </c>
      <c r="N259" s="212">
        <v>106.14</v>
      </c>
      <c r="O259" s="213">
        <v>-4.4413448377452386E-4</v>
      </c>
      <c r="P259" s="214">
        <v>0.00553266268063779</v>
      </c>
      <c r="Q259" s="214">
        <v>-2.829876633173948E-6</v>
      </c>
      <c r="R259" s="214">
        <v>0.001706003151469589</v>
      </c>
      <c r="S259" s="214">
        <v>0.0017278849536856249</v>
      </c>
    </row>
    <row r="260">
      <c r="A260" s="208">
        <v>43229.0</v>
      </c>
      <c r="B260" s="30">
        <v>-0.03877864676153783</v>
      </c>
      <c r="C260" s="30">
        <v>0.015742128745894295</v>
      </c>
      <c r="D260" s="30">
        <v>-0.023036518015643537</v>
      </c>
      <c r="E260" s="30">
        <v>0.003010019029704429</v>
      </c>
      <c r="F260" s="210">
        <v>190.21534113536836</v>
      </c>
      <c r="G260" s="209">
        <v>-5089.168539647</v>
      </c>
      <c r="H260" s="210">
        <v>5881.259132784586</v>
      </c>
      <c r="I260" s="210">
        <v>6958.204680938696</v>
      </c>
      <c r="J260" s="215">
        <v>3.764</v>
      </c>
      <c r="K260" s="212">
        <v>42.935</v>
      </c>
      <c r="L260" s="212">
        <v>158.63</v>
      </c>
      <c r="M260" s="212">
        <v>7.7</v>
      </c>
      <c r="N260" s="212">
        <v>106.14</v>
      </c>
      <c r="O260" s="213">
        <v>0.0013287979939475836</v>
      </c>
      <c r="P260" s="214">
        <v>0.005075568196960238</v>
      </c>
      <c r="Q260" s="214">
        <v>0.0013242682022343022</v>
      </c>
      <c r="R260" s="214">
        <v>0.0030114861801902406</v>
      </c>
      <c r="S260" s="214">
        <v>0.002959062148495765</v>
      </c>
    </row>
    <row r="261">
      <c r="A261" s="208">
        <v>43228.0</v>
      </c>
      <c r="B261" s="30">
        <v>-0.039656689845055035</v>
      </c>
      <c r="C261" s="30">
        <v>0.015759147263457424</v>
      </c>
      <c r="D261" s="30">
        <v>-0.02389754258159761</v>
      </c>
      <c r="E261" s="30">
        <v>-0.004095634880180589</v>
      </c>
      <c r="F261" s="210">
        <v>678.7006971820529</v>
      </c>
      <c r="G261" s="209">
        <v>-5279.383880782369</v>
      </c>
      <c r="H261" s="210">
        <v>5881.259132784586</v>
      </c>
      <c r="I261" s="210">
        <v>6958.204680938696</v>
      </c>
      <c r="J261" s="215">
        <v>3.766</v>
      </c>
      <c r="K261" s="212">
        <v>42.76</v>
      </c>
      <c r="L261" s="212">
        <v>158.75</v>
      </c>
      <c r="M261" s="212">
        <v>7.61</v>
      </c>
      <c r="N261" s="212">
        <v>105.63</v>
      </c>
      <c r="O261" s="213">
        <v>3.5005075073413217E-4</v>
      </c>
      <c r="P261" s="214">
        <v>0.011316332470309312</v>
      </c>
      <c r="Q261" s="214">
        <v>0.0015342332218072352</v>
      </c>
      <c r="R261" s="214">
        <v>0.0012997422666115217</v>
      </c>
      <c r="S261" s="214">
        <v>0.0011356042146813221</v>
      </c>
    </row>
    <row r="262">
      <c r="A262" s="208">
        <v>43227.0</v>
      </c>
      <c r="B262" s="30">
        <v>-0.03768131265007968</v>
      </c>
      <c r="C262" s="30">
        <v>0.010711578468604602</v>
      </c>
      <c r="D262" s="30">
        <v>-0.026969734181475077</v>
      </c>
      <c r="E262" s="30">
        <v>0.00616617554797735</v>
      </c>
      <c r="F262" s="210">
        <v>1362.2157041006394</v>
      </c>
      <c r="G262" s="209">
        <v>-5958.084577964421</v>
      </c>
      <c r="H262" s="210">
        <v>13608.712000000018</v>
      </c>
      <c r="I262" s="210">
        <v>3710.8735519713164</v>
      </c>
      <c r="J262" s="215">
        <v>3.762</v>
      </c>
      <c r="K262" s="212">
        <v>42.671</v>
      </c>
      <c r="L262" s="212">
        <v>158.24</v>
      </c>
      <c r="M262" s="212">
        <v>7.66</v>
      </c>
      <c r="N262" s="212">
        <v>105.59</v>
      </c>
      <c r="O262" s="213">
        <v>0.0022111395811048964</v>
      </c>
      <c r="P262" s="214">
        <v>0.004814212380271503</v>
      </c>
      <c r="Q262" s="214">
        <v>0.0019399734168256133</v>
      </c>
      <c r="R262" s="214">
        <v>0.0034898430112458114</v>
      </c>
      <c r="S262" s="214">
        <v>0.0032892292579279614</v>
      </c>
    </row>
    <row r="263">
      <c r="A263" s="208">
        <v>43224.0</v>
      </c>
      <c r="B263" s="30">
        <v>-0.04381269846359937</v>
      </c>
      <c r="C263" s="30">
        <v>0.010676788734146942</v>
      </c>
      <c r="D263" s="30">
        <v>-0.03313590972945243</v>
      </c>
      <c r="E263" s="30">
        <v>-0.0011380321192998658</v>
      </c>
      <c r="F263" s="210">
        <v>-251.41114011743048</v>
      </c>
      <c r="G263" s="209">
        <v>-7320.300282065061</v>
      </c>
      <c r="H263" s="210">
        <v>19430.362000000016</v>
      </c>
      <c r="I263" s="210">
        <v>3244.917853046569</v>
      </c>
      <c r="J263" s="215">
        <v>3.749</v>
      </c>
      <c r="K263" s="212">
        <v>42.284</v>
      </c>
      <c r="L263" s="212">
        <v>158.0</v>
      </c>
      <c r="M263" s="212">
        <v>7.63</v>
      </c>
      <c r="N263" s="212">
        <v>105.2</v>
      </c>
      <c r="O263" s="213">
        <v>0.0023972416431840373</v>
      </c>
      <c r="P263" s="214">
        <v>0.0014897815680851023</v>
      </c>
      <c r="Q263" s="214">
        <v>0.00372274176337443</v>
      </c>
      <c r="R263" s="214">
        <v>0.0052626361478725165</v>
      </c>
      <c r="S263" s="214">
        <v>0.002791353513779423</v>
      </c>
    </row>
    <row r="264">
      <c r="A264" s="208">
        <v>43223.0</v>
      </c>
      <c r="B264" s="30">
        <v>-0.042686284177524916</v>
      </c>
      <c r="C264" s="30">
        <v>0.010688406567372351</v>
      </c>
      <c r="D264" s="30">
        <v>-0.03199787761015256</v>
      </c>
      <c r="E264" s="30">
        <v>-9.234456848038197E-4</v>
      </c>
      <c r="F264" s="210">
        <v>-204.00525478655345</v>
      </c>
      <c r="G264" s="209">
        <v>-7068.88914194763</v>
      </c>
      <c r="H264" s="210">
        <v>19430.362000000016</v>
      </c>
      <c r="I264" s="210">
        <v>3244.917853046569</v>
      </c>
      <c r="J264" s="215">
        <v>3.762</v>
      </c>
      <c r="K264" s="212">
        <v>41.32</v>
      </c>
      <c r="L264" s="212">
        <v>158.02</v>
      </c>
      <c r="M264" s="212">
        <v>7.58</v>
      </c>
      <c r="N264" s="212">
        <v>105.27</v>
      </c>
      <c r="O264" s="213">
        <v>0.00588160265279732</v>
      </c>
      <c r="P264" s="214">
        <v>-0.004810451066235307</v>
      </c>
      <c r="Q264" s="214">
        <v>0.004810336095150025</v>
      </c>
      <c r="R264" s="214">
        <v>0.003965981447193882</v>
      </c>
      <c r="S264" s="214">
        <v>0.0022782350598849663</v>
      </c>
    </row>
    <row r="265">
      <c r="A265" s="208">
        <v>43222.0</v>
      </c>
      <c r="B265" s="30">
        <v>-0.04175625240569324</v>
      </c>
      <c r="C265" s="30">
        <v>0.010681820480344497</v>
      </c>
      <c r="D265" s="30">
        <v>-0.03107443192534874</v>
      </c>
      <c r="E265" s="30">
        <v>0.004173806754209558</v>
      </c>
      <c r="F265" s="210">
        <v>922.0666947003474</v>
      </c>
      <c r="G265" s="209">
        <v>-6864.883887161077</v>
      </c>
      <c r="H265" s="210">
        <v>19430.362000000016</v>
      </c>
      <c r="I265" s="210">
        <v>3244.917853046569</v>
      </c>
      <c r="J265" s="215">
        <v>3.737</v>
      </c>
      <c r="K265" s="212">
        <v>42.04</v>
      </c>
      <c r="L265" s="212">
        <v>157.32</v>
      </c>
      <c r="M265" s="212">
        <v>7.58</v>
      </c>
      <c r="N265" s="212">
        <v>104.55</v>
      </c>
      <c r="O265" s="213">
        <v>0.006552471744719031</v>
      </c>
      <c r="P265" s="214">
        <v>0.0029144971262889583</v>
      </c>
      <c r="Q265" s="214">
        <v>0.004275409801203001</v>
      </c>
      <c r="R265" s="214">
        <v>0.004411019275409249</v>
      </c>
      <c r="S265" s="214">
        <v>0.0011461594338967689</v>
      </c>
    </row>
    <row r="266">
      <c r="A266" s="208">
        <v>43220.0</v>
      </c>
      <c r="B266" s="30">
        <v>-0.0459417078190962</v>
      </c>
      <c r="C266" s="30">
        <v>0.010693469139537896</v>
      </c>
      <c r="D266" s="30">
        <v>-0.0352482386795583</v>
      </c>
      <c r="E266" s="30">
        <v>0.0026581810843352913</v>
      </c>
      <c r="F266" s="210">
        <v>639.9104267426837</v>
      </c>
      <c r="G266" s="209">
        <v>-7786.950581861424</v>
      </c>
      <c r="H266" s="210">
        <v>21143.475000000013</v>
      </c>
      <c r="I266" s="210">
        <v>4300.680999999959</v>
      </c>
      <c r="J266" s="215">
        <v>3.722</v>
      </c>
      <c r="K266" s="212">
        <v>42.078</v>
      </c>
      <c r="L266" s="212">
        <v>156.24</v>
      </c>
      <c r="M266" s="212">
        <v>7.51</v>
      </c>
      <c r="N266" s="212">
        <v>104.32</v>
      </c>
      <c r="O266" s="213">
        <v>0.008671559789484787</v>
      </c>
      <c r="P266" s="214">
        <v>0.00843900354784007</v>
      </c>
      <c r="Q266" s="214">
        <v>0.004927436129197142</v>
      </c>
      <c r="R266" s="214">
        <v>0.004452172700079619</v>
      </c>
      <c r="S266" s="214">
        <v>0.0015326071594197188</v>
      </c>
    </row>
    <row r="267">
      <c r="A267" s="208">
        <v>43217.0</v>
      </c>
      <c r="B267" s="30">
        <v>-0.048873411150760916</v>
      </c>
      <c r="C267" s="30">
        <v>0.010728568053562626</v>
      </c>
      <c r="D267" s="30">
        <v>-0.03814484309719829</v>
      </c>
      <c r="E267" s="30">
        <v>0.013756262455032968</v>
      </c>
      <c r="F267" s="210">
        <v>3038.9982575378926</v>
      </c>
      <c r="G267" s="209">
        <v>-8426.861008604108</v>
      </c>
      <c r="H267" s="210">
        <v>21143.475000000013</v>
      </c>
      <c r="I267" s="210">
        <v>4300.680999999959</v>
      </c>
      <c r="J267" s="215">
        <v>3.696</v>
      </c>
      <c r="K267" s="212">
        <v>41.914</v>
      </c>
      <c r="L267" s="212">
        <v>155.75</v>
      </c>
      <c r="M267" s="212">
        <v>7.49</v>
      </c>
      <c r="N267" s="212">
        <v>104.55</v>
      </c>
      <c r="O267" s="213">
        <v>0.004872203952054306</v>
      </c>
      <c r="P267" s="214">
        <v>0.003117400915124876</v>
      </c>
      <c r="Q267" s="214">
        <v>0.004336758509450848</v>
      </c>
      <c r="R267" s="214">
        <v>0.004464152528444713</v>
      </c>
      <c r="S267" s="214">
        <v>0.0012082033259304126</v>
      </c>
    </row>
    <row r="268">
      <c r="A268" s="208">
        <v>43216.0</v>
      </c>
      <c r="B268" s="30">
        <v>-0.06264142450179998</v>
      </c>
      <c r="C268" s="30">
        <v>0.010740318949568721</v>
      </c>
      <c r="D268" s="30">
        <v>-0.05190110555223126</v>
      </c>
      <c r="E268" s="30">
        <v>0.002770702320029385</v>
      </c>
      <c r="F268" s="210">
        <v>612.0964579041483</v>
      </c>
      <c r="G268" s="209">
        <v>-11465.859266142</v>
      </c>
      <c r="H268" s="210">
        <v>21143.475000000013</v>
      </c>
      <c r="I268" s="210">
        <v>4300.680999999959</v>
      </c>
      <c r="J268" s="215">
        <v>3.664</v>
      </c>
      <c r="K268" s="212">
        <v>41.673</v>
      </c>
      <c r="L268" s="212">
        <v>155.31</v>
      </c>
      <c r="M268" s="212">
        <v>7.48</v>
      </c>
      <c r="N268" s="212">
        <v>104.19</v>
      </c>
      <c r="O268" s="213">
        <v>0.001620101853164709</v>
      </c>
      <c r="P268" s="214">
        <v>-1.320735909348114E-4</v>
      </c>
      <c r="Q268" s="214">
        <v>0.0029397346820898562</v>
      </c>
      <c r="R268" s="214">
        <v>0.004019114700229272</v>
      </c>
      <c r="S268" s="214">
        <v>0.0011483923274003456</v>
      </c>
    </row>
    <row r="269">
      <c r="A269" s="208">
        <v>43215.0</v>
      </c>
      <c r="B269" s="30">
        <v>-0.06542390348734424</v>
      </c>
      <c r="C269" s="30">
        <v>0.0107520956150836</v>
      </c>
      <c r="D269" s="30">
        <v>-0.05467180787226064</v>
      </c>
      <c r="E269" s="30">
        <v>-0.009690614141258581</v>
      </c>
      <c r="F269" s="210">
        <v>-2140.825648392758</v>
      </c>
      <c r="G269" s="209">
        <v>-12077.955724046149</v>
      </c>
      <c r="H269" s="210">
        <v>21143.475000000013</v>
      </c>
      <c r="I269" s="210">
        <v>4300.680999999959</v>
      </c>
      <c r="J269" s="215">
        <v>3.626</v>
      </c>
      <c r="K269" s="212">
        <v>41.02</v>
      </c>
      <c r="L269" s="212">
        <v>153.94</v>
      </c>
      <c r="M269" s="212">
        <v>7.41</v>
      </c>
      <c r="N269" s="212">
        <v>103.84</v>
      </c>
      <c r="O269" s="213">
        <v>-0.0022026553947135743</v>
      </c>
      <c r="P269" s="214">
        <v>-0.002828148996561216</v>
      </c>
      <c r="Q269" s="214">
        <v>4.1079453773277635E-4</v>
      </c>
      <c r="R269" s="214">
        <v>-2.4348717461523486E-6</v>
      </c>
      <c r="S269" s="214">
        <v>-0.0018012711317467363</v>
      </c>
    </row>
    <row r="270">
      <c r="A270" s="208">
        <v>43214.0</v>
      </c>
      <c r="B270" s="30">
        <v>-0.05574509186597049</v>
      </c>
      <c r="C270" s="30">
        <v>0.010763898134968433</v>
      </c>
      <c r="D270" s="30">
        <v>-0.04498119373100206</v>
      </c>
      <c r="E270" s="30">
        <v>0.002642840206775028</v>
      </c>
      <c r="F270" s="210">
        <v>583.8494874312237</v>
      </c>
      <c r="G270" s="209">
        <v>-9937.130075653391</v>
      </c>
      <c r="H270" s="210">
        <v>21143.475000000013</v>
      </c>
      <c r="I270" s="210">
        <v>4300.680999999959</v>
      </c>
      <c r="J270" s="215">
        <v>3.642</v>
      </c>
      <c r="K270" s="212">
        <v>41.515</v>
      </c>
      <c r="L270" s="212">
        <v>153.73</v>
      </c>
      <c r="M270" s="212">
        <v>7.39</v>
      </c>
      <c r="N270" s="212">
        <v>104.17</v>
      </c>
      <c r="O270" s="213">
        <v>0.0013686598400067436</v>
      </c>
      <c r="P270" s="214">
        <v>5.496116953828493E-4</v>
      </c>
      <c r="Q270" s="214">
        <v>0.001755529913110454</v>
      </c>
      <c r="R270" s="214">
        <v>-9.021199819575868E-4</v>
      </c>
      <c r="S270" s="214">
        <v>-1.0337949376160172E-4</v>
      </c>
    </row>
    <row r="271">
      <c r="A271" s="208">
        <v>43213.0</v>
      </c>
      <c r="B271" s="30">
        <v>-0.0583997605322345</v>
      </c>
      <c r="C271" s="30">
        <v>0.010775726594457411</v>
      </c>
      <c r="D271" s="30">
        <v>-0.04762403393777709</v>
      </c>
      <c r="E271" s="30">
        <v>0.00458829519813897</v>
      </c>
      <c r="F271" s="210">
        <v>-215.84642822774367</v>
      </c>
      <c r="G271" s="209">
        <v>-10520.979563084615</v>
      </c>
      <c r="H271" s="210">
        <v>21143.475000000013</v>
      </c>
      <c r="I271" s="210">
        <v>4300.680999999959</v>
      </c>
      <c r="J271" s="215">
        <v>3.646</v>
      </c>
      <c r="K271" s="212">
        <v>41.681</v>
      </c>
      <c r="L271" s="212">
        <v>153.94</v>
      </c>
      <c r="M271" s="212">
        <v>7.39</v>
      </c>
      <c r="N271" s="212">
        <v>103.83</v>
      </c>
      <c r="O271" s="213">
        <v>-0.003687536691982962</v>
      </c>
      <c r="P271" s="214">
        <v>8.892163360008087E-5</v>
      </c>
      <c r="Q271" s="214">
        <v>0.0014043517689904528</v>
      </c>
      <c r="R271" s="214">
        <v>-2.4348717461523486E-6</v>
      </c>
      <c r="S271" s="214">
        <v>-0.0023109863935269668</v>
      </c>
    </row>
    <row r="272">
      <c r="A272" s="208">
        <v>43210.0</v>
      </c>
      <c r="B272" s="30">
        <v>-0.0574583567270873</v>
      </c>
      <c r="C272" s="30">
        <v>0.010811368468529486</v>
      </c>
      <c r="D272" s="30">
        <v>-0.046646988258557814</v>
      </c>
      <c r="E272" s="30">
        <v>-0.002219940578710583</v>
      </c>
      <c r="F272" s="210">
        <v>-490.4235850829409</v>
      </c>
      <c r="G272" s="209">
        <v>-10305.133134856871</v>
      </c>
      <c r="H272" s="210">
        <v>21143.475000000013</v>
      </c>
      <c r="I272" s="210">
        <v>4300.680999999959</v>
      </c>
      <c r="J272" s="215">
        <v>3.65</v>
      </c>
      <c r="K272" s="212">
        <v>41.365</v>
      </c>
      <c r="L272" s="212">
        <v>153.75</v>
      </c>
      <c r="M272" s="212">
        <v>7.41</v>
      </c>
      <c r="N272" s="212">
        <v>104.4</v>
      </c>
      <c r="O272" s="213">
        <v>-0.0040452972537325564</v>
      </c>
      <c r="P272" s="214">
        <v>-0.0020942200410981235</v>
      </c>
      <c r="Q272" s="214">
        <v>-4.639974152986411E-4</v>
      </c>
      <c r="R272" s="214">
        <v>0.004959225029020613</v>
      </c>
      <c r="S272" s="214">
        <v>3.1599468363293265E-4</v>
      </c>
    </row>
    <row r="273">
      <c r="A273" s="208">
        <v>43209.0</v>
      </c>
      <c r="B273" s="30">
        <v>-0.05525034922615655</v>
      </c>
      <c r="C273" s="30">
        <v>0.010823301546309321</v>
      </c>
      <c r="D273" s="30">
        <v>-0.04442704767984723</v>
      </c>
      <c r="E273" s="30">
        <v>-0.0022512844180714447</v>
      </c>
      <c r="F273" s="210">
        <v>-497.34798577052425</v>
      </c>
      <c r="G273" s="209">
        <v>-9814.70954977393</v>
      </c>
      <c r="H273" s="210">
        <v>21143.475000000013</v>
      </c>
      <c r="I273" s="210">
        <v>4300.680999999959</v>
      </c>
      <c r="J273" s="215">
        <v>3.627</v>
      </c>
      <c r="K273" s="212">
        <v>41.445</v>
      </c>
      <c r="L273" s="212">
        <v>152.92</v>
      </c>
      <c r="M273" s="212">
        <v>7.41</v>
      </c>
      <c r="N273" s="212">
        <v>104.2</v>
      </c>
      <c r="O273" s="213">
        <v>-0.0038898433892651982</v>
      </c>
      <c r="P273" s="214">
        <v>0.0033712681716401662</v>
      </c>
      <c r="Q273" s="214">
        <v>-0.0012891763763633879</v>
      </c>
      <c r="R273" s="214">
        <v>0.004045983019888159</v>
      </c>
      <c r="S273" s="214">
        <v>-6.421658440716923E-4</v>
      </c>
    </row>
    <row r="274">
      <c r="A274" s="208">
        <v>43208.0</v>
      </c>
      <c r="B274" s="30">
        <v>-0.05301102425730755</v>
      </c>
      <c r="C274" s="30">
        <v>0.01083526099553176</v>
      </c>
      <c r="D274" s="30">
        <v>-0.04217576326177579</v>
      </c>
      <c r="E274" s="30">
        <v>0.005552964896219509</v>
      </c>
      <c r="F274" s="210">
        <v>1226.7467779815433</v>
      </c>
      <c r="G274" s="209">
        <v>-9317.361564003406</v>
      </c>
      <c r="H274" s="210">
        <v>21143.475000000013</v>
      </c>
      <c r="I274" s="210">
        <v>4300.680999999959</v>
      </c>
      <c r="J274" s="215">
        <v>3.686</v>
      </c>
      <c r="K274" s="212">
        <v>41.668</v>
      </c>
      <c r="L274" s="212">
        <v>153.29</v>
      </c>
      <c r="M274" s="212">
        <v>7.39</v>
      </c>
      <c r="N274" s="212">
        <v>104.55</v>
      </c>
      <c r="O274" s="213">
        <v>-9.205321088205561E-4</v>
      </c>
      <c r="P274" s="214">
        <v>0.005189186382414761</v>
      </c>
      <c r="Q274" s="214">
        <v>-0.002284925743801384</v>
      </c>
      <c r="R274" s="214">
        <v>0.0017801776910975065</v>
      </c>
      <c r="S274" s="214">
        <v>-2.2495069391596326E-4</v>
      </c>
    </row>
    <row r="275">
      <c r="A275" s="208">
        <v>43207.0</v>
      </c>
      <c r="B275" s="30">
        <v>-0.058575975061707954</v>
      </c>
      <c r="C275" s="30">
        <v>0.010847246903712658</v>
      </c>
      <c r="D275" s="30">
        <v>-0.047728728157995295</v>
      </c>
      <c r="E275" s="30">
        <v>0.001778651566986228</v>
      </c>
      <c r="F275" s="210">
        <v>392.93514721075735</v>
      </c>
      <c r="G275" s="209">
        <v>-10544.10834198495</v>
      </c>
      <c r="H275" s="210">
        <v>21143.475000000013</v>
      </c>
      <c r="I275" s="210">
        <v>4300.680999999959</v>
      </c>
      <c r="J275" s="215">
        <v>3.694</v>
      </c>
      <c r="K275" s="212">
        <v>41.625</v>
      </c>
      <c r="L275" s="212">
        <v>153.96</v>
      </c>
      <c r="M275" s="212">
        <v>7.3</v>
      </c>
      <c r="N275" s="212">
        <v>104.3</v>
      </c>
      <c r="O275" s="213">
        <v>7.348879160292328E-5</v>
      </c>
      <c r="P275" s="214">
        <v>0.00396757671721996</v>
      </c>
      <c r="Q275" s="214">
        <v>-0.0010655629938860118</v>
      </c>
      <c r="R275" s="214">
        <v>-4.6530327079559913E-4</v>
      </c>
      <c r="S275" s="214">
        <v>0.0010171082367321411</v>
      </c>
    </row>
    <row r="276">
      <c r="A276" s="208">
        <v>43206.0</v>
      </c>
      <c r="B276" s="30">
        <v>-0.06036663908373706</v>
      </c>
      <c r="C276" s="30">
        <v>0.010859259358755535</v>
      </c>
      <c r="D276" s="30">
        <v>-0.04950737972498152</v>
      </c>
      <c r="E276" s="30">
        <v>-5.643615722858916E-4</v>
      </c>
      <c r="F276" s="210">
        <v>-93.69472865026546</v>
      </c>
      <c r="G276" s="209">
        <v>-10937.043489195707</v>
      </c>
      <c r="H276" s="210">
        <v>21143.475000000013</v>
      </c>
      <c r="I276" s="210">
        <v>4300.680999999959</v>
      </c>
      <c r="J276" s="215">
        <v>3.669</v>
      </c>
      <c r="K276" s="212">
        <v>41.023</v>
      </c>
      <c r="L276" s="212">
        <v>153.51</v>
      </c>
      <c r="M276" s="212">
        <v>7.32</v>
      </c>
      <c r="N276" s="212">
        <v>104.4</v>
      </c>
      <c r="O276" s="213">
        <v>-0.0030850302325456935</v>
      </c>
      <c r="P276" s="214">
        <v>0.003142411735081674</v>
      </c>
      <c r="Q276" s="214">
        <v>-0.001349219387927869</v>
      </c>
      <c r="R276" s="214">
        <v>-4.6405396572154106E-4</v>
      </c>
      <c r="S276" s="214">
        <v>-0.0036001476691685705</v>
      </c>
    </row>
    <row r="277">
      <c r="A277" s="208">
        <v>43203.0</v>
      </c>
      <c r="B277" s="30">
        <v>-0.05997872012366175</v>
      </c>
      <c r="C277" s="30">
        <v>0.010895456889951383</v>
      </c>
      <c r="D277" s="30">
        <v>-0.049083263233710366</v>
      </c>
      <c r="E277" s="30">
        <v>7.07404290298197E-4</v>
      </c>
      <c r="F277" s="210">
        <v>156.27794341801928</v>
      </c>
      <c r="G277" s="209">
        <v>-10843.348760545441</v>
      </c>
      <c r="H277" s="210">
        <v>21143.475000000013</v>
      </c>
      <c r="I277" s="210">
        <v>4300.680999999959</v>
      </c>
      <c r="J277" s="215">
        <v>3.696</v>
      </c>
      <c r="K277" s="212">
        <v>41.02</v>
      </c>
      <c r="L277" s="212">
        <v>154.34</v>
      </c>
      <c r="M277" s="212">
        <v>7.35</v>
      </c>
      <c r="N277" s="212">
        <v>104.62</v>
      </c>
      <c r="O277" s="213">
        <v>3.5814236763180113E-4</v>
      </c>
      <c r="P277" s="214">
        <v>5.832744915444573E-4</v>
      </c>
      <c r="Q277" s="214">
        <v>-2.606313462082029E-4</v>
      </c>
      <c r="R277" s="214">
        <v>0.002721074893148804</v>
      </c>
      <c r="S277" s="214">
        <v>0.002251381751025757</v>
      </c>
    </row>
    <row r="278">
      <c r="A278" s="208">
        <v>43202.0</v>
      </c>
      <c r="B278" s="30">
        <v>-0.06069824394331473</v>
      </c>
      <c r="C278" s="30">
        <v>0.010907576419306168</v>
      </c>
      <c r="D278" s="30">
        <v>-0.04979066752400856</v>
      </c>
      <c r="E278" s="30">
        <v>0.005466839565853761</v>
      </c>
      <c r="F278" s="210">
        <v>1207.7201906532664</v>
      </c>
      <c r="G278" s="209">
        <v>-10999.62670396346</v>
      </c>
      <c r="H278" s="210">
        <v>21143.475000000013</v>
      </c>
      <c r="I278" s="210">
        <v>4300.680999999959</v>
      </c>
      <c r="J278" s="215">
        <v>3.693</v>
      </c>
      <c r="K278" s="212">
        <v>41.128</v>
      </c>
      <c r="L278" s="212">
        <v>154.45</v>
      </c>
      <c r="M278" s="212">
        <v>7.31</v>
      </c>
      <c r="N278" s="212">
        <v>103.98</v>
      </c>
      <c r="O278" s="213">
        <v>9.904326125981615E-4</v>
      </c>
      <c r="P278" s="214">
        <v>0.003243818181190387</v>
      </c>
      <c r="Q278" s="214">
        <v>-1.741245365417162E-4</v>
      </c>
      <c r="R278" s="214">
        <v>0.0041077475320260666</v>
      </c>
      <c r="S278" s="214">
        <v>8.860456113183682E-4</v>
      </c>
    </row>
    <row r="279">
      <c r="A279" s="208">
        <v>43201.0</v>
      </c>
      <c r="B279" s="30">
        <v>-0.06617723003079355</v>
      </c>
      <c r="C279" s="30">
        <v>0.01091972294093123</v>
      </c>
      <c r="D279" s="30">
        <v>-0.05525750708986232</v>
      </c>
      <c r="E279" s="30">
        <v>-0.007313774061391165</v>
      </c>
      <c r="F279" s="210">
        <v>-1615.740227496286</v>
      </c>
      <c r="G279" s="209">
        <v>-12207.346894616727</v>
      </c>
      <c r="H279" s="210">
        <v>21143.475000000013</v>
      </c>
      <c r="I279" s="210">
        <v>4300.680999999959</v>
      </c>
      <c r="J279" s="215">
        <v>3.703</v>
      </c>
      <c r="K279" s="212">
        <v>40.635</v>
      </c>
      <c r="L279" s="212">
        <v>154.13</v>
      </c>
      <c r="M279" s="212">
        <v>7.33</v>
      </c>
      <c r="N279" s="212">
        <v>105.52</v>
      </c>
      <c r="O279" s="213">
        <v>-3.7022156826160835E-4</v>
      </c>
      <c r="P279" s="214">
        <v>-0.0011447167244043783</v>
      </c>
      <c r="Q279" s="214">
        <v>-0.002784546999134626</v>
      </c>
      <c r="R279" s="214">
        <v>0.007328142821495261</v>
      </c>
      <c r="S279" s="214">
        <v>0.0048905364737586625</v>
      </c>
    </row>
    <row r="280">
      <c r="A280" s="208">
        <v>43200.0</v>
      </c>
      <c r="B280" s="30">
        <v>-0.06146635721205336</v>
      </c>
      <c r="C280" s="30">
        <v>0.013522624183582204</v>
      </c>
      <c r="D280" s="30">
        <v>-0.04794373302847116</v>
      </c>
      <c r="E280" s="30">
        <v>0.0037285185797773512</v>
      </c>
      <c r="F280" s="210">
        <v>823.6947720487406</v>
      </c>
      <c r="G280" s="209">
        <v>-10591.60666712044</v>
      </c>
      <c r="H280" s="210">
        <v>21143.475000000013</v>
      </c>
      <c r="I280" s="210">
        <v>4300.680999999959</v>
      </c>
      <c r="J280" s="215">
        <v>3.692</v>
      </c>
      <c r="K280" s="212">
        <v>40.944</v>
      </c>
      <c r="L280" s="212">
        <v>154.46</v>
      </c>
      <c r="M280" s="212">
        <v>7.29</v>
      </c>
      <c r="N280" s="212">
        <v>103.89</v>
      </c>
      <c r="O280" s="213">
        <v>-1.9145007807445472E-4</v>
      </c>
      <c r="P280" s="214">
        <v>-0.004561607060990107</v>
      </c>
      <c r="Q280" s="214">
        <v>-0.001985074700000015</v>
      </c>
      <c r="R280" s="214">
        <v>0.0036495339952442216</v>
      </c>
      <c r="S280" s="214">
        <v>2.544021025586707E-4</v>
      </c>
    </row>
    <row r="281">
      <c r="A281" s="208">
        <v>43199.0</v>
      </c>
      <c r="B281" s="30">
        <v>-0.06334443924010465</v>
      </c>
      <c r="C281" s="30">
        <v>0.011672187631856136</v>
      </c>
      <c r="D281" s="30">
        <v>-0.05167225160824851</v>
      </c>
      <c r="E281" s="30">
        <v>3.3133158569147864E-4</v>
      </c>
      <c r="F281" s="210">
        <v>163.16088542287798</v>
      </c>
      <c r="G281" s="209">
        <v>-11415.301439169181</v>
      </c>
      <c r="H281" s="210">
        <v>21143.475000000013</v>
      </c>
      <c r="I281" s="210">
        <v>4300.680999999959</v>
      </c>
      <c r="J281" s="215">
        <v>3.682</v>
      </c>
      <c r="K281" s="212">
        <v>40.725</v>
      </c>
      <c r="L281" s="212">
        <v>154.53</v>
      </c>
      <c r="M281" s="212">
        <v>7.22</v>
      </c>
      <c r="N281" s="212">
        <v>103.68</v>
      </c>
      <c r="O281" s="213">
        <v>-0.0019064308683734617</v>
      </c>
      <c r="P281" s="214">
        <v>0.0036793247690775446</v>
      </c>
      <c r="Q281" s="214">
        <v>-0.0010188050461970761</v>
      </c>
      <c r="R281" s="214">
        <v>0.004609690055484135</v>
      </c>
      <c r="S281" s="214">
        <v>-0.001254246038274139</v>
      </c>
    </row>
    <row r="282">
      <c r="A282" s="208">
        <v>43196.0</v>
      </c>
      <c r="B282" s="30">
        <v>-0.0641222119802841</v>
      </c>
      <c r="C282" s="30">
        <v>0.011711399908334934</v>
      </c>
      <c r="D282" s="30">
        <v>-0.05241081207194917</v>
      </c>
      <c r="E282" s="30">
        <v>-0.002962500774738877</v>
      </c>
      <c r="F282" s="210">
        <v>-654.4680811241851</v>
      </c>
      <c r="G282" s="209">
        <v>-11578.46232459206</v>
      </c>
      <c r="H282" s="210">
        <v>21143.475000000013</v>
      </c>
      <c r="I282" s="210">
        <v>4300.680999999959</v>
      </c>
      <c r="J282" s="215">
        <v>3.707</v>
      </c>
      <c r="K282" s="212">
        <v>40.773</v>
      </c>
      <c r="L282" s="212">
        <v>155.42</v>
      </c>
      <c r="M282" s="212">
        <v>7.17</v>
      </c>
      <c r="N282" s="212">
        <v>103.97</v>
      </c>
      <c r="O282" s="213">
        <v>-0.0010834418008309015</v>
      </c>
      <c r="P282" s="214">
        <v>0.0049417042458971645</v>
      </c>
      <c r="Q282" s="214">
        <v>-1.0975791124963792E-4</v>
      </c>
      <c r="R282" s="214">
        <v>-0.0019121956759941365</v>
      </c>
      <c r="S282" s="214">
        <v>-9.768200611159905E-5</v>
      </c>
    </row>
    <row r="283">
      <c r="A283" s="208">
        <v>43195.0</v>
      </c>
      <c r="B283" s="30">
        <v>-0.06117284057763977</v>
      </c>
      <c r="C283" s="30">
        <v>0.011724529280429477</v>
      </c>
      <c r="D283" s="30">
        <v>-0.04944831129721029</v>
      </c>
      <c r="E283" s="30">
        <v>0.012756004447571148</v>
      </c>
      <c r="F283" s="210">
        <v>2818.0238212256063</v>
      </c>
      <c r="G283" s="209">
        <v>-10923.994243467874</v>
      </c>
      <c r="H283" s="210">
        <v>21143.475000000013</v>
      </c>
      <c r="I283" s="210">
        <v>4300.680999999959</v>
      </c>
      <c r="J283" s="215">
        <v>3.694</v>
      </c>
      <c r="K283" s="212">
        <v>41.501</v>
      </c>
      <c r="L283" s="212">
        <v>155.38</v>
      </c>
      <c r="M283" s="212">
        <v>7.21</v>
      </c>
      <c r="N283" s="212">
        <v>103.81</v>
      </c>
      <c r="O283" s="213">
        <v>-0.0031486997148341502</v>
      </c>
      <c r="P283" s="214">
        <v>0.007057547744573604</v>
      </c>
      <c r="Q283" s="214">
        <v>-6.690477421715062E-5</v>
      </c>
      <c r="R283" s="214">
        <v>0.0017966879126473472</v>
      </c>
      <c r="S283" s="214">
        <v>0.0023701187401589476</v>
      </c>
    </row>
    <row r="284">
      <c r="A284" s="208">
        <v>43194.0</v>
      </c>
      <c r="B284" s="30">
        <v>-0.07394200386839883</v>
      </c>
      <c r="C284" s="30">
        <v>0.011737688123617388</v>
      </c>
      <c r="D284" s="30">
        <v>-0.06220431574478144</v>
      </c>
      <c r="E284" s="30">
        <v>-0.004234194547415075</v>
      </c>
      <c r="F284" s="210">
        <v>-935.4074112596609</v>
      </c>
      <c r="G284" s="209">
        <v>-13742.01806469348</v>
      </c>
      <c r="H284" s="210">
        <v>21143.475000000013</v>
      </c>
      <c r="I284" s="210">
        <v>4300.680999999959</v>
      </c>
      <c r="J284" s="215">
        <v>3.703</v>
      </c>
      <c r="K284" s="212">
        <v>40.253</v>
      </c>
      <c r="L284" s="212">
        <v>155.0</v>
      </c>
      <c r="M284" s="212">
        <v>7.12</v>
      </c>
      <c r="N284" s="212">
        <v>104.07</v>
      </c>
      <c r="O284" s="213">
        <v>2.5572268762859746E-4</v>
      </c>
      <c r="P284" s="214">
        <v>0.0018682984956668314</v>
      </c>
      <c r="Q284" s="214">
        <v>3.6191068485684025E-4</v>
      </c>
      <c r="R284" s="214">
        <v>-5.045995574259147E-4</v>
      </c>
      <c r="S284" s="214">
        <v>0.0028168915288991903</v>
      </c>
    </row>
    <row r="285">
      <c r="A285" s="208">
        <v>43193.0</v>
      </c>
      <c r="B285" s="30">
        <v>-0.06955834169382187</v>
      </c>
      <c r="C285" s="30">
        <v>0.011588220496455505</v>
      </c>
      <c r="D285" s="30">
        <v>-0.057970121197366366</v>
      </c>
      <c r="E285" s="30">
        <v>-0.005111252532634045</v>
      </c>
      <c r="F285" s="210">
        <v>-77.92668572079674</v>
      </c>
      <c r="G285" s="209">
        <v>-12806.61065343382</v>
      </c>
      <c r="H285" s="210">
        <v>21143.475000000013</v>
      </c>
      <c r="I285" s="210">
        <v>4300.680999999959</v>
      </c>
      <c r="J285" s="215">
        <v>3.719</v>
      </c>
      <c r="K285" s="212">
        <v>40.148</v>
      </c>
      <c r="L285" s="212">
        <v>155.47</v>
      </c>
      <c r="M285" s="212">
        <v>7.21</v>
      </c>
      <c r="N285" s="212">
        <v>104.0</v>
      </c>
      <c r="O285" s="213">
        <v>0.006200500844127044</v>
      </c>
      <c r="P285" s="214">
        <v>-0.005164632779702805</v>
      </c>
      <c r="Q285" s="214">
        <v>0.004688127645672095</v>
      </c>
      <c r="R285" s="214">
        <v>0.004176391770034593</v>
      </c>
      <c r="S285" s="214">
        <v>9.129341340993932E-4</v>
      </c>
    </row>
    <row r="286">
      <c r="A286" s="208">
        <v>43188.0</v>
      </c>
      <c r="B286" s="30">
        <v>-0.0692518571887199</v>
      </c>
      <c r="C286" s="30">
        <v>0.011634477207432613</v>
      </c>
      <c r="D286" s="30">
        <v>-0.057617379981287284</v>
      </c>
      <c r="E286" s="30">
        <v>0.008140658977033949</v>
      </c>
      <c r="F286" s="210">
        <v>1798.4135245518682</v>
      </c>
      <c r="G286" s="209">
        <v>-12728.683967713023</v>
      </c>
      <c r="H286" s="210">
        <v>21143.475000000013</v>
      </c>
      <c r="I286" s="210">
        <v>4300.680999999959</v>
      </c>
      <c r="J286" s="215">
        <v>3.729</v>
      </c>
      <c r="K286" s="212">
        <v>40.61</v>
      </c>
      <c r="L286" s="212">
        <v>155.41</v>
      </c>
      <c r="M286" s="212">
        <v>7.17</v>
      </c>
      <c r="N286" s="212">
        <v>103.07</v>
      </c>
      <c r="O286" s="213">
        <v>0.008557986346809265</v>
      </c>
      <c r="P286" s="214">
        <v>0.006121106448276163</v>
      </c>
      <c r="Q286" s="214">
        <v>0.005907692565907767</v>
      </c>
      <c r="R286" s="214">
        <v>0.002327108367353133</v>
      </c>
      <c r="S286" s="214">
        <v>-0.004221275780628364</v>
      </c>
    </row>
    <row r="287">
      <c r="A287" s="208">
        <v>43187.0</v>
      </c>
      <c r="B287" s="30">
        <v>-0.07740567733906542</v>
      </c>
      <c r="C287" s="30">
        <v>0.011647638380744188</v>
      </c>
      <c r="D287" s="30">
        <v>-0.06575803895832123</v>
      </c>
      <c r="E287" s="30">
        <v>-3.8437196722064526E-4</v>
      </c>
      <c r="F287" s="210">
        <v>-84.91447022389184</v>
      </c>
      <c r="G287" s="209">
        <v>-14527.097492264891</v>
      </c>
      <c r="H287" s="210">
        <v>21143.475000000013</v>
      </c>
      <c r="I287" s="210">
        <v>4300.680999999959</v>
      </c>
      <c r="J287" s="215">
        <v>3.7</v>
      </c>
      <c r="K287" s="212">
        <v>40.021</v>
      </c>
      <c r="L287" s="212">
        <v>154.83</v>
      </c>
      <c r="M287" s="212">
        <v>7.13</v>
      </c>
      <c r="N287" s="212">
        <v>103.19</v>
      </c>
      <c r="O287" s="213">
        <v>0.0043146185215379535</v>
      </c>
      <c r="P287" s="214">
        <v>-0.0039832607557107975</v>
      </c>
      <c r="Q287" s="214">
        <v>0.001978140491045092</v>
      </c>
      <c r="R287" s="214">
        <v>-9.369862006293195E-4</v>
      </c>
      <c r="S287" s="214">
        <v>-0.004695424158146055</v>
      </c>
    </row>
    <row r="288">
      <c r="A288" s="208">
        <v>43186.0</v>
      </c>
      <c r="B288" s="30">
        <v>-0.07704771725025916</v>
      </c>
      <c r="C288" s="30">
        <v>0.011674050259158575</v>
      </c>
      <c r="D288" s="30">
        <v>-0.06537366699110059</v>
      </c>
      <c r="E288" s="30">
        <v>-0.0038237133759284198</v>
      </c>
      <c r="F288" s="210">
        <v>-844.7249625220211</v>
      </c>
      <c r="G288" s="209">
        <v>-14442.183022041</v>
      </c>
      <c r="H288" s="210">
        <v>21143.475000000013</v>
      </c>
      <c r="I288" s="210">
        <v>4300.680999999959</v>
      </c>
      <c r="J288" s="215">
        <v>3.65</v>
      </c>
      <c r="K288" s="212">
        <v>40.761</v>
      </c>
      <c r="L288" s="212">
        <v>153.29</v>
      </c>
      <c r="M288" s="212">
        <v>7.12</v>
      </c>
      <c r="N288" s="212">
        <v>103.71</v>
      </c>
      <c r="O288" s="213">
        <v>-0.001376450422543048</v>
      </c>
      <c r="P288" s="214">
        <v>-0.0048274056478242455</v>
      </c>
      <c r="Q288" s="214">
        <v>-0.001813823673302628</v>
      </c>
      <c r="R288" s="214">
        <v>-0.0023368953144233817</v>
      </c>
      <c r="S288" s="214">
        <v>0.0013799295671736989</v>
      </c>
    </row>
    <row r="289">
      <c r="A289" s="208">
        <v>43185.0</v>
      </c>
      <c r="B289" s="30">
        <v>-0.07325053580673792</v>
      </c>
      <c r="C289" s="30">
        <v>0.011700582191565754</v>
      </c>
      <c r="D289" s="30">
        <v>-0.06154995361517217</v>
      </c>
      <c r="E289" s="30">
        <v>-0.001886354987927219</v>
      </c>
      <c r="F289" s="210">
        <v>-416.72871102508907</v>
      </c>
      <c r="G289" s="209">
        <v>-13597.458059518978</v>
      </c>
      <c r="H289" s="210">
        <v>21143.475000000013</v>
      </c>
      <c r="I289" s="210">
        <v>4300.680999999959</v>
      </c>
      <c r="J289" s="215">
        <v>3.634</v>
      </c>
      <c r="K289" s="212">
        <v>39.85</v>
      </c>
      <c r="L289" s="212">
        <v>152.67</v>
      </c>
      <c r="M289" s="212">
        <v>7.12</v>
      </c>
      <c r="N289" s="212">
        <v>104.38</v>
      </c>
      <c r="O289" s="213">
        <v>-4.7292640477654874E-4</v>
      </c>
      <c r="P289" s="214">
        <v>-0.020858466943493987</v>
      </c>
      <c r="Q289" s="214">
        <v>-0.002686211067722599</v>
      </c>
      <c r="R289" s="214">
        <v>-0.005126295593363454</v>
      </c>
      <c r="S289" s="214">
        <v>0.0028878132968699344</v>
      </c>
    </row>
    <row r="290">
      <c r="A290" s="208">
        <v>43182.0</v>
      </c>
      <c r="B290" s="30">
        <v>-0.07180009850816664</v>
      </c>
      <c r="C290" s="30">
        <v>0.012136499880921688</v>
      </c>
      <c r="D290" s="30">
        <v>-0.05966359862724495</v>
      </c>
      <c r="E290" s="30">
        <v>-0.0020913648418720773</v>
      </c>
      <c r="F290" s="210">
        <v>-462.01896271613623</v>
      </c>
      <c r="G290" s="209">
        <v>-13180.72934849389</v>
      </c>
      <c r="H290" s="210">
        <v>21143.475000000013</v>
      </c>
      <c r="I290" s="210">
        <v>4300.680999999959</v>
      </c>
      <c r="J290" s="215">
        <v>3.652</v>
      </c>
      <c r="K290" s="212">
        <v>40.48</v>
      </c>
      <c r="L290" s="212">
        <v>153.9</v>
      </c>
      <c r="M290" s="212">
        <v>7.15</v>
      </c>
      <c r="N290" s="212">
        <v>104.65</v>
      </c>
      <c r="O290" s="213">
        <v>2.6214422799471687E-4</v>
      </c>
      <c r="P290" s="214">
        <v>-0.014480084037789812</v>
      </c>
      <c r="Q290" s="214">
        <v>-6.287936777279827E-4</v>
      </c>
      <c r="R290" s="214">
        <v>8.8861833683788E-4</v>
      </c>
      <c r="S290" s="214">
        <v>0.007036024052920402</v>
      </c>
    </row>
    <row r="291">
      <c r="A291" s="208">
        <v>43181.0</v>
      </c>
      <c r="B291" s="30">
        <v>-0.06591486064230934</v>
      </c>
      <c r="C291" s="30">
        <v>0.008342626856936467</v>
      </c>
      <c r="D291" s="30">
        <v>-0.05757223378537287</v>
      </c>
      <c r="E291" s="30">
        <v>-0.0056106281447615425</v>
      </c>
      <c r="F291" s="210">
        <v>-1239.48559511418</v>
      </c>
      <c r="G291" s="209">
        <v>-12718.710385777753</v>
      </c>
      <c r="H291" s="210">
        <v>21143.475000000013</v>
      </c>
      <c r="I291" s="210">
        <v>4300.680999999959</v>
      </c>
      <c r="J291" s="215">
        <v>3.665</v>
      </c>
      <c r="K291" s="212">
        <v>41.331</v>
      </c>
      <c r="L291" s="212">
        <v>154.12</v>
      </c>
      <c r="M291" s="212">
        <v>7.17</v>
      </c>
      <c r="N291" s="212">
        <v>103.27</v>
      </c>
      <c r="O291" s="213">
        <v>9.919625270760808E-4</v>
      </c>
      <c r="P291" s="214">
        <v>-0.004624651667033408</v>
      </c>
      <c r="Q291" s="214">
        <v>4.5302000432179135E-4</v>
      </c>
      <c r="R291" s="214">
        <v>0.0018210192692387956</v>
      </c>
      <c r="S291" s="214">
        <v>0.0024452024782042336</v>
      </c>
    </row>
    <row r="292">
      <c r="A292" s="208">
        <v>43180.0</v>
      </c>
      <c r="B292" s="30">
        <v>-0.060313745184955934</v>
      </c>
      <c r="C292" s="30">
        <v>0.008352139544344606</v>
      </c>
      <c r="D292" s="30">
        <v>-0.05196160564061133</v>
      </c>
      <c r="E292" s="30">
        <v>5.749561716450954E-4</v>
      </c>
      <c r="F292" s="210">
        <v>127.01784438191135</v>
      </c>
      <c r="G292" s="209">
        <v>-11479.224790663573</v>
      </c>
      <c r="H292" s="210">
        <v>21143.475000000013</v>
      </c>
      <c r="I292" s="210">
        <v>4300.680999999959</v>
      </c>
      <c r="J292" s="215">
        <v>3.639</v>
      </c>
      <c r="K292" s="212">
        <v>42.395</v>
      </c>
      <c r="L292" s="212">
        <v>153.9</v>
      </c>
      <c r="M292" s="212">
        <v>7.23</v>
      </c>
      <c r="N292" s="212">
        <v>103.47</v>
      </c>
      <c r="O292" s="213">
        <v>-0.002649887913475979</v>
      </c>
      <c r="P292" s="214">
        <v>-0.0028147408269431815</v>
      </c>
      <c r="Q292" s="214">
        <v>-6.075570289751919E-4</v>
      </c>
      <c r="R292" s="214">
        <v>0.0013378622784266936</v>
      </c>
      <c r="S292" s="214">
        <v>0.0033183795020531592</v>
      </c>
    </row>
    <row r="293">
      <c r="A293" s="208">
        <v>43179.0</v>
      </c>
      <c r="B293" s="30">
        <v>-0.06089823576247357</v>
      </c>
      <c r="C293" s="30">
        <v>0.008361673950217145</v>
      </c>
      <c r="D293" s="30">
        <v>-0.052536561812256424</v>
      </c>
      <c r="E293" s="30">
        <v>-0.005905204113598954</v>
      </c>
      <c r="F293" s="210">
        <v>-1304.5625634357548</v>
      </c>
      <c r="G293" s="209">
        <v>-11606.242635045484</v>
      </c>
      <c r="H293" s="210">
        <v>21143.475000000013</v>
      </c>
      <c r="I293" s="210">
        <v>4300.680999999959</v>
      </c>
      <c r="J293" s="215">
        <v>3.649</v>
      </c>
      <c r="K293" s="212">
        <v>42.254</v>
      </c>
      <c r="L293" s="212">
        <v>154.19</v>
      </c>
      <c r="M293" s="212">
        <v>7.13</v>
      </c>
      <c r="N293" s="212">
        <v>102.45</v>
      </c>
      <c r="O293" s="213">
        <v>-0.0013703811683707379</v>
      </c>
      <c r="P293" s="214">
        <v>-0.0028003975000105985</v>
      </c>
      <c r="Q293" s="214">
        <v>3.4485274171410413E-4</v>
      </c>
      <c r="R293" s="214">
        <v>-0.00280959430678925</v>
      </c>
      <c r="S293" s="214">
        <v>3.240289047493997E-5</v>
      </c>
    </row>
    <row r="294">
      <c r="A294" s="208">
        <v>43178.0</v>
      </c>
      <c r="B294" s="30">
        <v>-0.055002587847674866</v>
      </c>
      <c r="C294" s="30">
        <v>0.008371230149017396</v>
      </c>
      <c r="D294" s="30">
        <v>-0.04663135769865747</v>
      </c>
      <c r="E294" s="30">
        <v>-0.0031699405960622443</v>
      </c>
      <c r="F294" s="210">
        <v>-847.635253498458</v>
      </c>
      <c r="G294" s="209">
        <v>-10301.68007160973</v>
      </c>
      <c r="H294" s="210">
        <v>21143.475000000013</v>
      </c>
      <c r="I294" s="210">
        <v>4300.680999999959</v>
      </c>
      <c r="J294" s="215">
        <v>3.654</v>
      </c>
      <c r="K294" s="212">
        <v>41.893</v>
      </c>
      <c r="L294" s="212">
        <v>153.91</v>
      </c>
      <c r="M294" s="212">
        <v>7.13</v>
      </c>
      <c r="N294" s="212">
        <v>102.51</v>
      </c>
      <c r="O294" s="213">
        <v>2.6904328362364893E-4</v>
      </c>
      <c r="P294" s="214">
        <v>-0.004005061624928308</v>
      </c>
      <c r="Q294" s="214">
        <v>8.648608583567974E-4</v>
      </c>
      <c r="R294" s="214">
        <v>-0.0018823805840261592</v>
      </c>
      <c r="S294" s="214">
        <v>-2.604705200267565E-4</v>
      </c>
    </row>
    <row r="295">
      <c r="A295" s="208">
        <v>43175.0</v>
      </c>
      <c r="B295" s="30">
        <v>-0.05119450091655371</v>
      </c>
      <c r="C295" s="30">
        <v>0.008400030252741079</v>
      </c>
      <c r="D295" s="30">
        <v>-0.04279447066381263</v>
      </c>
      <c r="E295" s="30">
        <v>0.0030032778762239046</v>
      </c>
      <c r="F295" s="210">
        <v>663.4764539118896</v>
      </c>
      <c r="G295" s="209">
        <v>-9454.044818111272</v>
      </c>
      <c r="H295" s="210">
        <v>21143.475000000013</v>
      </c>
      <c r="I295" s="210">
        <v>4300.680999999959</v>
      </c>
      <c r="J295" s="215">
        <v>3.668</v>
      </c>
      <c r="K295" s="212">
        <v>42.744</v>
      </c>
      <c r="L295" s="212">
        <v>154.18</v>
      </c>
      <c r="M295" s="212">
        <v>7.2</v>
      </c>
      <c r="N295" s="212">
        <v>102.44</v>
      </c>
      <c r="O295" s="213">
        <v>0.005472047551598358</v>
      </c>
      <c r="P295" s="214">
        <v>3.3633876149193515E-4</v>
      </c>
      <c r="Q295" s="214">
        <v>0.0031867471441777337</v>
      </c>
      <c r="R295" s="214">
        <v>0.0013901766857260522</v>
      </c>
      <c r="S295" s="214">
        <v>-3.581234063272376E-4</v>
      </c>
    </row>
    <row r="296">
      <c r="A296" s="208">
        <v>43174.0</v>
      </c>
      <c r="B296" s="30">
        <v>-0.05420742291476698</v>
      </c>
      <c r="C296" s="30">
        <v>0.008409674374730449</v>
      </c>
      <c r="D296" s="30">
        <v>-0.045797748540036536</v>
      </c>
      <c r="E296" s="30">
        <v>8.827370097351864E-4</v>
      </c>
      <c r="F296" s="210">
        <v>195.01199858744803</v>
      </c>
      <c r="G296" s="209">
        <v>-10117.521272023161</v>
      </c>
      <c r="H296" s="210">
        <v>21143.475000000013</v>
      </c>
      <c r="I296" s="210">
        <v>4300.680999999959</v>
      </c>
      <c r="J296" s="215">
        <v>3.664</v>
      </c>
      <c r="K296" s="212">
        <v>42.6</v>
      </c>
      <c r="L296" s="212">
        <v>154.03</v>
      </c>
      <c r="M296" s="212">
        <v>7.19</v>
      </c>
      <c r="N296" s="212">
        <v>102.44</v>
      </c>
      <c r="O296" s="213">
        <v>0.004646606933754034</v>
      </c>
      <c r="P296" s="214">
        <v>-0.0038702265739601893</v>
      </c>
      <c r="Q296" s="214">
        <v>0.0014436396126515187</v>
      </c>
      <c r="R296" s="214">
        <v>-9.323864631968956E-4</v>
      </c>
      <c r="S296" s="214">
        <v>-4.556368144208456E-4</v>
      </c>
    </row>
    <row r="297">
      <c r="A297" s="208">
        <v>43173.0</v>
      </c>
      <c r="B297" s="30">
        <v>-0.05509982621688692</v>
      </c>
      <c r="C297" s="30">
        <v>0.008419340667115197</v>
      </c>
      <c r="D297" s="30">
        <v>-0.04668048554977172</v>
      </c>
      <c r="E297" s="30">
        <v>-0.0029529054963335494</v>
      </c>
      <c r="F297" s="210">
        <v>-652.3483168023213</v>
      </c>
      <c r="G297" s="209">
        <v>-10312.53327061061</v>
      </c>
      <c r="H297" s="210">
        <v>21143.475000000013</v>
      </c>
      <c r="I297" s="210">
        <v>4300.680999999959</v>
      </c>
      <c r="J297" s="215">
        <v>3.651</v>
      </c>
      <c r="K297" s="212">
        <v>42.39</v>
      </c>
      <c r="L297" s="212">
        <v>153.51</v>
      </c>
      <c r="M297" s="212">
        <v>7.17</v>
      </c>
      <c r="N297" s="212">
        <v>102.59</v>
      </c>
      <c r="O297" s="213">
        <v>0.005124598425742126</v>
      </c>
      <c r="P297" s="214">
        <v>-0.0033476109837589085</v>
      </c>
      <c r="Q297" s="214">
        <v>0.0011007903191221728</v>
      </c>
      <c r="R297" s="214">
        <v>-0.0032465627379711184</v>
      </c>
      <c r="S297" s="214">
        <v>-9.423951232280606E-4</v>
      </c>
    </row>
    <row r="298">
      <c r="A298" s="208">
        <v>43172.0</v>
      </c>
      <c r="B298" s="30">
        <v>-0.05215660925987111</v>
      </c>
      <c r="C298" s="30">
        <v>0.008429029206432934</v>
      </c>
      <c r="D298" s="30">
        <v>-0.04372758005343817</v>
      </c>
      <c r="E298" s="30">
        <v>4.8742107089901066E-4</v>
      </c>
      <c r="F298" s="210">
        <v>107.67981419309035</v>
      </c>
      <c r="G298" s="209">
        <v>-9660.184953808288</v>
      </c>
      <c r="H298" s="210">
        <v>21143.475000000013</v>
      </c>
      <c r="I298" s="210">
        <v>4300.680999999959</v>
      </c>
      <c r="J298" s="215">
        <v>3.608</v>
      </c>
      <c r="K298" s="212">
        <v>42.699</v>
      </c>
      <c r="L298" s="212">
        <v>152.71</v>
      </c>
      <c r="M298" s="212">
        <v>7.17</v>
      </c>
      <c r="N298" s="212">
        <v>102.55</v>
      </c>
      <c r="O298" s="213">
        <v>-0.0013974650577955143</v>
      </c>
      <c r="P298" s="214">
        <v>0.0041195004668997575</v>
      </c>
      <c r="Q298" s="214">
        <v>-0.0016603037826011062</v>
      </c>
      <c r="R298" s="214">
        <v>-0.0014049421118201473</v>
      </c>
      <c r="S298" s="214">
        <v>-5.539589887330424E-4</v>
      </c>
    </row>
    <row r="299">
      <c r="A299" s="208">
        <v>43171.0</v>
      </c>
      <c r="B299" s="30">
        <v>-0.05265374119391117</v>
      </c>
      <c r="C299" s="30">
        <v>0.008438740069573984</v>
      </c>
      <c r="D299" s="30">
        <v>-0.04421500112433718</v>
      </c>
      <c r="E299" s="30">
        <v>0.0013088807573918768</v>
      </c>
      <c r="F299" s="210">
        <v>801.9291300213044</v>
      </c>
      <c r="G299" s="209">
        <v>-9767.864768001378</v>
      </c>
      <c r="H299" s="210">
        <v>21143.475000000013</v>
      </c>
      <c r="I299" s="210">
        <v>4300.680999999959</v>
      </c>
      <c r="J299" s="215">
        <v>3.613</v>
      </c>
      <c r="K299" s="212">
        <v>43.094</v>
      </c>
      <c r="L299" s="212">
        <v>153.36</v>
      </c>
      <c r="M299" s="212">
        <v>7.21</v>
      </c>
      <c r="N299" s="212">
        <v>102.58</v>
      </c>
      <c r="O299" s="213">
        <v>0.002744662749701976</v>
      </c>
      <c r="P299" s="214">
        <v>0.01047580257730755</v>
      </c>
      <c r="Q299" s="214">
        <v>0.002060803251694776</v>
      </c>
      <c r="R299" s="214">
        <v>-9.342308147489339E-4</v>
      </c>
      <c r="S299" s="214">
        <v>6.793280434519803E-4</v>
      </c>
    </row>
    <row r="300">
      <c r="A300" s="208">
        <v>43168.0</v>
      </c>
      <c r="B300" s="30">
        <v>-0.057090324338989036</v>
      </c>
      <c r="C300" s="30">
        <v>0.009245328509802383</v>
      </c>
      <c r="D300" s="30">
        <v>-0.04784499582918665</v>
      </c>
      <c r="E300" s="30">
        <v>0.011358112933773423</v>
      </c>
      <c r="F300" s="210">
        <v>2509.2052094446117</v>
      </c>
      <c r="G300" s="209">
        <v>-10569.793898022683</v>
      </c>
      <c r="H300" s="210">
        <v>21143.475000000013</v>
      </c>
      <c r="I300" s="210">
        <v>4300.680999999959</v>
      </c>
      <c r="J300" s="215">
        <v>3.595</v>
      </c>
      <c r="K300" s="212">
        <v>42.814</v>
      </c>
      <c r="L300" s="212">
        <v>153.0</v>
      </c>
      <c r="M300" s="212">
        <v>7.24</v>
      </c>
      <c r="N300" s="212">
        <v>102.88</v>
      </c>
      <c r="O300" s="213">
        <v>-3.23899731267859E-5</v>
      </c>
      <c r="P300" s="214">
        <v>0.009052456118367766</v>
      </c>
      <c r="Q300" s="214">
        <v>0.0013002014691091042</v>
      </c>
      <c r="R300" s="214">
        <v>-9.303941271915361E-4</v>
      </c>
      <c r="S300" s="214">
        <v>-0.0012112458708003853</v>
      </c>
    </row>
    <row r="301">
      <c r="A301" s="208">
        <v>43167.0</v>
      </c>
      <c r="B301" s="30">
        <v>-0.06845913788446362</v>
      </c>
      <c r="C301" s="30">
        <v>0.009256029121503546</v>
      </c>
      <c r="D301" s="30">
        <v>-0.059203108762960074</v>
      </c>
      <c r="E301" s="30">
        <v>0.006143366465171343</v>
      </c>
      <c r="F301" s="210">
        <v>1357.1767799648078</v>
      </c>
      <c r="G301" s="209">
        <v>-13078.999107467294</v>
      </c>
      <c r="H301" s="210">
        <v>21143.475000000013</v>
      </c>
      <c r="I301" s="210">
        <v>4300.680999999959</v>
      </c>
      <c r="J301" s="215">
        <v>3.623</v>
      </c>
      <c r="K301" s="212">
        <v>42.167</v>
      </c>
      <c r="L301" s="212">
        <v>153.47</v>
      </c>
      <c r="M301" s="212">
        <v>7.2</v>
      </c>
      <c r="N301" s="212">
        <v>102.72</v>
      </c>
      <c r="O301" s="213">
        <v>0.0019147588446757717</v>
      </c>
      <c r="P301" s="214">
        <v>0.003023004275695018</v>
      </c>
      <c r="Q301" s="214">
        <v>6.837466632146905E-4</v>
      </c>
      <c r="R301" s="214">
        <v>-0.003231151576115717</v>
      </c>
      <c r="S301" s="214">
        <v>2.3968091634167057E-4</v>
      </c>
    </row>
    <row r="302">
      <c r="A302" s="208">
        <v>43166.0</v>
      </c>
      <c r="B302" s="30">
        <v>-0.07461322975997274</v>
      </c>
      <c r="C302" s="30">
        <v>0.009266754531841325</v>
      </c>
      <c r="D302" s="30">
        <v>-0.06534647522813142</v>
      </c>
      <c r="E302" s="30">
        <v>-0.010148587385134494</v>
      </c>
      <c r="F302" s="210">
        <v>-2241.9999240862726</v>
      </c>
      <c r="G302" s="209">
        <v>-14436.175887432102</v>
      </c>
      <c r="H302" s="210">
        <v>21143.475000000013</v>
      </c>
      <c r="I302" s="210">
        <v>4300.680999999959</v>
      </c>
      <c r="J302" s="215">
        <v>3.583</v>
      </c>
      <c r="K302" s="212">
        <v>41.753</v>
      </c>
      <c r="L302" s="212">
        <v>152.41</v>
      </c>
      <c r="M302" s="212">
        <v>7.23</v>
      </c>
      <c r="N302" s="212">
        <v>102.37</v>
      </c>
      <c r="O302" s="213">
        <v>-0.002505761971879202</v>
      </c>
      <c r="P302" s="214">
        <v>0.0045288464952878416</v>
      </c>
      <c r="Q302" s="214">
        <v>-0.0022279734283107144</v>
      </c>
      <c r="R302" s="214">
        <v>-9.252521416055851E-4</v>
      </c>
      <c r="S302" s="214">
        <v>-0.001123424482236457</v>
      </c>
    </row>
    <row r="303">
      <c r="A303" s="208">
        <v>43165.0</v>
      </c>
      <c r="B303" s="30">
        <v>-0.0644753926701188</v>
      </c>
      <c r="C303" s="30">
        <v>0.00927750482712188</v>
      </c>
      <c r="D303" s="30">
        <v>-0.05519788784299692</v>
      </c>
      <c r="E303" s="30">
        <v>0.002013730105337952</v>
      </c>
      <c r="F303" s="210">
        <v>444.86809562394046</v>
      </c>
      <c r="G303" s="209">
        <v>-12194.17596334583</v>
      </c>
      <c r="H303" s="210">
        <v>21143.475000000013</v>
      </c>
      <c r="I303" s="210">
        <v>4300.680999999959</v>
      </c>
      <c r="J303" s="215">
        <v>3.595</v>
      </c>
      <c r="K303" s="212">
        <v>41.66</v>
      </c>
      <c r="L303" s="212">
        <v>152.4</v>
      </c>
      <c r="M303" s="212">
        <v>7.26</v>
      </c>
      <c r="N303" s="212">
        <v>103.25</v>
      </c>
      <c r="O303" s="213">
        <v>-0.005452167602861084</v>
      </c>
      <c r="P303" s="214">
        <v>-0.005278404084618549</v>
      </c>
      <c r="Q303" s="214">
        <v>-0.005682462825739402</v>
      </c>
      <c r="R303" s="214">
        <v>-0.0023007469668070435</v>
      </c>
      <c r="S303" s="214">
        <v>0.0015797291583337463</v>
      </c>
    </row>
    <row r="304">
      <c r="A304" s="208">
        <v>43164.0</v>
      </c>
      <c r="B304" s="30">
        <v>-0.06635254671953905</v>
      </c>
      <c r="C304" s="30">
        <v>0.009140928771204173</v>
      </c>
      <c r="D304" s="30">
        <v>-0.057211617948334875</v>
      </c>
      <c r="E304" s="30">
        <v>0.004657630124910266</v>
      </c>
      <c r="F304" s="210">
        <v>-511.33926417262774</v>
      </c>
      <c r="G304" s="209">
        <v>-12639.04405896977</v>
      </c>
      <c r="H304" s="210">
        <v>21143.475000000013</v>
      </c>
      <c r="I304" s="210">
        <v>4300.680999999959</v>
      </c>
      <c r="J304" s="215">
        <v>3.602</v>
      </c>
      <c r="K304" s="212">
        <v>41.784</v>
      </c>
      <c r="L304" s="212">
        <v>153.15</v>
      </c>
      <c r="M304" s="212">
        <v>7.27</v>
      </c>
      <c r="N304" s="212">
        <v>102.64</v>
      </c>
      <c r="O304" s="213">
        <v>-0.0033435303304427677</v>
      </c>
      <c r="P304" s="214">
        <v>-0.0077058568902573414</v>
      </c>
      <c r="Q304" s="214">
        <v>-0.0028163155058052633</v>
      </c>
      <c r="R304" s="214">
        <v>-0.0032095992001214637</v>
      </c>
      <c r="S304" s="214">
        <v>-0.002952206370230378</v>
      </c>
    </row>
    <row r="305">
      <c r="A305" s="208">
        <v>43161.0</v>
      </c>
      <c r="B305" s="30">
        <v>-0.0640698909787894</v>
      </c>
      <c r="C305" s="30">
        <v>0.009172890060613977</v>
      </c>
      <c r="D305" s="30">
        <v>-0.054897000918175426</v>
      </c>
      <c r="E305" s="30">
        <v>-0.011344119627592693</v>
      </c>
      <c r="F305" s="210">
        <v>-2506.113844094507</v>
      </c>
      <c r="G305" s="209">
        <v>-12127.704794797142</v>
      </c>
      <c r="H305" s="210">
        <v>21143.475000000013</v>
      </c>
      <c r="I305" s="210">
        <v>4300.680999999959</v>
      </c>
      <c r="J305" s="215">
        <v>3.61</v>
      </c>
      <c r="K305" s="212">
        <v>41.185</v>
      </c>
      <c r="L305" s="212">
        <v>153.43</v>
      </c>
      <c r="M305" s="212">
        <v>7.25</v>
      </c>
      <c r="N305" s="212">
        <v>102.71</v>
      </c>
      <c r="O305" s="213">
        <v>6.036893488895837E-4</v>
      </c>
      <c r="P305" s="214">
        <v>-0.015331136903630194</v>
      </c>
      <c r="Q305" s="214">
        <v>-6.313062852100574E-4</v>
      </c>
      <c r="R305" s="214">
        <v>-0.004126609745742711</v>
      </c>
      <c r="S305" s="214">
        <v>-0.0015982047100200347</v>
      </c>
    </row>
    <row r="306">
      <c r="A306" s="208">
        <v>43160.0</v>
      </c>
      <c r="B306" s="30">
        <v>-0.052717981180851886</v>
      </c>
      <c r="C306" s="30">
        <v>0.009165099890269155</v>
      </c>
      <c r="D306" s="30">
        <v>-0.04355288129058273</v>
      </c>
      <c r="E306" s="30">
        <v>-0.0011222091949777482</v>
      </c>
      <c r="F306" s="210">
        <v>-247.91558021507626</v>
      </c>
      <c r="G306" s="209">
        <v>-9621.590950702635</v>
      </c>
      <c r="H306" s="210">
        <v>21143.475000000013</v>
      </c>
      <c r="I306" s="210">
        <v>4300.680999999959</v>
      </c>
      <c r="J306" s="215">
        <v>3.654</v>
      </c>
      <c r="K306" s="212">
        <v>42.305</v>
      </c>
      <c r="L306" s="212">
        <v>155.01</v>
      </c>
      <c r="M306" s="212">
        <v>7.31</v>
      </c>
      <c r="N306" s="212">
        <v>102.76</v>
      </c>
      <c r="O306" s="213">
        <v>0.004111384921138976</v>
      </c>
      <c r="P306" s="214">
        <v>-0.0032194536101623297</v>
      </c>
      <c r="Q306" s="214">
        <v>0.0030181708678615284</v>
      </c>
      <c r="R306" s="214">
        <v>-0.001367989056087593</v>
      </c>
      <c r="S306" s="214">
        <v>-0.002954023393214489</v>
      </c>
    </row>
    <row r="307">
      <c r="A307" s="208">
        <v>43159.0</v>
      </c>
      <c r="B307" s="30">
        <v>-0.05160647887826932</v>
      </c>
      <c r="C307" s="30">
        <v>0.009175806782664334</v>
      </c>
      <c r="D307" s="30">
        <v>-0.042430672095604985</v>
      </c>
      <c r="E307" s="30">
        <v>0.001988152265253715</v>
      </c>
      <c r="F307" s="210">
        <v>439.2175047238561</v>
      </c>
      <c r="G307" s="209">
        <v>-9373.67537048756</v>
      </c>
      <c r="H307" s="210">
        <v>21143.475000000013</v>
      </c>
      <c r="I307" s="210">
        <v>4300.680999999959</v>
      </c>
      <c r="J307" s="215">
        <v>3.638</v>
      </c>
      <c r="K307" s="212">
        <v>42.739</v>
      </c>
      <c r="L307" s="212">
        <v>154.44</v>
      </c>
      <c r="M307" s="212">
        <v>7.34</v>
      </c>
      <c r="N307" s="212">
        <v>103.55</v>
      </c>
      <c r="O307" s="213">
        <v>0.003298329073256334</v>
      </c>
      <c r="P307" s="214">
        <v>0.0043834093261875635</v>
      </c>
      <c r="Q307" s="214">
        <v>0.001966043304474215</v>
      </c>
      <c r="R307" s="214">
        <v>0.0018165304268846032</v>
      </c>
      <c r="S307" s="214">
        <v>-6.988489989741738E-5</v>
      </c>
    </row>
    <row r="308">
      <c r="A308" s="208">
        <v>43158.0</v>
      </c>
      <c r="B308" s="30">
        <v>-0.053605363081280534</v>
      </c>
      <c r="C308" s="30">
        <v>0.009186538720421838</v>
      </c>
      <c r="D308" s="30">
        <v>-0.0444188243608587</v>
      </c>
      <c r="E308" s="30">
        <v>0.005517822053509966</v>
      </c>
      <c r="F308" s="210">
        <v>1218.9831112073498</v>
      </c>
      <c r="G308" s="209">
        <v>-9812.892875211415</v>
      </c>
      <c r="H308" s="210">
        <v>21143.475000000013</v>
      </c>
      <c r="I308" s="210">
        <v>4300.680999999959</v>
      </c>
      <c r="J308" s="215">
        <v>3.603</v>
      </c>
      <c r="K308" s="212">
        <v>43.104</v>
      </c>
      <c r="L308" s="212">
        <v>153.71</v>
      </c>
      <c r="M308" s="212">
        <v>7.34</v>
      </c>
      <c r="N308" s="212">
        <v>103.2</v>
      </c>
      <c r="O308" s="213">
        <v>0.002775133084466308</v>
      </c>
      <c r="P308" s="214">
        <v>0.007838735528865381</v>
      </c>
      <c r="Q308" s="214">
        <v>0.0019970933637489066</v>
      </c>
      <c r="R308" s="214">
        <v>0.0022731514314508297</v>
      </c>
      <c r="S308" s="214">
        <v>-8.747112659402608E-4</v>
      </c>
    </row>
    <row r="309">
      <c r="A309" s="208">
        <v>43157.0</v>
      </c>
      <c r="B309" s="30">
        <v>-0.059133942205891694</v>
      </c>
      <c r="C309" s="30">
        <v>0.00919729579152303</v>
      </c>
      <c r="D309" s="30">
        <v>-0.049936646414368666</v>
      </c>
      <c r="E309" s="30">
        <v>0.0028207521543082703</v>
      </c>
      <c r="F309" s="210">
        <v>2043.3265559317679</v>
      </c>
      <c r="G309" s="209">
        <v>-11031.875986418765</v>
      </c>
      <c r="H309" s="210">
        <v>21143.475000000013</v>
      </c>
      <c r="I309" s="210">
        <v>4300.680999999959</v>
      </c>
      <c r="J309" s="215">
        <v>3.609</v>
      </c>
      <c r="K309" s="212">
        <v>42.71</v>
      </c>
      <c r="L309" s="212">
        <v>153.61</v>
      </c>
      <c r="M309" s="212">
        <v>7.34</v>
      </c>
      <c r="N309" s="212">
        <v>103.67</v>
      </c>
      <c r="O309" s="213">
        <v>0.0023040109305315637</v>
      </c>
      <c r="P309" s="214">
        <v>0.003303215719696532</v>
      </c>
      <c r="Q309" s="214">
        <v>0.0014529882296842784</v>
      </c>
      <c r="R309" s="214">
        <v>0.003644893543933677</v>
      </c>
      <c r="S309" s="214">
        <v>4.500838474994125E-4</v>
      </c>
    </row>
    <row r="310">
      <c r="A310" s="208">
        <v>43154.0</v>
      </c>
      <c r="B310" s="30">
        <v>-0.06841564200598191</v>
      </c>
      <c r="C310" s="30">
        <v>0.009229718690905603</v>
      </c>
      <c r="D310" s="30">
        <v>-0.05918592331507631</v>
      </c>
      <c r="E310" s="30">
        <v>0.0010277924004986339</v>
      </c>
      <c r="F310" s="210">
        <v>227.05726387789764</v>
      </c>
      <c r="G310" s="209">
        <v>-13075.202542350533</v>
      </c>
      <c r="H310" s="210">
        <v>21143.475000000013</v>
      </c>
      <c r="I310" s="210">
        <v>4300.680999999959</v>
      </c>
      <c r="J310" s="215">
        <v>3.602</v>
      </c>
      <c r="K310" s="212">
        <v>42.174</v>
      </c>
      <c r="L310" s="212">
        <v>153.53</v>
      </c>
      <c r="M310" s="212">
        <v>7.3</v>
      </c>
      <c r="N310" s="212">
        <v>103.57</v>
      </c>
      <c r="O310" s="213">
        <v>0.002029502921453726</v>
      </c>
      <c r="P310" s="214">
        <v>3.024167406754004E-4</v>
      </c>
      <c r="Q310" s="214">
        <v>0.0025652957481363536</v>
      </c>
      <c r="R310" s="214">
        <v>0.0027466367625953447</v>
      </c>
      <c r="S310" s="214">
        <v>4.505186454299981E-4</v>
      </c>
    </row>
    <row r="311">
      <c r="A311" s="208">
        <v>43153.0</v>
      </c>
      <c r="B311" s="30">
        <v>-0.06945429289905808</v>
      </c>
      <c r="C311" s="30">
        <v>0.00924057718348314</v>
      </c>
      <c r="D311" s="30">
        <v>-0.06021371571557494</v>
      </c>
      <c r="E311" s="30">
        <v>-0.0015423032694904873</v>
      </c>
      <c r="F311" s="210">
        <v>-340.7216868606447</v>
      </c>
      <c r="G311" s="209">
        <v>-13302.25980622843</v>
      </c>
      <c r="H311" s="210">
        <v>21143.475000000013</v>
      </c>
      <c r="I311" s="210">
        <v>4300.680999999959</v>
      </c>
      <c r="J311" s="215">
        <v>3.573</v>
      </c>
      <c r="K311" s="212">
        <v>42.097</v>
      </c>
      <c r="L311" s="212">
        <v>152.79</v>
      </c>
      <c r="M311" s="212">
        <v>7.29</v>
      </c>
      <c r="N311" s="212">
        <v>103.47</v>
      </c>
      <c r="O311" s="213">
        <v>-0.001305960410008078</v>
      </c>
      <c r="P311" s="214">
        <v>0.0018614627041090663</v>
      </c>
      <c r="Q311" s="214">
        <v>0.0019213563274764756</v>
      </c>
      <c r="R311" s="214">
        <v>0.003210826071104752</v>
      </c>
      <c r="S311" s="214">
        <v>-0.002449558139905439</v>
      </c>
    </row>
    <row r="312">
      <c r="A312" s="208">
        <v>43152.0</v>
      </c>
      <c r="B312" s="30">
        <v>-0.06792287370163294</v>
      </c>
      <c r="C312" s="30">
        <v>0.009251461255548488</v>
      </c>
      <c r="D312" s="30">
        <v>-0.05867141244608445</v>
      </c>
      <c r="E312" s="30">
        <v>-0.0034017092743802643</v>
      </c>
      <c r="F312" s="210">
        <v>-751.4968975973443</v>
      </c>
      <c r="G312" s="209">
        <v>-12961.538119367786</v>
      </c>
      <c r="H312" s="210">
        <v>21143.475000000013</v>
      </c>
      <c r="I312" s="210">
        <v>4300.680999999959</v>
      </c>
      <c r="J312" s="215">
        <v>3.584</v>
      </c>
      <c r="K312" s="212">
        <v>42.285</v>
      </c>
      <c r="L312" s="212">
        <v>152.94</v>
      </c>
      <c r="M312" s="212">
        <v>7.26</v>
      </c>
      <c r="N312" s="212">
        <v>103.53</v>
      </c>
      <c r="O312" s="213">
        <v>-7.443861106358381E-4</v>
      </c>
      <c r="P312" s="214">
        <v>0.0027289850053992724</v>
      </c>
      <c r="Q312" s="214">
        <v>0.0025996879473269376</v>
      </c>
      <c r="R312" s="214">
        <v>0.0036858060269506034</v>
      </c>
      <c r="S312" s="214">
        <v>-0.00241616817715821</v>
      </c>
    </row>
    <row r="313">
      <c r="A313" s="208">
        <v>43151.0</v>
      </c>
      <c r="B313" s="30">
        <v>-0.06453207416929932</v>
      </c>
      <c r="C313" s="30">
        <v>0.009262370997595129</v>
      </c>
      <c r="D313" s="30">
        <v>-0.05526970317170419</v>
      </c>
      <c r="E313" s="30">
        <v>0.0031352956569052973</v>
      </c>
      <c r="F313" s="210">
        <v>692.6414837858283</v>
      </c>
      <c r="G313" s="209">
        <v>-12210.041221770442</v>
      </c>
      <c r="H313" s="210">
        <v>21143.475000000013</v>
      </c>
      <c r="I313" s="210">
        <v>4300.680999999959</v>
      </c>
      <c r="J313" s="215">
        <v>3.58</v>
      </c>
      <c r="K313" s="212">
        <v>42.135</v>
      </c>
      <c r="L313" s="212">
        <v>152.35</v>
      </c>
      <c r="M313" s="212">
        <v>7.24</v>
      </c>
      <c r="N313" s="212">
        <v>103.43</v>
      </c>
      <c r="O313" s="213">
        <v>0.0015747556329212358</v>
      </c>
      <c r="P313" s="214">
        <v>0.007420142683596365</v>
      </c>
      <c r="Q313" s="214">
        <v>0.003312682322195948</v>
      </c>
      <c r="R313" s="214">
        <v>0.004624542594960368</v>
      </c>
      <c r="S313" s="214">
        <v>-0.001363631505703437</v>
      </c>
    </row>
    <row r="314">
      <c r="A314" s="208">
        <v>43150.0</v>
      </c>
      <c r="B314" s="30">
        <v>-0.06767830532915337</v>
      </c>
      <c r="C314" s="30">
        <v>0.00927330650054388</v>
      </c>
      <c r="D314" s="30">
        <v>-0.058404998828609486</v>
      </c>
      <c r="E314" s="30">
        <v>5.131884333177475E-4</v>
      </c>
      <c r="F314" s="210">
        <v>1886.4522627642255</v>
      </c>
      <c r="G314" s="209">
        <v>-12902.68270555627</v>
      </c>
      <c r="H314" s="210">
        <v>21143.475000000013</v>
      </c>
      <c r="I314" s="210">
        <v>4300.680999999959</v>
      </c>
      <c r="J314" s="215">
        <v>3.587</v>
      </c>
      <c r="K314" s="212">
        <v>41.861</v>
      </c>
      <c r="L314" s="212">
        <v>151.91</v>
      </c>
      <c r="M314" s="212">
        <v>7.22</v>
      </c>
      <c r="N314" s="212">
        <v>104.23</v>
      </c>
      <c r="O314" s="213">
        <v>0.001384537630913174</v>
      </c>
      <c r="P314" s="214">
        <v>0.007032442184775907</v>
      </c>
      <c r="Q314" s="214">
        <v>2.285335792239588E-4</v>
      </c>
      <c r="R314" s="214">
        <v>0.0037037322818848826</v>
      </c>
      <c r="S314" s="214">
        <v>3.15869614228248E-4</v>
      </c>
    </row>
    <row r="315">
      <c r="A315" s="208">
        <v>43147.0</v>
      </c>
      <c r="B315" s="30">
        <v>-0.07625044050587632</v>
      </c>
      <c r="C315" s="30">
        <v>0.009306268490474723</v>
      </c>
      <c r="D315" s="30">
        <v>-0.06694417201540159</v>
      </c>
      <c r="E315" s="30">
        <v>0.00499508825352582</v>
      </c>
      <c r="F315" s="210">
        <v>1103.502099377225</v>
      </c>
      <c r="G315" s="209">
        <v>-14789.134968320495</v>
      </c>
      <c r="H315" s="210">
        <v>21143.475000000013</v>
      </c>
      <c r="I315" s="210">
        <v>4300.680999999959</v>
      </c>
      <c r="J315" s="215">
        <v>3.592</v>
      </c>
      <c r="K315" s="212">
        <v>41.939</v>
      </c>
      <c r="L315" s="212">
        <v>151.75</v>
      </c>
      <c r="M315" s="212">
        <v>7.18</v>
      </c>
      <c r="N315" s="212">
        <v>104.28</v>
      </c>
      <c r="O315" s="213">
        <v>-5.770999985631464E-4</v>
      </c>
      <c r="P315" s="214">
        <v>0.00980093432979808</v>
      </c>
      <c r="Q315" s="214">
        <v>-0.002647804018330054</v>
      </c>
      <c r="R315" s="214">
        <v>0.0027907170296159376</v>
      </c>
      <c r="S315" s="214">
        <v>0.004157068209465782</v>
      </c>
    </row>
    <row r="316">
      <c r="A316" s="208">
        <v>43146.0</v>
      </c>
      <c r="B316" s="30">
        <v>-0.08125656822380366</v>
      </c>
      <c r="C316" s="30">
        <v>0.009317307954876237</v>
      </c>
      <c r="D316" s="30">
        <v>-0.07193926026892741</v>
      </c>
      <c r="E316" s="30">
        <v>-0.005120239824486741</v>
      </c>
      <c r="F316" s="210">
        <v>-1131.1502637911872</v>
      </c>
      <c r="G316" s="209">
        <v>-15892.63706769772</v>
      </c>
      <c r="H316" s="210">
        <v>21143.475000000013</v>
      </c>
      <c r="I316" s="210">
        <v>4300.680999999959</v>
      </c>
      <c r="J316" s="215">
        <v>3.563</v>
      </c>
      <c r="K316" s="212">
        <v>41.2</v>
      </c>
      <c r="L316" s="212">
        <v>150.84</v>
      </c>
      <c r="M316" s="212">
        <v>7.14</v>
      </c>
      <c r="N316" s="212">
        <v>103.85</v>
      </c>
      <c r="O316" s="213">
        <v>-0.005862299274082439</v>
      </c>
      <c r="P316" s="214">
        <v>0.0022654059167253418</v>
      </c>
      <c r="Q316" s="214">
        <v>-0.006891448011200267</v>
      </c>
      <c r="R316" s="214">
        <v>4.655420220522899E-4</v>
      </c>
      <c r="S316" s="214">
        <v>0.001131757688660251</v>
      </c>
    </row>
    <row r="317">
      <c r="A317" s="208">
        <v>43145.0</v>
      </c>
      <c r="B317" s="30">
        <v>-0.07614739408572413</v>
      </c>
      <c r="C317" s="30">
        <v>0.00932837364128346</v>
      </c>
      <c r="D317" s="30">
        <v>-0.06681902044444067</v>
      </c>
      <c r="E317" s="30">
        <v>0.006003051635650167</v>
      </c>
      <c r="F317" s="210">
        <v>1326.1787873185167</v>
      </c>
      <c r="G317" s="209">
        <v>-14761.486803906533</v>
      </c>
      <c r="H317" s="210">
        <v>21143.475000000013</v>
      </c>
      <c r="I317" s="210">
        <v>4300.680999999959</v>
      </c>
      <c r="J317" s="215">
        <v>3.572</v>
      </c>
      <c r="K317" s="212">
        <v>40.98</v>
      </c>
      <c r="L317" s="212">
        <v>151.8</v>
      </c>
      <c r="M317" s="212">
        <v>7.14</v>
      </c>
      <c r="N317" s="212">
        <v>104.13</v>
      </c>
      <c r="O317" s="213">
        <v>-0.0047445261944794774</v>
      </c>
      <c r="P317" s="214">
        <v>0.006350716615397396</v>
      </c>
      <c r="Q317" s="214">
        <v>-0.006025569132772264</v>
      </c>
      <c r="R317" s="214">
        <v>9.330502034453995E-4</v>
      </c>
      <c r="S317" s="214">
        <v>0.0032866498498436516</v>
      </c>
    </row>
    <row r="318">
      <c r="A318" s="208">
        <v>43144.0</v>
      </c>
      <c r="B318" s="30">
        <v>-0.08216153772332588</v>
      </c>
      <c r="C318" s="30">
        <v>0.009339465643235042</v>
      </c>
      <c r="D318" s="30">
        <v>-0.07282207208009084</v>
      </c>
      <c r="E318" s="30">
        <v>-0.004951324002474777</v>
      </c>
      <c r="F318" s="210">
        <v>-1093.8338131605778</v>
      </c>
      <c r="G318" s="209">
        <v>-16087.66559122505</v>
      </c>
      <c r="H318" s="210">
        <v>21143.475000000013</v>
      </c>
      <c r="I318" s="210">
        <v>4300.680999999959</v>
      </c>
      <c r="J318" s="215">
        <v>3.598</v>
      </c>
      <c r="K318" s="212">
        <v>40.716</v>
      </c>
      <c r="L318" s="212">
        <v>152.95</v>
      </c>
      <c r="M318" s="212">
        <v>7.12</v>
      </c>
      <c r="N318" s="212">
        <v>102.98</v>
      </c>
      <c r="O318" s="213">
        <v>-0.002318247732366737</v>
      </c>
      <c r="P318" s="214">
        <v>-0.0036243960958869024</v>
      </c>
      <c r="Q318" s="214">
        <v>-0.0027454856896454625</v>
      </c>
      <c r="R318" s="214">
        <v>-0.0037459749646742515</v>
      </c>
      <c r="S318" s="214">
        <v>-1.6832847517463576E-4</v>
      </c>
    </row>
    <row r="319">
      <c r="A319" s="208">
        <v>43143.0</v>
      </c>
      <c r="B319" s="30">
        <v>-0.07706953151007957</v>
      </c>
      <c r="C319" s="30">
        <v>0.009198783432463515</v>
      </c>
      <c r="D319" s="30">
        <v>-0.06787074807761606</v>
      </c>
      <c r="E319" s="30">
        <v>0.009077961553909983</v>
      </c>
      <c r="F319" s="210">
        <v>441.9923338653589</v>
      </c>
      <c r="G319" s="209">
        <v>-14993.831778064472</v>
      </c>
      <c r="H319" s="210">
        <v>22000.87500000001</v>
      </c>
      <c r="I319" s="210">
        <v>4835.176698924687</v>
      </c>
      <c r="J319" s="215">
        <v>3.626</v>
      </c>
      <c r="K319" s="212">
        <v>40.919</v>
      </c>
      <c r="L319" s="212">
        <v>153.98</v>
      </c>
      <c r="M319" s="212">
        <v>7.13</v>
      </c>
      <c r="N319" s="212">
        <v>103.49</v>
      </c>
      <c r="O319" s="213">
        <v>-0.003036386242884418</v>
      </c>
      <c r="P319" s="214">
        <v>-0.008994860756712889</v>
      </c>
      <c r="Q319" s="214">
        <v>-0.001149209776154884</v>
      </c>
      <c r="R319" s="214">
        <v>-0.0028148472077038265</v>
      </c>
      <c r="S319" s="214">
        <v>0.0011913001795772111</v>
      </c>
    </row>
    <row r="320">
      <c r="A320" s="208">
        <v>43140.0</v>
      </c>
      <c r="B320" s="30">
        <v>-0.07910321480563388</v>
      </c>
      <c r="C320" s="30">
        <v>0.009231753982400661</v>
      </c>
      <c r="D320" s="30">
        <v>-0.06987146082323323</v>
      </c>
      <c r="E320" s="30">
        <v>-0.01098078549344686</v>
      </c>
      <c r="F320" s="210">
        <v>-2425.846998053834</v>
      </c>
      <c r="G320" s="209">
        <v>-15435.82411192983</v>
      </c>
      <c r="H320" s="210">
        <v>22000.87500000001</v>
      </c>
      <c r="I320" s="210">
        <v>4835.176698924687</v>
      </c>
      <c r="J320" s="215">
        <v>3.623</v>
      </c>
      <c r="K320" s="212">
        <v>40.199</v>
      </c>
      <c r="L320" s="212">
        <v>154.56</v>
      </c>
      <c r="M320" s="212">
        <v>7.12</v>
      </c>
      <c r="N320" s="212">
        <v>103.1</v>
      </c>
      <c r="O320" s="213">
        <v>-0.0028566743737960345</v>
      </c>
      <c r="P320" s="214">
        <v>-0.0016254777047344977</v>
      </c>
      <c r="Q320" s="214">
        <v>0.0011418962216534305</v>
      </c>
      <c r="R320" s="214">
        <v>-0.005136782834623155</v>
      </c>
      <c r="S320" s="214">
        <v>-4.5275743091810483E-4</v>
      </c>
    </row>
    <row r="321">
      <c r="A321" s="208">
        <v>43139.0</v>
      </c>
      <c r="B321" s="30">
        <v>-0.06813347208010856</v>
      </c>
      <c r="C321" s="30">
        <v>0.009242796750322193</v>
      </c>
      <c r="D321" s="30">
        <v>-0.05889067532978637</v>
      </c>
      <c r="E321" s="30">
        <v>0.0012088648859239423</v>
      </c>
      <c r="F321" s="210">
        <v>267.05933344398363</v>
      </c>
      <c r="G321" s="209">
        <v>-13009.977113875997</v>
      </c>
      <c r="H321" s="210">
        <v>22000.87500000001</v>
      </c>
      <c r="I321" s="210">
        <v>4835.176698924687</v>
      </c>
      <c r="J321" s="215">
        <v>3.623</v>
      </c>
      <c r="K321" s="212">
        <v>41.143</v>
      </c>
      <c r="L321" s="212">
        <v>154.21</v>
      </c>
      <c r="M321" s="212">
        <v>7.2</v>
      </c>
      <c r="N321" s="212">
        <v>103.03</v>
      </c>
      <c r="O321" s="213">
        <v>0.0029816762921408557</v>
      </c>
      <c r="P321" s="214">
        <v>-0.008587597720134657</v>
      </c>
      <c r="Q321" s="214">
        <v>0.0045637408431760855</v>
      </c>
      <c r="R321" s="214">
        <v>-0.002313548392198994</v>
      </c>
      <c r="S321" s="214">
        <v>-2.2705374160603142E-4</v>
      </c>
    </row>
    <row r="322">
      <c r="A322" s="208">
        <v>43138.0</v>
      </c>
      <c r="B322" s="30">
        <v>-0.06935340618369756</v>
      </c>
      <c r="C322" s="30">
        <v>0.009253865967987251</v>
      </c>
      <c r="D322" s="30">
        <v>-0.06009954021571031</v>
      </c>
      <c r="E322" s="30">
        <v>0.009562130320204872</v>
      </c>
      <c r="F322" s="210">
        <v>2112.4413318256393</v>
      </c>
      <c r="G322" s="209">
        <v>-13277.03644731998</v>
      </c>
      <c r="H322" s="210">
        <v>22000.87500000001</v>
      </c>
      <c r="I322" s="210">
        <v>4835.176698924687</v>
      </c>
      <c r="J322" s="215">
        <v>3.659</v>
      </c>
      <c r="K322" s="212">
        <v>42.011</v>
      </c>
      <c r="L322" s="212">
        <v>154.51</v>
      </c>
      <c r="M322" s="212">
        <v>7.19</v>
      </c>
      <c r="N322" s="212">
        <v>103.12</v>
      </c>
      <c r="O322" s="213">
        <v>0.004901090864929847</v>
      </c>
      <c r="P322" s="214">
        <v>-0.005724551513451377</v>
      </c>
      <c r="Q322" s="214">
        <v>0.00578200778999501</v>
      </c>
      <c r="R322" s="214">
        <v>-0.0018569711252768666</v>
      </c>
      <c r="S322" s="214">
        <v>0.002165643145683571</v>
      </c>
    </row>
    <row r="323">
      <c r="A323" s="208">
        <v>43137.0</v>
      </c>
      <c r="B323" s="30">
        <v>-0.07892663226645398</v>
      </c>
      <c r="C323" s="30">
        <v>0.009264961730538793</v>
      </c>
      <c r="D323" s="30">
        <v>-0.06966167053591518</v>
      </c>
      <c r="E323" s="30">
        <v>-0.012749908743572513</v>
      </c>
      <c r="F323" s="210">
        <v>-2816.6771739156356</v>
      </c>
      <c r="G323" s="209">
        <v>-15389.47777914562</v>
      </c>
      <c r="H323" s="210">
        <v>22000.87500000001</v>
      </c>
      <c r="I323" s="210">
        <v>4835.176698924687</v>
      </c>
      <c r="J323" s="215">
        <v>3.654</v>
      </c>
      <c r="K323" s="212">
        <v>40.343</v>
      </c>
      <c r="L323" s="212">
        <v>154.03</v>
      </c>
      <c r="M323" s="212">
        <v>7.23</v>
      </c>
      <c r="N323" s="212">
        <v>103.24</v>
      </c>
      <c r="O323" s="213">
        <v>-0.0015645780529449649</v>
      </c>
      <c r="P323" s="214">
        <v>-0.02215499238478369</v>
      </c>
      <c r="Q323" s="214">
        <v>0.0031439120066335904</v>
      </c>
      <c r="R323" s="214">
        <v>-0.0018467114990222688</v>
      </c>
      <c r="S323" s="214">
        <v>2.1093459137729495E-4</v>
      </c>
    </row>
    <row r="324">
      <c r="A324" s="208">
        <v>43136.0</v>
      </c>
      <c r="B324" s="30">
        <v>-0.06635922179181371</v>
      </c>
      <c r="C324" s="30">
        <v>0.00944745999947104</v>
      </c>
      <c r="D324" s="30">
        <v>-0.05691176179234267</v>
      </c>
      <c r="E324" s="30">
        <v>-0.00982309124302351</v>
      </c>
      <c r="F324" s="210">
        <v>-3421.936725621128</v>
      </c>
      <c r="G324" s="209">
        <v>-12572.800605229984</v>
      </c>
      <c r="H324" s="210">
        <v>24916.05100000001</v>
      </c>
      <c r="I324" s="210">
        <v>6441.513931899588</v>
      </c>
      <c r="J324" s="215">
        <v>3.59</v>
      </c>
      <c r="K324" s="212">
        <v>42.133</v>
      </c>
      <c r="L324" s="212">
        <v>152.1</v>
      </c>
      <c r="M324" s="212">
        <v>7.25</v>
      </c>
      <c r="N324" s="212">
        <v>103.1</v>
      </c>
      <c r="O324" s="213">
        <v>-0.008038714368291474</v>
      </c>
      <c r="P324" s="214">
        <v>-0.008510597404323658</v>
      </c>
      <c r="Q324" s="214">
        <v>-0.0021033103855742454</v>
      </c>
      <c r="R324" s="214">
        <v>-0.002300143407818441</v>
      </c>
      <c r="S324" s="214">
        <v>-0.001113433201431017</v>
      </c>
    </row>
    <row r="325">
      <c r="A325" s="208">
        <v>43133.0</v>
      </c>
      <c r="B325" s="30">
        <v>-0.051776280570347465</v>
      </c>
      <c r="C325" s="30">
        <v>0.010354182052868786</v>
      </c>
      <c r="D325" s="30">
        <v>-0.041422098517478675</v>
      </c>
      <c r="E325" s="30">
        <v>-0.017979088891415702</v>
      </c>
      <c r="F325" s="210">
        <v>-3971.894254833789</v>
      </c>
      <c r="G325" s="209">
        <v>-9150.863879608856</v>
      </c>
      <c r="H325" s="210">
        <v>24916.05100000001</v>
      </c>
      <c r="I325" s="210">
        <v>6441.513931899588</v>
      </c>
      <c r="J325" s="215">
        <v>3.605</v>
      </c>
      <c r="K325" s="212">
        <v>42.66</v>
      </c>
      <c r="L325" s="212">
        <v>151.84</v>
      </c>
      <c r="M325" s="212">
        <v>7.23</v>
      </c>
      <c r="N325" s="212">
        <v>102.45</v>
      </c>
      <c r="O325" s="213">
        <v>-0.008005760896321249</v>
      </c>
      <c r="P325" s="214">
        <v>-0.005544490831929909</v>
      </c>
      <c r="Q325" s="214">
        <v>-0.004742016395507198</v>
      </c>
      <c r="R325" s="214">
        <v>-0.0064160306696670055</v>
      </c>
      <c r="S325" s="214">
        <v>-0.004117247167503131</v>
      </c>
    </row>
    <row r="326">
      <c r="A326" s="208">
        <v>43132.0</v>
      </c>
      <c r="B326" s="30">
        <v>-0.03378770573765816</v>
      </c>
      <c r="C326" s="30">
        <v>0.010344696111595187</v>
      </c>
      <c r="D326" s="30">
        <v>-0.023443009626062973</v>
      </c>
      <c r="E326" s="30">
        <v>0.00397752861563818</v>
      </c>
      <c r="F326" s="210">
        <v>878.7054311986494</v>
      </c>
      <c r="G326" s="209">
        <v>-5178.969624775067</v>
      </c>
      <c r="H326" s="210">
        <v>24916.05100000001</v>
      </c>
      <c r="I326" s="210">
        <v>6441.513931899588</v>
      </c>
      <c r="J326" s="215">
        <v>3.67</v>
      </c>
      <c r="K326" s="212">
        <v>43.069</v>
      </c>
      <c r="L326" s="212">
        <v>152.57</v>
      </c>
      <c r="M326" s="212">
        <v>7.27</v>
      </c>
      <c r="N326" s="212">
        <v>103.17</v>
      </c>
      <c r="O326" s="213">
        <v>-0.003711010567111724</v>
      </c>
      <c r="P326" s="214">
        <v>-0.007390217885336818</v>
      </c>
      <c r="Q326" s="214">
        <v>-0.004048484173989841</v>
      </c>
      <c r="R326" s="214">
        <v>-0.007285567056636966</v>
      </c>
      <c r="S326" s="214">
        <v>-0.002481672770315191</v>
      </c>
    </row>
    <row r="327">
      <c r="A327" s="208">
        <v>43131.0</v>
      </c>
      <c r="B327" s="30">
        <v>-0.03777772794763402</v>
      </c>
      <c r="C327" s="30">
        <v>0.010357189705932864</v>
      </c>
      <c r="D327" s="30">
        <v>-0.027420538241701153</v>
      </c>
      <c r="E327" s="30">
        <v>-0.00845585324111512</v>
      </c>
      <c r="F327" s="210">
        <v>-1868.045433833896</v>
      </c>
      <c r="G327" s="209">
        <v>-6057.675055973717</v>
      </c>
      <c r="H327" s="210">
        <v>24916.05100000001</v>
      </c>
      <c r="I327" s="210">
        <v>6441.513931899588</v>
      </c>
      <c r="J327" s="215">
        <v>3.677</v>
      </c>
      <c r="K327" s="212">
        <v>43.217</v>
      </c>
      <c r="L327" s="212">
        <v>153.06</v>
      </c>
      <c r="M327" s="212">
        <v>7.3</v>
      </c>
      <c r="N327" s="212">
        <v>103.44</v>
      </c>
      <c r="O327" s="213">
        <v>-0.0036141632092677365</v>
      </c>
      <c r="P327" s="214">
        <v>-0.0035798588607934465</v>
      </c>
      <c r="Q327" s="214">
        <v>-0.0023088099927239814</v>
      </c>
      <c r="R327" s="214">
        <v>-0.004115524544620423</v>
      </c>
      <c r="S327" s="214">
        <v>-0.003212815350410736</v>
      </c>
    </row>
    <row r="328">
      <c r="A328" s="208">
        <v>43130.0</v>
      </c>
      <c r="B328" s="30">
        <v>-0.029334398515111316</v>
      </c>
      <c r="C328" s="30">
        <v>0.010369713514525284</v>
      </c>
      <c r="D328" s="30">
        <v>-0.018964685000586033</v>
      </c>
      <c r="E328" s="30">
        <v>-0.01144108301393907</v>
      </c>
      <c r="F328" s="210">
        <v>-2527.5347469825438</v>
      </c>
      <c r="G328" s="209">
        <v>-4189.629622139821</v>
      </c>
      <c r="H328" s="210">
        <v>24916.05100000001</v>
      </c>
      <c r="I328" s="210">
        <v>6441.513931899588</v>
      </c>
      <c r="J328" s="215">
        <v>3.692</v>
      </c>
      <c r="K328" s="212">
        <v>43.373</v>
      </c>
      <c r="L328" s="212">
        <v>154.01</v>
      </c>
      <c r="M328" s="212">
        <v>7.37</v>
      </c>
      <c r="N328" s="212">
        <v>103.72</v>
      </c>
      <c r="O328" s="213">
        <v>-7.298320728151472E-4</v>
      </c>
      <c r="P328" s="214">
        <v>0.0011110956285278473</v>
      </c>
      <c r="Q328" s="214">
        <v>0.001403836255436719</v>
      </c>
      <c r="R328" s="214">
        <v>-1.7057530699397343E-5</v>
      </c>
      <c r="S328" s="214">
        <v>-0.0016083634060174064</v>
      </c>
    </row>
    <row r="329">
      <c r="A329" s="208">
        <v>43129.0</v>
      </c>
      <c r="B329" s="30">
        <v>-0.01790586963375642</v>
      </c>
      <c r="C329" s="30">
        <v>0.010382267647109457</v>
      </c>
      <c r="D329" s="30">
        <v>-0.007523601986646963</v>
      </c>
      <c r="E329" s="30">
        <v>0.004894922610479259</v>
      </c>
      <c r="F329" s="210">
        <v>1911.0958692383194</v>
      </c>
      <c r="G329" s="209">
        <v>-1662.0948751572766</v>
      </c>
      <c r="H329" s="210">
        <v>24916.05100000001</v>
      </c>
      <c r="I329" s="210">
        <v>6441.513931899588</v>
      </c>
      <c r="J329" s="215">
        <v>3.711</v>
      </c>
      <c r="K329" s="212">
        <v>44.029</v>
      </c>
      <c r="L329" s="212">
        <v>154.43</v>
      </c>
      <c r="M329" s="212">
        <v>7.43</v>
      </c>
      <c r="N329" s="212">
        <v>103.94</v>
      </c>
      <c r="O329" s="213">
        <v>-9.549242439099714E-5</v>
      </c>
      <c r="P329" s="214">
        <v>0.004039415338888482</v>
      </c>
      <c r="Q329" s="214">
        <v>-5.127274121166833E-4</v>
      </c>
      <c r="R329" s="214">
        <v>0.0022443626411685993</v>
      </c>
      <c r="S329" s="214">
        <v>-0.002468529248695598</v>
      </c>
    </row>
    <row r="330">
      <c r="A330" s="208">
        <v>43126.0</v>
      </c>
      <c r="B330" s="30">
        <v>-0.026594439472909726</v>
      </c>
      <c r="C330" s="30">
        <v>0.010420113094182759</v>
      </c>
      <c r="D330" s="30">
        <v>-0.01617432637872697</v>
      </c>
      <c r="E330" s="30">
        <v>1.214295605409324E-4</v>
      </c>
      <c r="F330" s="210">
        <v>26.825907407900104</v>
      </c>
      <c r="G330" s="209">
        <v>-3573.190744395596</v>
      </c>
      <c r="H330" s="210">
        <v>21912.422000000002</v>
      </c>
      <c r="I330" s="210">
        <v>5230.362347670216</v>
      </c>
      <c r="J330" s="215">
        <v>3.717</v>
      </c>
      <c r="K330" s="212">
        <v>43.677</v>
      </c>
      <c r="L330" s="212">
        <v>154.12</v>
      </c>
      <c r="M330" s="212">
        <v>7.39</v>
      </c>
      <c r="N330" s="212">
        <v>104.44</v>
      </c>
      <c r="O330" s="213">
        <v>-0.005393479420181646</v>
      </c>
      <c r="P330" s="214">
        <v>-0.002135557600299154</v>
      </c>
      <c r="Q330" s="214">
        <v>-0.004888911079207155</v>
      </c>
      <c r="R330" s="214">
        <v>0.0018048494977195666</v>
      </c>
      <c r="S330" s="214">
        <v>-3.7357249731343835E-5</v>
      </c>
    </row>
    <row r="331">
      <c r="A331" s="208">
        <v>43125.0</v>
      </c>
      <c r="B331" s="30">
        <v>-0.026728545570061574</v>
      </c>
      <c r="C331" s="30">
        <v>0.010432789630793672</v>
      </c>
      <c r="D331" s="30">
        <v>-0.0162957559392679</v>
      </c>
      <c r="E331" s="30">
        <v>-0.006808750523827291</v>
      </c>
      <c r="F331" s="210">
        <v>-1504.171721465732</v>
      </c>
      <c r="G331" s="209">
        <v>-3600.016651803496</v>
      </c>
      <c r="H331" s="210">
        <v>21912.422000000002</v>
      </c>
      <c r="I331" s="210">
        <v>5230.362347670216</v>
      </c>
      <c r="J331" s="215">
        <v>3.7</v>
      </c>
      <c r="K331" s="212">
        <v>43.22</v>
      </c>
      <c r="L331" s="212">
        <v>153.36</v>
      </c>
      <c r="M331" s="212">
        <v>7.37</v>
      </c>
      <c r="N331" s="212">
        <v>104.22</v>
      </c>
      <c r="O331" s="213">
        <v>-0.0069180063684373865</v>
      </c>
      <c r="P331" s="214">
        <v>-0.003560425429826634</v>
      </c>
      <c r="Q331" s="214">
        <v>-0.006916332664828569</v>
      </c>
      <c r="R331" s="214">
        <v>9.027295157619797E-4</v>
      </c>
      <c r="S331" s="214">
        <v>-6.437752000302647E-4</v>
      </c>
    </row>
    <row r="332">
      <c r="A332" s="208">
        <v>43124.0</v>
      </c>
      <c r="B332" s="30">
        <v>-0.019932502463567772</v>
      </c>
      <c r="C332" s="30">
        <v>0.010445497048127162</v>
      </c>
      <c r="D332" s="30">
        <v>-0.00948700541544061</v>
      </c>
      <c r="E332" s="30">
        <v>-0.003003481906397428</v>
      </c>
      <c r="F332" s="210">
        <v>-663.5215277350931</v>
      </c>
      <c r="G332" s="209">
        <v>-2095.8449303377643</v>
      </c>
      <c r="H332" s="210">
        <v>21912.422000000002</v>
      </c>
      <c r="I332" s="210">
        <v>5230.362347670216</v>
      </c>
      <c r="J332" s="215">
        <v>3.712</v>
      </c>
      <c r="K332" s="212">
        <v>43.494</v>
      </c>
      <c r="L332" s="212">
        <v>154.66</v>
      </c>
      <c r="M332" s="212">
        <v>7.38</v>
      </c>
      <c r="N332" s="212">
        <v>104.71</v>
      </c>
      <c r="O332" s="213">
        <v>-0.00566041835945937</v>
      </c>
      <c r="P332" s="214">
        <v>-4.62774006747102E-4</v>
      </c>
      <c r="Q332" s="214">
        <v>-0.004729469870444018</v>
      </c>
      <c r="R332" s="214">
        <v>0.0018085282893645083</v>
      </c>
      <c r="S332" s="214">
        <v>5.084316522869781E-4</v>
      </c>
    </row>
    <row r="333">
      <c r="A333" s="208">
        <v>43123.0</v>
      </c>
      <c r="B333" s="30">
        <v>-0.016941758968204646</v>
      </c>
      <c r="C333" s="30">
        <v>0.010458235459161464</v>
      </c>
      <c r="D333" s="30">
        <v>-0.006483523509043182</v>
      </c>
      <c r="E333" s="30">
        <v>0.0061831634309918206</v>
      </c>
      <c r="F333" s="210">
        <v>1365.9686236926432</v>
      </c>
      <c r="G333" s="209">
        <v>-1432.3234026026712</v>
      </c>
      <c r="H333" s="210">
        <v>21912.422000000002</v>
      </c>
      <c r="I333" s="210">
        <v>5230.362347670216</v>
      </c>
      <c r="J333" s="215">
        <v>3.777</v>
      </c>
      <c r="K333" s="212">
        <v>43.952</v>
      </c>
      <c r="L333" s="212">
        <v>156.38</v>
      </c>
      <c r="M333" s="212">
        <v>7.35</v>
      </c>
      <c r="N333" s="212">
        <v>104.45</v>
      </c>
      <c r="O333" s="213">
        <v>-0.0018543981493657213</v>
      </c>
      <c r="P333" s="214">
        <v>0.003827982582999101</v>
      </c>
      <c r="Q333" s="214">
        <v>-0.0015324224569649065</v>
      </c>
      <c r="R333" s="214">
        <v>9.076473459500948E-4</v>
      </c>
      <c r="S333" s="214">
        <v>5.096983117708342E-4</v>
      </c>
    </row>
    <row r="334">
      <c r="A334" s="208">
        <v>43122.0</v>
      </c>
      <c r="B334" s="30">
        <v>-0.023137691917461622</v>
      </c>
      <c r="C334" s="30">
        <v>0.01047100497742662</v>
      </c>
      <c r="D334" s="30">
        <v>-0.012666686940035003</v>
      </c>
      <c r="E334" s="30">
        <v>-0.0023324226484408867</v>
      </c>
      <c r="F334" s="210">
        <v>-170.02017580187385</v>
      </c>
      <c r="G334" s="209">
        <v>-2798.2920262953144</v>
      </c>
      <c r="H334" s="210">
        <v>21912.422000000002</v>
      </c>
      <c r="I334" s="210">
        <v>5230.362347670216</v>
      </c>
      <c r="J334" s="215">
        <v>3.777</v>
      </c>
      <c r="K334" s="212">
        <v>43.68</v>
      </c>
      <c r="L334" s="212">
        <v>156.56</v>
      </c>
      <c r="M334" s="212">
        <v>7.35</v>
      </c>
      <c r="N334" s="212">
        <v>104.42</v>
      </c>
      <c r="O334" s="213">
        <v>-0.004926190320683939</v>
      </c>
      <c r="P334" s="214">
        <v>0.0024018880076136506</v>
      </c>
      <c r="Q334" s="214">
        <v>-0.0023369445225715304</v>
      </c>
      <c r="R334" s="214">
        <v>4.5289518587739625E-4</v>
      </c>
      <c r="S334" s="214">
        <v>-2.572465694820429E-4</v>
      </c>
    </row>
    <row r="335">
      <c r="A335" s="208">
        <v>43119.0</v>
      </c>
      <c r="B335" s="30">
        <v>-0.02240657868311503</v>
      </c>
      <c r="C335" s="30">
        <v>0.010509501319255396</v>
      </c>
      <c r="D335" s="30">
        <v>-0.011897077363859634</v>
      </c>
      <c r="E335" s="30">
        <v>-0.009464709511901866</v>
      </c>
      <c r="F335" s="210">
        <v>-2090.9193764508736</v>
      </c>
      <c r="G335" s="209">
        <v>-2628.2718504934405</v>
      </c>
      <c r="H335" s="210">
        <v>21912.422000000002</v>
      </c>
      <c r="I335" s="210">
        <v>5230.362347670216</v>
      </c>
      <c r="J335" s="215">
        <v>3.775</v>
      </c>
      <c r="K335" s="212">
        <v>43.551</v>
      </c>
      <c r="L335" s="212">
        <v>156.86</v>
      </c>
      <c r="M335" s="212">
        <v>7.34</v>
      </c>
      <c r="N335" s="212">
        <v>104.55</v>
      </c>
      <c r="O335" s="213">
        <v>-0.004406984577913923</v>
      </c>
      <c r="P335" s="214">
        <v>7.02610041502146E-4</v>
      </c>
      <c r="Q335" s="214">
        <v>-0.002099920085832263</v>
      </c>
      <c r="R335" s="214">
        <v>9.076456600906798E-4</v>
      </c>
      <c r="S335" s="214">
        <v>-3.526226531241535E-4</v>
      </c>
    </row>
    <row r="336">
      <c r="A336" s="208">
        <v>43118.0</v>
      </c>
      <c r="B336" s="30">
        <v>-0.012954764264856419</v>
      </c>
      <c r="C336" s="30">
        <v>0.01052239641289865</v>
      </c>
      <c r="D336" s="30">
        <v>-0.0024323678519577677</v>
      </c>
      <c r="E336" s="30">
        <v>0.0028866636847889315</v>
      </c>
      <c r="F336" s="210">
        <v>637.7143455097341</v>
      </c>
      <c r="G336" s="209">
        <v>-537.3524740425671</v>
      </c>
      <c r="H336" s="210">
        <v>21912.422000000002</v>
      </c>
      <c r="I336" s="210">
        <v>5230.362347670216</v>
      </c>
      <c r="J336" s="215">
        <v>3.798</v>
      </c>
      <c r="K336" s="212">
        <v>43.449</v>
      </c>
      <c r="L336" s="212">
        <v>157.1</v>
      </c>
      <c r="M336" s="212">
        <v>7.33</v>
      </c>
      <c r="N336" s="212">
        <v>104.29</v>
      </c>
      <c r="O336" s="213">
        <v>-6.331601106730478E-4</v>
      </c>
      <c r="P336" s="214">
        <v>0.0013638882693809418</v>
      </c>
      <c r="Q336" s="214">
        <v>-4.918222577091994E-4</v>
      </c>
      <c r="R336" s="214">
        <v>-9.12607165209689E-4</v>
      </c>
      <c r="S336" s="214">
        <v>-0.0018504045287970339</v>
      </c>
    </row>
    <row r="337">
      <c r="A337" s="208">
        <v>43117.0</v>
      </c>
      <c r="B337" s="30">
        <v>-0.015854354726565375</v>
      </c>
      <c r="C337" s="30">
        <v>0.010535323189818676</v>
      </c>
      <c r="D337" s="30">
        <v>-0.005319031536746699</v>
      </c>
      <c r="E337" s="30">
        <v>-0.001801992358780525</v>
      </c>
      <c r="F337" s="210">
        <v>-398.09153513402407</v>
      </c>
      <c r="G337" s="209">
        <v>-1175.0668195523012</v>
      </c>
      <c r="H337" s="210">
        <v>21912.422000000002</v>
      </c>
      <c r="I337" s="210">
        <v>5230.362347670216</v>
      </c>
      <c r="J337" s="215">
        <v>3.833</v>
      </c>
      <c r="K337" s="212">
        <v>43.366</v>
      </c>
      <c r="L337" s="212">
        <v>157.66</v>
      </c>
      <c r="M337" s="212">
        <v>7.34</v>
      </c>
      <c r="N337" s="212">
        <v>104.5</v>
      </c>
      <c r="O337" s="213">
        <v>-4.523009222719976E-4</v>
      </c>
      <c r="P337" s="214">
        <v>-0.0015530766660203366</v>
      </c>
      <c r="Q337" s="214">
        <v>-0.0028842037489233605</v>
      </c>
      <c r="R337" s="214">
        <v>-0.0018183992228240076</v>
      </c>
      <c r="S337" s="214">
        <v>-0.002355258483821713</v>
      </c>
    </row>
    <row r="338">
      <c r="A338" s="208">
        <v>43116.0</v>
      </c>
      <c r="B338" s="30">
        <v>-0.014065320944894094</v>
      </c>
      <c r="C338" s="30">
        <v>0.01054828176692792</v>
      </c>
      <c r="D338" s="30">
        <v>-0.0035170391779661744</v>
      </c>
      <c r="E338" s="30">
        <v>0.006084692370555098</v>
      </c>
      <c r="F338" s="210">
        <v>1344.214649307281</v>
      </c>
      <c r="G338" s="209">
        <v>-776.9752844182772</v>
      </c>
      <c r="H338" s="210">
        <v>21912.422000000002</v>
      </c>
      <c r="I338" s="210">
        <v>5230.362347670216</v>
      </c>
      <c r="J338" s="215">
        <v>3.825</v>
      </c>
      <c r="K338" s="212">
        <v>43.459</v>
      </c>
      <c r="L338" s="212">
        <v>157.85</v>
      </c>
      <c r="M338" s="212">
        <v>7.32</v>
      </c>
      <c r="N338" s="212">
        <v>104.66</v>
      </c>
      <c r="O338" s="213">
        <v>-8.874612219123742E-4</v>
      </c>
      <c r="P338" s="214">
        <v>-1.4198530500390363E-4</v>
      </c>
      <c r="Q338" s="214">
        <v>-0.004515782648987702</v>
      </c>
      <c r="R338" s="214">
        <v>-0.005436691536537364</v>
      </c>
      <c r="S338" s="214">
        <v>-0.0016865234833337943</v>
      </c>
    </row>
    <row r="339">
      <c r="A339" s="208">
        <v>43115.0</v>
      </c>
      <c r="B339" s="30">
        <v>-0.02016300381023605</v>
      </c>
      <c r="C339" s="30">
        <v>0.010561272261714778</v>
      </c>
      <c r="D339" s="30">
        <v>-0.009601731548521272</v>
      </c>
      <c r="E339" s="30">
        <v>-0.006048168646375559</v>
      </c>
      <c r="F339" s="210">
        <v>-1774.4904902783935</v>
      </c>
      <c r="G339" s="209">
        <v>-2121.189933725558</v>
      </c>
      <c r="H339" s="210">
        <v>20052.507000000012</v>
      </c>
      <c r="I339" s="210">
        <v>4553.879068100335</v>
      </c>
      <c r="J339" s="215">
        <v>3.805</v>
      </c>
      <c r="K339" s="212">
        <v>43.271</v>
      </c>
      <c r="L339" s="212">
        <v>157.33</v>
      </c>
      <c r="M339" s="212">
        <v>7.35</v>
      </c>
      <c r="N339" s="212">
        <v>104.87</v>
      </c>
      <c r="O339" s="213">
        <v>-0.0034126491907693715</v>
      </c>
      <c r="P339" s="214">
        <v>-0.0024350016862907755</v>
      </c>
      <c r="Q339" s="214">
        <v>-0.007426484840285186</v>
      </c>
      <c r="R339" s="214">
        <v>-0.005414657339463484</v>
      </c>
      <c r="S339" s="214">
        <v>-0.002285238685883336</v>
      </c>
    </row>
    <row r="340">
      <c r="A340" s="208">
        <v>43112.0</v>
      </c>
      <c r="B340" s="30">
        <v>-0.01216979848629027</v>
      </c>
      <c r="C340" s="30">
        <v>0.010600436435738455</v>
      </c>
      <c r="D340" s="30">
        <v>-0.001569362050551814</v>
      </c>
      <c r="E340" s="30">
        <v>-0.007429231010720979</v>
      </c>
      <c r="F340" s="210">
        <v>-1641.246680937466</v>
      </c>
      <c r="G340" s="209">
        <v>-346.6994434471647</v>
      </c>
      <c r="H340" s="210">
        <v>20052.507000000012</v>
      </c>
      <c r="I340" s="210">
        <v>4553.879068100335</v>
      </c>
      <c r="J340" s="215">
        <v>3.838</v>
      </c>
      <c r="K340" s="212">
        <v>43.567</v>
      </c>
      <c r="L340" s="212">
        <v>159.02</v>
      </c>
      <c r="M340" s="212">
        <v>7.38</v>
      </c>
      <c r="N340" s="212">
        <v>105.24</v>
      </c>
      <c r="O340" s="213">
        <v>-0.00529105370351642</v>
      </c>
      <c r="P340" s="214">
        <v>-0.0026478967199617585</v>
      </c>
      <c r="Q340" s="214">
        <v>-0.006270368987780994</v>
      </c>
      <c r="R340" s="214">
        <v>-0.0036078837598843747</v>
      </c>
      <c r="S340" s="214">
        <v>-8.881989157801066E-4</v>
      </c>
    </row>
    <row r="341">
      <c r="A341" s="208">
        <v>43111.0</v>
      </c>
      <c r="B341" s="30">
        <v>-0.004753686827593719</v>
      </c>
      <c r="C341" s="30">
        <v>0.010613555787762885</v>
      </c>
      <c r="D341" s="30">
        <v>0.005859868960169165</v>
      </c>
      <c r="E341" s="30">
        <v>0.003904474473646639</v>
      </c>
      <c r="F341" s="210">
        <v>862.5664973171581</v>
      </c>
      <c r="G341" s="209">
        <v>1294.5472374903013</v>
      </c>
      <c r="H341" s="210">
        <v>20052.507000000012</v>
      </c>
      <c r="I341" s="210">
        <v>4553.879068100335</v>
      </c>
      <c r="J341" s="215">
        <v>3.835</v>
      </c>
      <c r="K341" s="212">
        <v>43.476</v>
      </c>
      <c r="L341" s="212">
        <v>159.99</v>
      </c>
      <c r="M341" s="212">
        <v>7.44</v>
      </c>
      <c r="N341" s="212">
        <v>105.19</v>
      </c>
      <c r="O341" s="213">
        <v>-0.007346938210988234</v>
      </c>
      <c r="P341" s="214">
        <v>-2.8506341291715626E-4</v>
      </c>
      <c r="Q341" s="214">
        <v>-0.003866779974276572</v>
      </c>
      <c r="R341" s="214">
        <v>8.894534386887365E-4</v>
      </c>
      <c r="S341" s="214">
        <v>-0.0010149775020400487</v>
      </c>
    </row>
    <row r="342">
      <c r="A342" s="208">
        <v>43110.0</v>
      </c>
      <c r="B342" s="30">
        <v>-0.01244150755657043</v>
      </c>
      <c r="C342" s="30">
        <v>0.014396902043092956</v>
      </c>
      <c r="D342" s="30">
        <v>0.0019553944865225263</v>
      </c>
      <c r="E342" s="30">
        <v>-0.019226307520615923</v>
      </c>
      <c r="F342" s="210">
        <v>-4247.42659897873</v>
      </c>
      <c r="G342" s="209">
        <v>431.98074017314315</v>
      </c>
      <c r="H342" s="210">
        <v>20052.507000000012</v>
      </c>
      <c r="I342" s="210">
        <v>4553.879068100335</v>
      </c>
      <c r="J342" s="215">
        <v>3.844</v>
      </c>
      <c r="K342" s="212">
        <v>43.587</v>
      </c>
      <c r="L342" s="212">
        <v>160.86</v>
      </c>
      <c r="M342" s="212">
        <v>7.47</v>
      </c>
      <c r="N342" s="212">
        <v>105.59</v>
      </c>
      <c r="O342" s="213">
        <v>-0.005204125414422389</v>
      </c>
      <c r="P342" s="214">
        <v>0.0032473567702893855</v>
      </c>
      <c r="Q342" s="214">
        <v>-6.536929963156801E-4</v>
      </c>
      <c r="R342" s="214">
        <v>0.003581248355072786</v>
      </c>
      <c r="S342" s="214">
        <v>0.001389903064439535</v>
      </c>
    </row>
    <row r="343">
      <c r="A343" s="208">
        <v>43109.0</v>
      </c>
      <c r="B343" s="30">
        <v>0.006766937802701712</v>
      </c>
      <c r="C343" s="30">
        <v>0.014414764204436738</v>
      </c>
      <c r="D343" s="30">
        <v>0.02118170200713845</v>
      </c>
      <c r="E343" s="30">
        <v>0.0074392918560309915</v>
      </c>
      <c r="F343" s="210">
        <v>1643.469297107114</v>
      </c>
      <c r="G343" s="209">
        <v>4679.407339151873</v>
      </c>
      <c r="H343" s="210">
        <v>20052.507000000012</v>
      </c>
      <c r="I343" s="210">
        <v>4553.879068100335</v>
      </c>
      <c r="J343" s="215">
        <v>3.899</v>
      </c>
      <c r="K343" s="212">
        <v>43.913</v>
      </c>
      <c r="L343" s="212">
        <v>162.03</v>
      </c>
      <c r="M343" s="212">
        <v>7.46</v>
      </c>
      <c r="N343" s="212">
        <v>105.52</v>
      </c>
      <c r="O343" s="213">
        <v>-3.494054050969068E-4</v>
      </c>
      <c r="P343" s="214">
        <v>0.008011075810606708</v>
      </c>
      <c r="Q343" s="214">
        <v>0.002618741401500683</v>
      </c>
      <c r="R343" s="214">
        <v>8.797190382867637E-4</v>
      </c>
      <c r="S343" s="214">
        <v>0.002246747871189392</v>
      </c>
    </row>
    <row r="344">
      <c r="A344" s="208">
        <v>43108.0</v>
      </c>
      <c r="B344" s="30">
        <v>-6.902605927136814E-4</v>
      </c>
      <c r="C344" s="30">
        <v>0.01443267074382114</v>
      </c>
      <c r="D344" s="30">
        <v>0.013742410151107458</v>
      </c>
      <c r="E344" s="30">
        <v>0.004176364945733781</v>
      </c>
      <c r="F344" s="210">
        <v>1664.9952222683391</v>
      </c>
      <c r="G344" s="209">
        <v>3035.938042044759</v>
      </c>
      <c r="H344" s="210">
        <v>20052.507000000012</v>
      </c>
      <c r="I344" s="210">
        <v>4553.879068100335</v>
      </c>
      <c r="J344" s="215">
        <v>3.92</v>
      </c>
      <c r="K344" s="212">
        <v>43.51</v>
      </c>
      <c r="L344" s="212">
        <v>161.85</v>
      </c>
      <c r="M344" s="212">
        <v>7.42</v>
      </c>
      <c r="N344" s="212">
        <v>105.51</v>
      </c>
      <c r="O344" s="213">
        <v>-9.135228479314102E-5</v>
      </c>
      <c r="P344" s="214">
        <v>0.005846256505012322</v>
      </c>
      <c r="Q344" s="214">
        <v>4.6524312216622565E-4</v>
      </c>
      <c r="R344" s="214">
        <v>-9.075910600152929E-4</v>
      </c>
      <c r="S344" s="214">
        <v>0.0016744974047027128</v>
      </c>
    </row>
    <row r="345">
      <c r="A345" s="208">
        <v>43105.0</v>
      </c>
      <c r="B345" s="30">
        <v>-0.004289242968707136</v>
      </c>
      <c r="C345" s="30">
        <v>0.011238350198350263</v>
      </c>
      <c r="D345" s="30">
        <v>0.006205679517225667</v>
      </c>
      <c r="E345" s="30">
        <v>8.22467505142057E-4</v>
      </c>
      <c r="F345" s="210">
        <v>181.69741404532238</v>
      </c>
      <c r="G345" s="209">
        <v>1370.94281977642</v>
      </c>
      <c r="H345" s="210">
        <v>20052.507000000012</v>
      </c>
      <c r="I345" s="210">
        <v>4553.879068100335</v>
      </c>
      <c r="J345" s="215">
        <v>3.904</v>
      </c>
      <c r="K345" s="212">
        <v>43.16</v>
      </c>
      <c r="L345" s="212">
        <v>161.17</v>
      </c>
      <c r="M345" s="212">
        <v>7.39</v>
      </c>
      <c r="N345" s="212">
        <v>105.15</v>
      </c>
      <c r="O345" s="213">
        <v>5.883993404169526E-4</v>
      </c>
      <c r="P345" s="214">
        <v>0.00595623828313933</v>
      </c>
      <c r="Q345" s="214">
        <v>1.7849298160158936E-4</v>
      </c>
      <c r="R345" s="214">
        <v>-0.00135924260722368</v>
      </c>
      <c r="S345" s="214">
        <v>0.002124768438541517</v>
      </c>
    </row>
    <row r="346">
      <c r="A346" s="208">
        <v>43104.0</v>
      </c>
      <c r="B346" s="30">
        <v>-0.0058551381862666525</v>
      </c>
      <c r="C346" s="30">
        <v>0.011238350198350263</v>
      </c>
      <c r="D346" s="30">
        <v>0.00538321201208361</v>
      </c>
      <c r="E346" s="30">
        <v>7.660046549844406E-4</v>
      </c>
      <c r="F346" s="210">
        <v>169.22378584830892</v>
      </c>
      <c r="G346" s="209">
        <v>1189.2454057310977</v>
      </c>
      <c r="H346" s="210">
        <v>20052.507000000012</v>
      </c>
      <c r="I346" s="210">
        <v>4553.879068100335</v>
      </c>
      <c r="J346" s="215">
        <v>3.903</v>
      </c>
      <c r="K346" s="212">
        <v>42.866</v>
      </c>
      <c r="L346" s="212">
        <v>160.76</v>
      </c>
      <c r="M346" s="212">
        <v>7.44</v>
      </c>
      <c r="N346" s="212">
        <v>104.81</v>
      </c>
      <c r="O346" s="213">
        <v>-0.0036027055237702887</v>
      </c>
      <c r="P346" s="214">
        <v>0.0034969069375176964</v>
      </c>
      <c r="Q346" s="214">
        <v>-0.0027388380530865377</v>
      </c>
      <c r="R346" s="214">
        <v>8.960573476703241E-4</v>
      </c>
      <c r="S346" s="214">
        <v>0.002259296351096044</v>
      </c>
    </row>
    <row r="347">
      <c r="A347" s="208">
        <v>43103.0</v>
      </c>
      <c r="B347" s="30">
        <v>-0.006635190778999029</v>
      </c>
      <c r="C347" s="30">
        <v>0.011252398136098199</v>
      </c>
      <c r="D347" s="30">
        <v>0.00461720735709917</v>
      </c>
      <c r="E347" s="30">
        <v>8.151694367468237E-4</v>
      </c>
      <c r="F347" s="210">
        <v>180.0851434733553</v>
      </c>
      <c r="G347" s="209">
        <v>1020.0216198827887</v>
      </c>
      <c r="H347" s="210">
        <v>20052.507000000012</v>
      </c>
      <c r="I347" s="210">
        <v>4553.879068100335</v>
      </c>
      <c r="J347" s="215">
        <v>3.921</v>
      </c>
      <c r="K347" s="212">
        <v>42.751</v>
      </c>
      <c r="L347" s="212">
        <v>161.62</v>
      </c>
      <c r="M347" s="212">
        <v>7.44</v>
      </c>
      <c r="N347" s="212">
        <v>104.98</v>
      </c>
      <c r="O347" s="213">
        <v>-0.003924319621274856</v>
      </c>
      <c r="P347" s="214">
        <v>9.680825488894707E-4</v>
      </c>
      <c r="Q347" s="214">
        <v>-0.002456957792157377</v>
      </c>
      <c r="R347" s="214">
        <v>8.960573476702871E-4</v>
      </c>
      <c r="S347" s="214">
        <v>0.0035044080780540408</v>
      </c>
    </row>
    <row r="348">
      <c r="A348" s="208">
        <v>43102.0</v>
      </c>
      <c r="B348" s="30">
        <v>-0.007440526702320916</v>
      </c>
      <c r="C348" s="30">
        <v>0.011242564622673262</v>
      </c>
      <c r="D348" s="30">
        <v>0.003802037920352346</v>
      </c>
      <c r="E348" s="30">
        <v>-0.005132939574058901</v>
      </c>
      <c r="F348" s="210">
        <v>-1040.3817251072937</v>
      </c>
      <c r="G348" s="209">
        <v>839.9364764094335</v>
      </c>
      <c r="H348" s="210">
        <v>20052.507000000012</v>
      </c>
      <c r="I348" s="210">
        <v>4553.879068100335</v>
      </c>
      <c r="J348" s="215">
        <v>3.897</v>
      </c>
      <c r="K348" s="212">
        <v>42.393</v>
      </c>
      <c r="L348" s="212">
        <v>161.08</v>
      </c>
      <c r="M348" s="212">
        <v>7.42</v>
      </c>
      <c r="N348" s="212">
        <v>104.48</v>
      </c>
      <c r="O348" s="213">
        <v>-0.0070569606452492994</v>
      </c>
      <c r="P348" s="214">
        <v>-0.0036140864973411477</v>
      </c>
      <c r="Q348" s="214">
        <v>-0.004962897216578795</v>
      </c>
      <c r="R348" s="214">
        <v>4.492362982929284E-4</v>
      </c>
      <c r="S348" s="214">
        <v>0.0022376871602020065</v>
      </c>
    </row>
    <row r="349">
      <c r="A349" s="208">
        <v>43098.0</v>
      </c>
      <c r="B349" s="30">
        <v>-0.0027806444335445445</v>
      </c>
      <c r="C349" s="30">
        <v>0.011292051314045905</v>
      </c>
      <c r="D349" s="30">
        <v>0.00851140688050136</v>
      </c>
      <c r="E349" s="30">
        <v>-0.0021908200824071536</v>
      </c>
      <c r="F349" s="210">
        <v>-483.9903596473223</v>
      </c>
      <c r="G349" s="209">
        <v>1880.3182015167272</v>
      </c>
      <c r="H349" s="210">
        <v>20052.507000000012</v>
      </c>
      <c r="I349" s="210">
        <v>4553.879068100335</v>
      </c>
      <c r="J349" s="215">
        <v>3.945</v>
      </c>
      <c r="K349" s="212">
        <v>42.417</v>
      </c>
      <c r="L349" s="212">
        <v>162.08</v>
      </c>
      <c r="M349" s="212">
        <v>7.42</v>
      </c>
      <c r="N349" s="212">
        <v>104.1</v>
      </c>
      <c r="O349" s="213">
        <v>3.150933635682751E-4</v>
      </c>
      <c r="P349" s="214">
        <v>-0.00428099439793687</v>
      </c>
      <c r="Q349" s="214">
        <v>-0.003015863738876264</v>
      </c>
      <c r="R349" s="214">
        <v>0.004047976739138666</v>
      </c>
      <c r="S349" s="214">
        <v>0.0031452028723078693</v>
      </c>
    </row>
    <row r="350">
      <c r="A350" s="208">
        <v>43097.0</v>
      </c>
      <c r="B350" s="30">
        <v>-6.040460782331649E-4</v>
      </c>
      <c r="C350" s="30">
        <v>0.011306273041141679</v>
      </c>
      <c r="D350" s="30">
        <v>0.010702226962908514</v>
      </c>
      <c r="E350" s="30">
        <v>0.005083803237135391</v>
      </c>
      <c r="F350" s="210">
        <v>1123.1007862653437</v>
      </c>
      <c r="G350" s="209">
        <v>2364.3085611640495</v>
      </c>
      <c r="H350" s="210">
        <v>20052.507000000012</v>
      </c>
      <c r="I350" s="210">
        <v>4553.879068100335</v>
      </c>
      <c r="J350" s="215">
        <v>3.967</v>
      </c>
      <c r="K350" s="212">
        <v>42.625</v>
      </c>
      <c r="L350" s="212">
        <v>162.81</v>
      </c>
      <c r="M350" s="212">
        <v>7.42</v>
      </c>
      <c r="N350" s="212">
        <v>103.88</v>
      </c>
      <c r="O350" s="213">
        <v>0.003358119100068002</v>
      </c>
      <c r="P350" s="214">
        <v>-0.00292573324311259</v>
      </c>
      <c r="Q350" s="214">
        <v>-5.973967979999717E-4</v>
      </c>
      <c r="R350" s="214">
        <v>0.006776489699575265</v>
      </c>
      <c r="S350" s="214">
        <v>0.005026735990664166</v>
      </c>
    </row>
    <row r="351">
      <c r="A351" s="208">
        <v>43096.0</v>
      </c>
      <c r="B351" s="30">
        <v>-0.0057021069106285086</v>
      </c>
      <c r="C351" s="30">
        <v>0.011320530636401632</v>
      </c>
      <c r="D351" s="30">
        <v>0.005618423725773123</v>
      </c>
      <c r="E351" s="30">
        <v>-0.004550267042902571</v>
      </c>
      <c r="F351" s="210">
        <v>-741.102705382887</v>
      </c>
      <c r="G351" s="209">
        <v>1241.2077748987058</v>
      </c>
      <c r="H351" s="210">
        <v>20052.507000000012</v>
      </c>
      <c r="I351" s="210">
        <v>4553.879068100335</v>
      </c>
      <c r="J351" s="215">
        <v>3.98</v>
      </c>
      <c r="K351" s="212">
        <v>42.854</v>
      </c>
      <c r="L351" s="212">
        <v>163.49</v>
      </c>
      <c r="M351" s="212">
        <v>7.41</v>
      </c>
      <c r="N351" s="212">
        <v>103.78</v>
      </c>
      <c r="O351" s="213">
        <v>0.005044641345910539</v>
      </c>
      <c r="P351" s="214">
        <v>-0.001336472291511089</v>
      </c>
      <c r="Q351" s="214">
        <v>7.743817178625564E-4</v>
      </c>
      <c r="R351" s="214">
        <v>0.007244263946903584</v>
      </c>
      <c r="S351" s="214">
        <v>0.005194515938437783</v>
      </c>
    </row>
    <row r="352">
      <c r="A352" s="208">
        <v>43091.0</v>
      </c>
      <c r="B352" s="30">
        <v>-0.0017263091043883386</v>
      </c>
      <c r="C352" s="30">
        <v>0.010699391983418594</v>
      </c>
      <c r="D352" s="30">
        <v>0.008973082879030255</v>
      </c>
      <c r="E352" s="30">
        <v>0.009479068170680116</v>
      </c>
      <c r="F352" s="210">
        <v>2094.0914545607757</v>
      </c>
      <c r="G352" s="209">
        <v>1982.3104802815928</v>
      </c>
      <c r="H352" s="210">
        <v>20052.507000000012</v>
      </c>
      <c r="I352" s="210">
        <v>4553.879068100335</v>
      </c>
      <c r="J352" s="215">
        <v>3.941</v>
      </c>
      <c r="K352" s="212">
        <v>42.964</v>
      </c>
      <c r="L352" s="212">
        <v>163.55</v>
      </c>
      <c r="M352" s="212">
        <v>7.33</v>
      </c>
      <c r="N352" s="212">
        <v>103.12</v>
      </c>
      <c r="O352" s="213">
        <v>-0.0026434590198639585</v>
      </c>
      <c r="P352" s="214">
        <v>-0.002990964156559602</v>
      </c>
      <c r="Q352" s="214">
        <v>-0.0015556194226168756</v>
      </c>
      <c r="R352" s="214">
        <v>0.00410529362100039</v>
      </c>
      <c r="S352" s="214">
        <v>0.0026505172664391305</v>
      </c>
    </row>
    <row r="353">
      <c r="A353" s="208">
        <v>43090.0</v>
      </c>
      <c r="B353" s="30">
        <v>-0.011218972436419691</v>
      </c>
      <c r="C353" s="30">
        <v>0.01071298714476983</v>
      </c>
      <c r="D353" s="30">
        <v>-5.05985291649861E-4</v>
      </c>
      <c r="E353" s="30">
        <v>-0.015673655115578618</v>
      </c>
      <c r="F353" s="210">
        <v>-3462.5837316782386</v>
      </c>
      <c r="G353" s="209">
        <v>-111.78097427918294</v>
      </c>
      <c r="H353" s="210">
        <v>20152.059000000016</v>
      </c>
      <c r="I353" s="210">
        <v>4597.460989247287</v>
      </c>
      <c r="J353" s="215">
        <v>3.927</v>
      </c>
      <c r="K353" s="212">
        <v>43.0</v>
      </c>
      <c r="L353" s="212">
        <v>163.1</v>
      </c>
      <c r="M353" s="212">
        <v>7.27</v>
      </c>
      <c r="N353" s="212">
        <v>102.32</v>
      </c>
      <c r="O353" s="213">
        <v>-0.009785966936440441</v>
      </c>
      <c r="P353" s="214">
        <v>-0.003626693233281649</v>
      </c>
      <c r="Q353" s="214">
        <v>-0.004846332310122288</v>
      </c>
      <c r="R353" s="214">
        <v>9.163755040259755E-4</v>
      </c>
      <c r="S353" s="214">
        <v>-0.001043319421216271</v>
      </c>
    </row>
    <row r="354">
      <c r="A354" s="208">
        <v>43089.0</v>
      </c>
      <c r="B354" s="30">
        <v>0.004441052924521815</v>
      </c>
      <c r="C354" s="30">
        <v>0.01072661689940694</v>
      </c>
      <c r="D354" s="30">
        <v>0.015167669823928757</v>
      </c>
      <c r="E354" s="30">
        <v>-0.01608626938050253</v>
      </c>
      <c r="F354" s="210">
        <v>-3553.737417952978</v>
      </c>
      <c r="G354" s="209">
        <v>3350.8027573990557</v>
      </c>
      <c r="H354" s="210">
        <v>20018.009000000013</v>
      </c>
      <c r="I354" s="210">
        <v>4597.460989247287</v>
      </c>
      <c r="J354" s="215">
        <v>3.92</v>
      </c>
      <c r="K354" s="212">
        <v>43.026</v>
      </c>
      <c r="L354" s="212">
        <v>163.11</v>
      </c>
      <c r="M354" s="212">
        <v>7.25</v>
      </c>
      <c r="N354" s="212">
        <v>102.17</v>
      </c>
      <c r="O354" s="213">
        <v>-0.012111531584683366</v>
      </c>
      <c r="P354" s="214">
        <v>-0.002290234443528346</v>
      </c>
      <c r="Q354" s="214">
        <v>-0.005571201533499141</v>
      </c>
      <c r="R354" s="214">
        <v>4.591350733472721E-4</v>
      </c>
      <c r="S354" s="214">
        <v>-2.0046776006162523E-4</v>
      </c>
    </row>
    <row r="355">
      <c r="A355" s="208">
        <v>43088.0</v>
      </c>
      <c r="B355" s="30">
        <v>0.02051365782489772</v>
      </c>
      <c r="C355" s="30">
        <v>0.010740281379533567</v>
      </c>
      <c r="D355" s="30">
        <v>0.031253939204431286</v>
      </c>
      <c r="E355" s="30">
        <v>-0.0037120225860544087</v>
      </c>
      <c r="F355" s="210">
        <v>-820.050519378784</v>
      </c>
      <c r="G355" s="209">
        <v>6904.540175352034</v>
      </c>
      <c r="H355" s="210">
        <v>20018.009000000013</v>
      </c>
      <c r="I355" s="210">
        <v>4597.460989247287</v>
      </c>
      <c r="J355" s="215">
        <v>3.972</v>
      </c>
      <c r="K355" s="212">
        <v>43.35</v>
      </c>
      <c r="L355" s="212">
        <v>164.31</v>
      </c>
      <c r="M355" s="212">
        <v>7.24</v>
      </c>
      <c r="N355" s="212">
        <v>102.3</v>
      </c>
      <c r="O355" s="213">
        <v>-0.006131363927069107</v>
      </c>
      <c r="P355" s="214">
        <v>0.0018434147296737535</v>
      </c>
      <c r="Q355" s="214">
        <v>-0.003259558129892648</v>
      </c>
      <c r="R355" s="214">
        <v>0.00138058042801803</v>
      </c>
      <c r="S355" s="214">
        <v>3.5408681735963715E-4</v>
      </c>
    </row>
    <row r="356">
      <c r="A356" s="208">
        <v>43087.0</v>
      </c>
      <c r="B356" s="30">
        <v>0.024211981072457825</v>
      </c>
      <c r="C356" s="30">
        <v>0.010753980718027873</v>
      </c>
      <c r="D356" s="30">
        <v>0.034965961790485695</v>
      </c>
      <c r="E356" s="30">
        <v>-0.005952208502418635</v>
      </c>
      <c r="F356" s="210">
        <v>1377.176444570363</v>
      </c>
      <c r="G356" s="209">
        <v>7724.590694730818</v>
      </c>
      <c r="H356" s="210">
        <v>20018.009000000013</v>
      </c>
      <c r="I356" s="210">
        <v>4597.460989247287</v>
      </c>
      <c r="J356" s="215">
        <v>4.043</v>
      </c>
      <c r="K356" s="212">
        <v>43.469</v>
      </c>
      <c r="L356" s="212">
        <v>165.48</v>
      </c>
      <c r="M356" s="212">
        <v>7.25</v>
      </c>
      <c r="N356" s="212">
        <v>102.64</v>
      </c>
      <c r="O356" s="213">
        <v>-0.0031396140968816453</v>
      </c>
      <c r="P356" s="214">
        <v>0.0016991417572047585</v>
      </c>
      <c r="Q356" s="214">
        <v>-5.645559093915656E-4</v>
      </c>
      <c r="R356" s="214">
        <v>0.003227948136566868</v>
      </c>
      <c r="S356" s="214">
        <v>0.0033864592236686844</v>
      </c>
    </row>
    <row r="357">
      <c r="A357" s="208">
        <v>43084.0</v>
      </c>
      <c r="B357" s="30">
        <v>0.017936776062110284</v>
      </c>
      <c r="C357" s="30">
        <v>0.010795289222706603</v>
      </c>
      <c r="D357" s="30">
        <v>0.028732065284816886</v>
      </c>
      <c r="E357" s="30">
        <v>0.004877418154602395</v>
      </c>
      <c r="F357" s="210">
        <v>1077.5067225979901</v>
      </c>
      <c r="G357" s="209">
        <v>6347.414250160455</v>
      </c>
      <c r="H357" s="210">
        <v>20018.009000000013</v>
      </c>
      <c r="I357" s="210">
        <v>4597.460989247287</v>
      </c>
      <c r="J357" s="215">
        <v>4.064</v>
      </c>
      <c r="K357" s="212">
        <v>43.321</v>
      </c>
      <c r="L357" s="212">
        <v>165.85</v>
      </c>
      <c r="M357" s="212">
        <v>7.24</v>
      </c>
      <c r="N357" s="212">
        <v>102.23</v>
      </c>
      <c r="O357" s="213">
        <v>1.4368069888059942E-4</v>
      </c>
      <c r="P357" s="214">
        <v>-5.148395671581799E-4</v>
      </c>
      <c r="Q357" s="214">
        <v>-4.225311798034352E-4</v>
      </c>
      <c r="R357" s="214">
        <v>-1.7337298709933318E-5</v>
      </c>
      <c r="S357" s="214">
        <v>0.0031376217098855554</v>
      </c>
    </row>
    <row r="358">
      <c r="A358" s="208">
        <v>43083.0</v>
      </c>
      <c r="B358" s="30">
        <v>0.01304551779311981</v>
      </c>
      <c r="C358" s="30">
        <v>0.010809129337094683</v>
      </c>
      <c r="D358" s="30">
        <v>0.02385464713021449</v>
      </c>
      <c r="E358" s="30">
        <v>-0.001070995432791426</v>
      </c>
      <c r="F358" s="210">
        <v>-236.6015670843335</v>
      </c>
      <c r="G358" s="209">
        <v>5269.907527562465</v>
      </c>
      <c r="H358" s="210">
        <v>20018.009000000013</v>
      </c>
      <c r="I358" s="210">
        <v>4597.460989247287</v>
      </c>
      <c r="J358" s="215">
        <v>4.045</v>
      </c>
      <c r="K358" s="212">
        <v>43.11</v>
      </c>
      <c r="L358" s="212">
        <v>165.92</v>
      </c>
      <c r="M358" s="212">
        <v>7.21</v>
      </c>
      <c r="N358" s="212">
        <v>102.19</v>
      </c>
      <c r="O358" s="213">
        <v>-0.0019070865427326389</v>
      </c>
      <c r="P358" s="214">
        <v>0.0018566737069912371</v>
      </c>
      <c r="Q358" s="214">
        <v>0.0010630536174749035</v>
      </c>
      <c r="R358" s="214">
        <v>-4.777424552476391E-4</v>
      </c>
      <c r="S358" s="214">
        <v>0.0028755356152666924</v>
      </c>
    </row>
    <row r="359">
      <c r="A359" s="208">
        <v>43082.0</v>
      </c>
      <c r="B359" s="30">
        <v>0.014102637578495194</v>
      </c>
      <c r="C359" s="30">
        <v>0.010823004984510725</v>
      </c>
      <c r="D359" s="30">
        <v>0.024925642563005918</v>
      </c>
      <c r="E359" s="30">
        <v>0.002150716273818791</v>
      </c>
      <c r="F359" s="210">
        <v>475.1307290013492</v>
      </c>
      <c r="G359" s="209">
        <v>5506.509094646798</v>
      </c>
      <c r="H359" s="210">
        <v>20018.009000000013</v>
      </c>
      <c r="I359" s="210">
        <v>4597.460989247287</v>
      </c>
      <c r="J359" s="215">
        <v>4.081</v>
      </c>
      <c r="K359" s="212">
        <v>43.247</v>
      </c>
      <c r="L359" s="212">
        <v>165.76</v>
      </c>
      <c r="M359" s="212">
        <v>7.18</v>
      </c>
      <c r="N359" s="212">
        <v>101.6</v>
      </c>
      <c r="O359" s="213">
        <v>7.317775310942501E-4</v>
      </c>
      <c r="P359" s="214">
        <v>0.002962635295000219</v>
      </c>
      <c r="Q359" s="214">
        <v>-3.4672309276199503E-4</v>
      </c>
      <c r="R359" s="214">
        <v>-0.00232638552434102</v>
      </c>
      <c r="S359" s="214">
        <v>-8.915136001123406E-4</v>
      </c>
    </row>
    <row r="360">
      <c r="A360" s="208">
        <v>43081.0</v>
      </c>
      <c r="B360" s="30">
        <v>0.011938009987215592</v>
      </c>
      <c r="C360" s="30">
        <v>0.010836916301971537</v>
      </c>
      <c r="D360" s="30">
        <v>0.022774926289187127</v>
      </c>
      <c r="E360" s="30">
        <v>0.002366312320246842</v>
      </c>
      <c r="F360" s="210">
        <v>522.7596552135828</v>
      </c>
      <c r="G360" s="209">
        <v>5031.378365645449</v>
      </c>
      <c r="H360" s="210">
        <v>20018.009000000013</v>
      </c>
      <c r="I360" s="210">
        <v>4597.460989247287</v>
      </c>
      <c r="J360" s="215">
        <v>4.062</v>
      </c>
      <c r="K360" s="212">
        <v>43.387</v>
      </c>
      <c r="L360" s="212">
        <v>166.06</v>
      </c>
      <c r="M360" s="212">
        <v>7.24</v>
      </c>
      <c r="N360" s="212">
        <v>101.27</v>
      </c>
      <c r="O360" s="213">
        <v>-0.0031940655030632628</v>
      </c>
      <c r="P360" s="214">
        <v>0.006032640144444416</v>
      </c>
      <c r="Q360" s="214">
        <v>3.3691393037064515E-4</v>
      </c>
      <c r="R360" s="214">
        <v>0.0032253815249006315</v>
      </c>
      <c r="S360" s="214">
        <v>-0.0021377979772725375</v>
      </c>
    </row>
    <row r="361">
      <c r="A361" s="208">
        <v>43080.0</v>
      </c>
      <c r="B361" s="30">
        <v>0.009533063914576888</v>
      </c>
      <c r="C361" s="30">
        <v>0.010875550054363397</v>
      </c>
      <c r="D361" s="30">
        <v>0.020408613968940285</v>
      </c>
      <c r="E361" s="30">
        <v>-0.003544649666722608</v>
      </c>
      <c r="F361" s="210">
        <v>-1325.6261125418596</v>
      </c>
      <c r="G361" s="209">
        <v>4508.618710431866</v>
      </c>
      <c r="H361" s="210">
        <v>16842.517000000007</v>
      </c>
      <c r="I361" s="210">
        <v>4215.624218637972</v>
      </c>
      <c r="J361" s="215">
        <v>4.068</v>
      </c>
      <c r="K361" s="212">
        <v>42.867</v>
      </c>
      <c r="L361" s="212">
        <v>165.39</v>
      </c>
      <c r="M361" s="212">
        <v>7.22</v>
      </c>
      <c r="N361" s="212">
        <v>101.31</v>
      </c>
      <c r="O361" s="213">
        <v>-0.0033519451185958595</v>
      </c>
      <c r="P361" s="214">
        <v>0.0028825591105451722</v>
      </c>
      <c r="Q361" s="214">
        <v>-0.001269198761445563</v>
      </c>
      <c r="R361" s="214">
        <v>-1.9929020624938804E-5</v>
      </c>
      <c r="S361" s="214">
        <v>-0.004982327217822287</v>
      </c>
    </row>
    <row r="362">
      <c r="A362" s="208">
        <v>43077.0</v>
      </c>
      <c r="B362" s="30">
        <v>0.014648057315049761</v>
      </c>
      <c r="C362" s="30">
        <v>0.011761106564091817</v>
      </c>
      <c r="D362" s="30">
        <v>0.02640916387914158</v>
      </c>
      <c r="E362" s="30">
        <v>-0.002008707308177697</v>
      </c>
      <c r="F362" s="210">
        <v>-443.75847214387977</v>
      </c>
      <c r="G362" s="209">
        <v>5834.244822973726</v>
      </c>
      <c r="H362" s="210">
        <v>16842.517000000007</v>
      </c>
      <c r="I362" s="210">
        <v>4215.624218637972</v>
      </c>
      <c r="J362" s="215">
        <v>4.072</v>
      </c>
      <c r="K362" s="212">
        <v>42.861</v>
      </c>
      <c r="L362" s="212">
        <v>165.93</v>
      </c>
      <c r="M362" s="212">
        <v>7.23</v>
      </c>
      <c r="N362" s="212">
        <v>101.87</v>
      </c>
      <c r="O362" s="213">
        <v>7.074622514808097E-4</v>
      </c>
      <c r="P362" s="214">
        <v>0.0017377864449354223</v>
      </c>
      <c r="Q362" s="214">
        <v>0.0021481745596105086</v>
      </c>
      <c r="R362" s="214">
        <v>-0.0023283316060358126</v>
      </c>
      <c r="S362" s="214">
        <v>-0.002037654992933217</v>
      </c>
    </row>
    <row r="363">
      <c r="A363" s="208">
        <v>43076.0</v>
      </c>
      <c r="B363" s="30">
        <v>0.016641549737633557</v>
      </c>
      <c r="C363" s="30">
        <v>0.011776321449685719</v>
      </c>
      <c r="D363" s="30">
        <v>0.028417871187319275</v>
      </c>
      <c r="E363" s="30">
        <v>0.008677597282895418</v>
      </c>
      <c r="F363" s="210">
        <v>1917.0325594279693</v>
      </c>
      <c r="G363" s="209">
        <v>6278.003295117605</v>
      </c>
      <c r="H363" s="210">
        <v>16842.517000000007</v>
      </c>
      <c r="I363" s="210">
        <v>4215.624218637972</v>
      </c>
      <c r="J363" s="215">
        <v>4.101</v>
      </c>
      <c r="K363" s="212">
        <v>42.605</v>
      </c>
      <c r="L363" s="212">
        <v>165.89</v>
      </c>
      <c r="M363" s="212">
        <v>7.17</v>
      </c>
      <c r="N363" s="212">
        <v>101.92</v>
      </c>
      <c r="O363" s="213">
        <v>0.005870798352293723</v>
      </c>
      <c r="P363" s="214">
        <v>-4.016862645648637E-4</v>
      </c>
      <c r="Q363" s="214">
        <v>0.0031596548865448306</v>
      </c>
      <c r="R363" s="214">
        <v>-0.007383960624320451</v>
      </c>
      <c r="S363" s="214">
        <v>-0.004020598664140433</v>
      </c>
    </row>
    <row r="364">
      <c r="A364" s="208">
        <v>43075.0</v>
      </c>
      <c r="B364" s="30">
        <v>0.00794869815234217</v>
      </c>
      <c r="C364" s="30">
        <v>0.011791575752081687</v>
      </c>
      <c r="D364" s="30">
        <v>0.019740273904423858</v>
      </c>
      <c r="E364" s="30">
        <v>0.0036869821863339917</v>
      </c>
      <c r="F364" s="210">
        <v>814.5186584269336</v>
      </c>
      <c r="G364" s="209">
        <v>4360.970735689636</v>
      </c>
      <c r="H364" s="210">
        <v>16842.517000000007</v>
      </c>
      <c r="I364" s="210">
        <v>4215.624218637972</v>
      </c>
      <c r="J364" s="215">
        <v>4.109</v>
      </c>
      <c r="K364" s="212">
        <v>42.497</v>
      </c>
      <c r="L364" s="212">
        <v>166.02</v>
      </c>
      <c r="M364" s="212">
        <v>7.22</v>
      </c>
      <c r="N364" s="212">
        <v>102.83</v>
      </c>
      <c r="O364" s="213">
        <v>0.006272845713267102</v>
      </c>
      <c r="P364" s="214">
        <v>0.005254967894280593</v>
      </c>
      <c r="Q364" s="214">
        <v>0.003968583940923624</v>
      </c>
      <c r="R364" s="214">
        <v>-0.005968964712015874</v>
      </c>
      <c r="S364" s="214">
        <v>-0.0024339703143031466</v>
      </c>
    </row>
    <row r="365">
      <c r="A365" s="208">
        <v>43074.0</v>
      </c>
      <c r="B365" s="30">
        <v>0.004246422093437383</v>
      </c>
      <c r="C365" s="30">
        <v>0.011806869624652484</v>
      </c>
      <c r="D365" s="30">
        <v>0.016053291718089866</v>
      </c>
      <c r="E365" s="30">
        <v>-0.0038586401907255326</v>
      </c>
      <c r="F365" s="210">
        <v>-852.4409049632718</v>
      </c>
      <c r="G365" s="209">
        <v>3546.4520772627025</v>
      </c>
      <c r="H365" s="210">
        <v>16842.517000000007</v>
      </c>
      <c r="I365" s="210">
        <v>4215.624218637972</v>
      </c>
      <c r="J365" s="215">
        <v>4.063</v>
      </c>
      <c r="K365" s="212">
        <v>42.637</v>
      </c>
      <c r="L365" s="212">
        <v>164.86</v>
      </c>
      <c r="M365" s="212">
        <v>7.28</v>
      </c>
      <c r="N365" s="212">
        <v>102.49</v>
      </c>
      <c r="O365" s="213">
        <v>0.007666861108560186</v>
      </c>
      <c r="P365" s="214">
        <v>0.002902115483563635</v>
      </c>
      <c r="Q365" s="214">
        <v>0.0027774117508878593</v>
      </c>
      <c r="R365" s="214">
        <v>-9.313079133776251E-4</v>
      </c>
      <c r="S365" s="214">
        <v>-0.001476513344051152</v>
      </c>
    </row>
    <row r="366">
      <c r="A366" s="208">
        <v>43073.0</v>
      </c>
      <c r="B366" s="30">
        <v>0.008089728687247782</v>
      </c>
      <c r="C366" s="30">
        <v>0.011822203221567617</v>
      </c>
      <c r="D366" s="30">
        <v>0.0199119319088154</v>
      </c>
      <c r="E366" s="30">
        <v>0.010947049400104552</v>
      </c>
      <c r="F366" s="210">
        <v>4086.964675444697</v>
      </c>
      <c r="G366" s="209">
        <v>4398.892982225974</v>
      </c>
      <c r="H366" s="210">
        <v>16842.517000000007</v>
      </c>
      <c r="I366" s="210">
        <v>4215.624218637972</v>
      </c>
      <c r="J366" s="215">
        <v>4.029</v>
      </c>
      <c r="K366" s="212">
        <v>42.656</v>
      </c>
      <c r="L366" s="212">
        <v>164.32</v>
      </c>
      <c r="M366" s="212">
        <v>7.33</v>
      </c>
      <c r="N366" s="212">
        <v>103.15</v>
      </c>
      <c r="O366" s="213">
        <v>0.0028623474794942094</v>
      </c>
      <c r="P366" s="214">
        <v>0.003831591968786648</v>
      </c>
      <c r="Q366" s="214">
        <v>-1.2900975523522096E-4</v>
      </c>
      <c r="R366" s="214">
        <v>-0.0018382776559638565</v>
      </c>
      <c r="S366" s="214">
        <v>-0.002309044126733347</v>
      </c>
    </row>
    <row r="367">
      <c r="A367" s="208">
        <v>43070.0</v>
      </c>
      <c r="B367" s="30">
        <v>-0.010435746336066228</v>
      </c>
      <c r="C367" s="30">
        <v>0.011847714126634724</v>
      </c>
      <c r="D367" s="30">
        <v>0.0014119677905684962</v>
      </c>
      <c r="E367" s="30">
        <v>-0.009679035370914154</v>
      </c>
      <c r="F367" s="210">
        <v>-2138.267696113483</v>
      </c>
      <c r="G367" s="209">
        <v>311.9283067812772</v>
      </c>
      <c r="H367" s="210">
        <v>16842.517000000007</v>
      </c>
      <c r="I367" s="210">
        <v>4215.624218637972</v>
      </c>
      <c r="J367" s="215">
        <v>4.032</v>
      </c>
      <c r="K367" s="212">
        <v>41.824</v>
      </c>
      <c r="L367" s="212">
        <v>164.05</v>
      </c>
      <c r="M367" s="212">
        <v>7.35</v>
      </c>
      <c r="N367" s="212">
        <v>103.58</v>
      </c>
      <c r="O367" s="213">
        <v>-2.277928190647834E-4</v>
      </c>
      <c r="P367" s="214">
        <v>-1.3986913502050946E-4</v>
      </c>
      <c r="Q367" s="214">
        <v>-0.001690632394081663</v>
      </c>
      <c r="R367" s="214">
        <v>-9.287733358183855E-4</v>
      </c>
      <c r="S367" s="214">
        <v>-0.003358662949093224</v>
      </c>
    </row>
    <row r="368">
      <c r="A368" s="208">
        <v>43069.0</v>
      </c>
      <c r="B368" s="30">
        <v>-5.497713545283561E-4</v>
      </c>
      <c r="C368" s="30">
        <v>0.011640774516011006</v>
      </c>
      <c r="D368" s="30">
        <v>0.01109100316148265</v>
      </c>
      <c r="E368" s="30">
        <v>-0.00830063514402886</v>
      </c>
      <c r="F368" s="210">
        <v>-1833.7550494998209</v>
      </c>
      <c r="G368" s="209">
        <v>2450.19600289476</v>
      </c>
      <c r="H368" s="210">
        <v>16842.517000000007</v>
      </c>
      <c r="I368" s="210">
        <v>4215.624218637972</v>
      </c>
      <c r="J368" s="215">
        <v>3.97</v>
      </c>
      <c r="K368" s="212">
        <v>42.257</v>
      </c>
      <c r="L368" s="212">
        <v>163.49</v>
      </c>
      <c r="M368" s="212">
        <v>7.3</v>
      </c>
      <c r="N368" s="212">
        <v>102.94</v>
      </c>
      <c r="O368" s="213">
        <v>-0.004361882553675089</v>
      </c>
      <c r="P368" s="214">
        <v>0.005852649155400551</v>
      </c>
      <c r="Q368" s="214">
        <v>-0.0011707255578690863</v>
      </c>
      <c r="R368" s="214">
        <v>-0.0031963470319635126</v>
      </c>
      <c r="S368" s="214">
        <v>-0.0046535904675912105</v>
      </c>
    </row>
    <row r="369">
      <c r="A369" s="208">
        <v>43068.0</v>
      </c>
      <c r="B369" s="30">
        <v>0.0053295697976165285</v>
      </c>
      <c r="C369" s="30">
        <v>0.014062068507894983</v>
      </c>
      <c r="D369" s="30">
        <v>0.01939163830551151</v>
      </c>
      <c r="E369" s="30">
        <v>0.00726891575243443</v>
      </c>
      <c r="F369" s="210">
        <v>1605.830244810129</v>
      </c>
      <c r="G369" s="209">
        <v>4283.951052394581</v>
      </c>
      <c r="H369" s="210">
        <v>16842.517000000007</v>
      </c>
      <c r="I369" s="210">
        <v>4215.624218637972</v>
      </c>
      <c r="J369" s="215">
        <v>3.994</v>
      </c>
      <c r="K369" s="212">
        <v>42.158</v>
      </c>
      <c r="L369" s="212">
        <v>164.38</v>
      </c>
      <c r="M369" s="212">
        <v>7.37</v>
      </c>
      <c r="N369" s="212">
        <v>103.86</v>
      </c>
      <c r="O369" s="213">
        <v>-0.001600871640147809</v>
      </c>
      <c r="P369" s="214">
        <v>0.0052403109620140125</v>
      </c>
      <c r="Q369" s="214">
        <v>0.0013956179385670915</v>
      </c>
      <c r="R369" s="214">
        <v>-4.5228403437354753E-4</v>
      </c>
      <c r="S369" s="214">
        <v>0.0011038012191808555</v>
      </c>
    </row>
    <row r="370">
      <c r="A370" s="208">
        <v>43067.0</v>
      </c>
      <c r="B370" s="30">
        <v>-0.0020132595869224845</v>
      </c>
      <c r="C370" s="30">
        <v>0.014135982139999566</v>
      </c>
      <c r="D370" s="30">
        <v>0.012122722553077081</v>
      </c>
      <c r="E370" s="30">
        <v>0.00637181601972619</v>
      </c>
      <c r="F370" s="210">
        <v>1407.645270261276</v>
      </c>
      <c r="G370" s="209">
        <v>2678.120807584452</v>
      </c>
      <c r="H370" s="210">
        <v>16842.517000000007</v>
      </c>
      <c r="I370" s="210">
        <v>4215.624218637972</v>
      </c>
      <c r="J370" s="215">
        <v>4.034</v>
      </c>
      <c r="K370" s="212">
        <v>41.838</v>
      </c>
      <c r="L370" s="212">
        <v>164.88</v>
      </c>
      <c r="M370" s="212">
        <v>7.37</v>
      </c>
      <c r="N370" s="212">
        <v>104.62</v>
      </c>
      <c r="O370" s="213">
        <v>-0.0019173193992523263</v>
      </c>
      <c r="P370" s="214">
        <v>8.305380036307172E-4</v>
      </c>
      <c r="Q370" s="214">
        <v>-6.042981537901874E-4</v>
      </c>
      <c r="R370" s="214">
        <v>-0.002258968767887559</v>
      </c>
      <c r="S370" s="214">
        <v>6.505732971395783E-5</v>
      </c>
    </row>
    <row r="371">
      <c r="A371" s="208">
        <v>43066.0</v>
      </c>
      <c r="B371" s="30">
        <v>-0.008385075606648675</v>
      </c>
      <c r="C371" s="30">
        <v>0.014135982139999566</v>
      </c>
      <c r="D371" s="30">
        <v>0.005750906533350891</v>
      </c>
      <c r="E371" s="30">
        <v>-0.00956913563868969</v>
      </c>
      <c r="F371" s="210">
        <v>-2113.988928837432</v>
      </c>
      <c r="G371" s="209">
        <v>1270.475537323176</v>
      </c>
      <c r="H371" s="210">
        <v>16741.60700000001</v>
      </c>
      <c r="I371" s="210">
        <v>4215.624218637972</v>
      </c>
      <c r="J371" s="215">
        <v>4.022</v>
      </c>
      <c r="K371" s="212">
        <v>41.519</v>
      </c>
      <c r="L371" s="212">
        <v>164.06</v>
      </c>
      <c r="M371" s="212">
        <v>7.37</v>
      </c>
      <c r="N371" s="212">
        <v>104.38</v>
      </c>
      <c r="O371" s="213">
        <v>-0.003730516214898653</v>
      </c>
      <c r="P371" s="214">
        <v>-0.0031966816149700352</v>
      </c>
      <c r="Q371" s="214">
        <v>-0.0034527618801294033</v>
      </c>
      <c r="R371" s="214">
        <v>-0.004055913961059199</v>
      </c>
      <c r="S371" s="214">
        <v>-0.002325009214272996</v>
      </c>
    </row>
    <row r="372">
      <c r="A372" s="208">
        <v>43063.0</v>
      </c>
      <c r="B372" s="30">
        <v>0.0011654600555410163</v>
      </c>
      <c r="C372" s="30">
        <v>0.014154582116499566</v>
      </c>
      <c r="D372" s="30">
        <v>0.015320042172040582</v>
      </c>
      <c r="E372" s="30">
        <v>-0.0023196010742614105</v>
      </c>
      <c r="F372" s="210">
        <v>-512.4403264263365</v>
      </c>
      <c r="G372" s="209">
        <v>3384.464466160608</v>
      </c>
      <c r="H372" s="210">
        <v>16741.60700000001</v>
      </c>
      <c r="I372" s="210">
        <v>4215.624218637972</v>
      </c>
      <c r="J372" s="215">
        <v>4.013</v>
      </c>
      <c r="K372" s="212">
        <v>41.498</v>
      </c>
      <c r="L372" s="212">
        <v>163.69</v>
      </c>
      <c r="M372" s="212">
        <v>7.38</v>
      </c>
      <c r="N372" s="212">
        <v>103.51</v>
      </c>
      <c r="O372" s="213">
        <v>-0.005050137243589677</v>
      </c>
      <c r="P372" s="214">
        <v>-0.005059062224882727</v>
      </c>
      <c r="Q372" s="214">
        <v>-0.004848020010728297</v>
      </c>
      <c r="R372" s="214">
        <v>-0.0031568024021101</v>
      </c>
      <c r="S372" s="214">
        <v>-0.004183560275628902</v>
      </c>
    </row>
    <row r="373">
      <c r="A373" s="208">
        <v>43062.0</v>
      </c>
      <c r="B373" s="30">
        <v>0.0034664121415066453</v>
      </c>
      <c r="C373" s="30">
        <v>0.014173231104795347</v>
      </c>
      <c r="D373" s="30">
        <v>0.017639643246301993</v>
      </c>
      <c r="E373" s="30">
        <v>-0.006284471816351646</v>
      </c>
      <c r="F373" s="210">
        <v>-1388.3494126306914</v>
      </c>
      <c r="G373" s="209">
        <v>3896.9047925869445</v>
      </c>
      <c r="H373" s="210">
        <v>16741.60700000001</v>
      </c>
      <c r="I373" s="210">
        <v>4215.624218637972</v>
      </c>
      <c r="J373" s="215">
        <v>4.057</v>
      </c>
      <c r="K373" s="212">
        <v>41.732</v>
      </c>
      <c r="L373" s="212">
        <v>165.17</v>
      </c>
      <c r="M373" s="212">
        <v>7.42</v>
      </c>
      <c r="N373" s="212">
        <v>104.59</v>
      </c>
      <c r="O373" s="213">
        <v>-4.414259259899467E-6</v>
      </c>
      <c r="P373" s="214">
        <v>-9.404055204969008E-4</v>
      </c>
      <c r="Q373" s="214">
        <v>-0.0017338398179967591</v>
      </c>
      <c r="R373" s="214">
        <v>4.3959150366338723E-4</v>
      </c>
      <c r="S373" s="214">
        <v>-5.784211131160492E-4</v>
      </c>
    </row>
    <row r="374">
      <c r="A374" s="208">
        <v>43061.0</v>
      </c>
      <c r="B374" s="30">
        <v>0.009732185763788646</v>
      </c>
      <c r="C374" s="30">
        <v>0.014191929298864992</v>
      </c>
      <c r="D374" s="30">
        <v>0.02392411506265364</v>
      </c>
      <c r="E374" s="30">
        <v>0.003167272189870802</v>
      </c>
      <c r="F374" s="210">
        <v>699.7056575235665</v>
      </c>
      <c r="G374" s="209">
        <v>5285.254205217636</v>
      </c>
      <c r="H374" s="210">
        <v>16741.60700000001</v>
      </c>
      <c r="I374" s="210">
        <v>4215.624218637972</v>
      </c>
      <c r="J374" s="215">
        <v>4.067</v>
      </c>
      <c r="K374" s="212">
        <v>41.918</v>
      </c>
      <c r="L374" s="212">
        <v>165.76</v>
      </c>
      <c r="M374" s="212">
        <v>7.46</v>
      </c>
      <c r="N374" s="212">
        <v>105.1</v>
      </c>
      <c r="O374" s="213">
        <v>0.0018031611248499058</v>
      </c>
      <c r="P374" s="214">
        <v>0.0020188518978036343</v>
      </c>
      <c r="Q374" s="214">
        <v>2.1976693266719435E-4</v>
      </c>
      <c r="R374" s="214">
        <v>0.00223653669683499</v>
      </c>
      <c r="S374" s="214">
        <v>8.878946674015046E-4</v>
      </c>
    </row>
    <row r="375">
      <c r="A375" s="208">
        <v>43060.0</v>
      </c>
      <c r="B375" s="30">
        <v>0.0065461659790712595</v>
      </c>
      <c r="C375" s="30">
        <v>0.014210676893711579</v>
      </c>
      <c r="D375" s="30">
        <v>0.020756842872782837</v>
      </c>
      <c r="E375" s="30">
        <v>0.00620040525104712</v>
      </c>
      <c r="F375" s="210">
        <v>1369.7776424051112</v>
      </c>
      <c r="G375" s="209">
        <v>4585.548547694069</v>
      </c>
      <c r="H375" s="210">
        <v>16741.60700000001</v>
      </c>
      <c r="I375" s="210">
        <v>4215.624218637972</v>
      </c>
      <c r="J375" s="215">
        <v>4.074</v>
      </c>
      <c r="K375" s="212">
        <v>42.131</v>
      </c>
      <c r="L375" s="212">
        <v>166.08</v>
      </c>
      <c r="M375" s="212">
        <v>7.45</v>
      </c>
      <c r="N375" s="212">
        <v>104.81</v>
      </c>
      <c r="O375" s="213">
        <v>0.002047259538635567</v>
      </c>
      <c r="P375" s="214">
        <v>0.002896563183822661</v>
      </c>
      <c r="Q375" s="214">
        <v>4.4068985205084993E-4</v>
      </c>
      <c r="R375" s="214">
        <v>0.0035890793926823816</v>
      </c>
      <c r="S375" s="214">
        <v>0.0015263625091816262</v>
      </c>
    </row>
    <row r="376">
      <c r="A376" s="208">
        <v>43059.0</v>
      </c>
      <c r="B376" s="30">
        <v>3.2696353636579135E-4</v>
      </c>
      <c r="C376" s="30">
        <v>0.014229474085369925</v>
      </c>
      <c r="D376" s="30">
        <v>0.014556437621735717</v>
      </c>
      <c r="E376" s="30">
        <v>-4.893879445442978E-4</v>
      </c>
      <c r="F376" s="210">
        <v>1829.6199066876366</v>
      </c>
      <c r="G376" s="209">
        <v>3215.770905288958</v>
      </c>
      <c r="H376" s="210">
        <v>16741.60700000001</v>
      </c>
      <c r="I376" s="210">
        <v>4215.624218637972</v>
      </c>
      <c r="J376" s="215">
        <v>4.057</v>
      </c>
      <c r="K376" s="212">
        <v>41.848</v>
      </c>
      <c r="L376" s="212">
        <v>166.03</v>
      </c>
      <c r="M376" s="212">
        <v>7.41</v>
      </c>
      <c r="N376" s="212">
        <v>104.77</v>
      </c>
      <c r="O376" s="213">
        <v>0.0023851470893516322</v>
      </c>
      <c r="P376" s="214">
        <v>0.0030917702931032207</v>
      </c>
      <c r="Q376" s="214">
        <v>-0.002191919510985</v>
      </c>
      <c r="R376" s="214">
        <v>0.0013470861860493215</v>
      </c>
      <c r="S376" s="214">
        <v>0.0024215450665381333</v>
      </c>
    </row>
    <row r="377">
      <c r="A377" s="208">
        <v>43056.0</v>
      </c>
      <c r="B377" s="30">
        <v>-0.008312761320488858</v>
      </c>
      <c r="C377" s="30">
        <v>0.014587281844404642</v>
      </c>
      <c r="D377" s="30">
        <v>0.0062745205239157845</v>
      </c>
      <c r="E377" s="30">
        <v>-0.010914314917584739</v>
      </c>
      <c r="F377" s="210">
        <v>-2411.1624887343255</v>
      </c>
      <c r="G377" s="209">
        <v>1386.1509986013216</v>
      </c>
      <c r="H377" s="210">
        <v>16741.60700000001</v>
      </c>
      <c r="I377" s="210">
        <v>4215.624218637972</v>
      </c>
      <c r="J377" s="215">
        <v>4.045</v>
      </c>
      <c r="K377" s="212">
        <v>41.663</v>
      </c>
      <c r="L377" s="212">
        <v>165.65</v>
      </c>
      <c r="M377" s="212">
        <v>7.41</v>
      </c>
      <c r="N377" s="212">
        <v>104.82</v>
      </c>
      <c r="O377" s="213">
        <v>0.002392245539221497</v>
      </c>
      <c r="P377" s="214">
        <v>1.7904521840731805E-4</v>
      </c>
      <c r="Q377" s="214">
        <v>-0.0029947253388692787</v>
      </c>
      <c r="R377" s="214">
        <v>0.0013470861860493215</v>
      </c>
      <c r="S377" s="214">
        <v>0.0015550812673971552</v>
      </c>
    </row>
    <row r="378">
      <c r="A378" s="208">
        <v>43055.0</v>
      </c>
      <c r="B378" s="30">
        <v>0.002582155615919807</v>
      </c>
      <c r="C378" s="30">
        <v>0.014606679825580718</v>
      </c>
      <c r="D378" s="30">
        <v>0.017188835441500523</v>
      </c>
      <c r="E378" s="30">
        <v>0.020584232471364653</v>
      </c>
      <c r="F378" s="210">
        <v>4547.41590004668</v>
      </c>
      <c r="G378" s="209">
        <v>3797.313487335647</v>
      </c>
      <c r="H378" s="210">
        <v>16741.60700000001</v>
      </c>
      <c r="I378" s="210">
        <v>4215.624218637972</v>
      </c>
      <c r="J378" s="215">
        <v>4.049</v>
      </c>
      <c r="K378" s="212">
        <v>41.765</v>
      </c>
      <c r="L378" s="212">
        <v>165.86</v>
      </c>
      <c r="M378" s="212">
        <v>7.37</v>
      </c>
      <c r="N378" s="212">
        <v>104.33</v>
      </c>
      <c r="O378" s="213">
        <v>9.788427022792145E-4</v>
      </c>
      <c r="P378" s="214">
        <v>-0.0029915301009697526</v>
      </c>
      <c r="Q378" s="214">
        <v>-0.0055437083821727</v>
      </c>
      <c r="R378" s="214">
        <v>-0.009485707701943532</v>
      </c>
      <c r="S378" s="214">
        <v>-0.0028466868613027385</v>
      </c>
    </row>
    <row r="379">
      <c r="A379" s="208">
        <v>43054.0</v>
      </c>
      <c r="B379" s="30">
        <v>-0.018021526495691966</v>
      </c>
      <c r="C379" s="30">
        <v>0.014626129465827836</v>
      </c>
      <c r="D379" s="30">
        <v>-0.00339539702986413</v>
      </c>
      <c r="E379" s="30">
        <v>-0.01059061643129419</v>
      </c>
      <c r="F379" s="210">
        <v>-2339.6518484699186</v>
      </c>
      <c r="G379" s="209">
        <v>-750.102412711033</v>
      </c>
      <c r="H379" s="210">
        <v>16741.60700000001</v>
      </c>
      <c r="I379" s="210">
        <v>4215.624218637972</v>
      </c>
      <c r="J379" s="215">
        <v>4.028</v>
      </c>
      <c r="K379" s="212">
        <v>41.46</v>
      </c>
      <c r="L379" s="212">
        <v>167.12</v>
      </c>
      <c r="M379" s="212">
        <v>7.38</v>
      </c>
      <c r="N379" s="212">
        <v>104.01</v>
      </c>
      <c r="O379" s="213">
        <v>-1.7199227505319362E-4</v>
      </c>
      <c r="P379" s="214">
        <v>-0.00474546471707223</v>
      </c>
      <c r="Q379" s="214">
        <v>-0.003130055120882602</v>
      </c>
      <c r="R379" s="214">
        <v>-0.008593669929663225</v>
      </c>
      <c r="S379" s="214">
        <v>-0.0035839668450640496</v>
      </c>
    </row>
    <row r="380">
      <c r="A380" s="208">
        <v>43053.0</v>
      </c>
      <c r="B380" s="30">
        <v>-0.0074504115703522035</v>
      </c>
      <c r="C380" s="30">
        <v>0.014645630971782264</v>
      </c>
      <c r="D380" s="30">
        <v>0.00719521940143006</v>
      </c>
      <c r="E380" s="30">
        <v>-0.006923911879677494</v>
      </c>
      <c r="F380" s="210">
        <v>-1529.6128731527165</v>
      </c>
      <c r="G380" s="209">
        <v>1589.5494357588855</v>
      </c>
      <c r="H380" s="210">
        <v>16741.60700000001</v>
      </c>
      <c r="I380" s="210">
        <v>4215.624218637972</v>
      </c>
      <c r="J380" s="215">
        <v>4.016</v>
      </c>
      <c r="K380" s="212">
        <v>41.639</v>
      </c>
      <c r="L380" s="212">
        <v>167.14</v>
      </c>
      <c r="M380" s="212">
        <v>7.38</v>
      </c>
      <c r="N380" s="212">
        <v>104.33</v>
      </c>
      <c r="O380" s="213">
        <v>-0.005300690231377099</v>
      </c>
      <c r="P380" s="214">
        <v>-0.004305113778958962</v>
      </c>
      <c r="Q380" s="214">
        <v>-0.004888333839356236</v>
      </c>
      <c r="R380" s="214">
        <v>-0.010795343201349672</v>
      </c>
      <c r="S380" s="214">
        <v>-0.004968139385356896</v>
      </c>
    </row>
    <row r="381">
      <c r="A381" s="208">
        <v>43052.0</v>
      </c>
      <c r="B381" s="30">
        <v>-5.460532700762895E-4</v>
      </c>
      <c r="C381" s="30">
        <v>0.014665184551183843</v>
      </c>
      <c r="D381" s="30">
        <v>0.014119131281107554</v>
      </c>
      <c r="E381" s="30">
        <v>0.0024971847464639943</v>
      </c>
      <c r="F381" s="210">
        <v>-2952.024621244299</v>
      </c>
      <c r="G381" s="209">
        <v>3119.162308911602</v>
      </c>
      <c r="H381" s="210">
        <v>16741.60700000001</v>
      </c>
      <c r="I381" s="210">
        <v>4215.624218637972</v>
      </c>
      <c r="J381" s="215">
        <v>4.037</v>
      </c>
      <c r="K381" s="212">
        <v>42.137</v>
      </c>
      <c r="L381" s="212">
        <v>168.63</v>
      </c>
      <c r="M381" s="212">
        <v>7.58</v>
      </c>
      <c r="N381" s="212">
        <v>105.22</v>
      </c>
      <c r="O381" s="213">
        <v>-0.007479230970381871</v>
      </c>
      <c r="P381" s="214">
        <v>-0.0024918470816770086</v>
      </c>
      <c r="Q381" s="214">
        <v>-0.004255609549923101</v>
      </c>
      <c r="R381" s="214">
        <v>-0.0021993648531147456</v>
      </c>
      <c r="S381" s="214">
        <v>-0.004202225785044329</v>
      </c>
    </row>
    <row r="382">
      <c r="A382" s="208">
        <v>43049.0</v>
      </c>
      <c r="B382" s="30">
        <v>0.012757540969047769</v>
      </c>
      <c r="C382" s="30">
        <v>0.01472415982417788</v>
      </c>
      <c r="D382" s="30">
        <v>0.02748170079322565</v>
      </c>
      <c r="E382" s="30">
        <v>-0.007830241701264708</v>
      </c>
      <c r="F382" s="210">
        <v>-1729.8369352889003</v>
      </c>
      <c r="G382" s="209">
        <v>6071.186930155901</v>
      </c>
      <c r="H382" s="210">
        <v>16741.60700000001</v>
      </c>
      <c r="I382" s="210">
        <v>4215.624218637972</v>
      </c>
      <c r="J382" s="215">
        <v>4.03</v>
      </c>
      <c r="K382" s="212">
        <v>42.051</v>
      </c>
      <c r="L382" s="212">
        <v>168.69</v>
      </c>
      <c r="M382" s="212">
        <v>7.57</v>
      </c>
      <c r="N382" s="212">
        <v>105.13</v>
      </c>
      <c r="O382" s="213">
        <v>-0.00838021534041126</v>
      </c>
      <c r="P382" s="214">
        <v>-0.004161520304076645</v>
      </c>
      <c r="Q382" s="214">
        <v>-0.004742038211784723</v>
      </c>
      <c r="R382" s="214">
        <v>-0.0026391185910215054</v>
      </c>
      <c r="S382" s="214">
        <v>-0.0018594684455252402</v>
      </c>
    </row>
    <row r="383">
      <c r="A383" s="208">
        <v>43048.0</v>
      </c>
      <c r="B383" s="30">
        <v>0.02052751085721818</v>
      </c>
      <c r="C383" s="30">
        <v>0.014784431637272178</v>
      </c>
      <c r="D383" s="164">
        <v>0.03531194249449036</v>
      </c>
      <c r="E383" s="164">
        <v>-0.0024625825229685344</v>
      </c>
      <c r="F383" s="210">
        <v>-544.0274217512169</v>
      </c>
      <c r="G383" s="209">
        <v>7801.023865444801</v>
      </c>
      <c r="H383" s="210">
        <v>16741.60700000001</v>
      </c>
      <c r="I383" s="210">
        <v>4215.624218637972</v>
      </c>
      <c r="J383" s="215">
        <v>4.08</v>
      </c>
      <c r="K383" s="212">
        <v>42.177</v>
      </c>
      <c r="L383" s="212">
        <v>169.6</v>
      </c>
      <c r="M383" s="212">
        <v>7.62</v>
      </c>
      <c r="N383" s="212">
        <v>105.89</v>
      </c>
      <c r="O383" s="213">
        <v>-0.0020664440686410934</v>
      </c>
      <c r="P383" s="214">
        <v>-0.0024424863542854927</v>
      </c>
      <c r="Q383" s="214">
        <v>-0.001969778771604721</v>
      </c>
      <c r="R383" s="214">
        <v>-0.0017480613088501535</v>
      </c>
      <c r="S383" s="214">
        <v>4.241152710061276E-4</v>
      </c>
    </row>
    <row r="384">
      <c r="A384" s="208">
        <v>43047.0</v>
      </c>
      <c r="B384" s="30">
        <v>0.02297022183228715</v>
      </c>
      <c r="C384" s="30">
        <v>0.014804303185171739</v>
      </c>
      <c r="D384" s="164">
        <v>0.03777452501745889</v>
      </c>
      <c r="E384" s="164">
        <v>-0.0038270665885175095</v>
      </c>
      <c r="F384" s="210">
        <v>-845.4657456561526</v>
      </c>
      <c r="G384" s="209">
        <v>8345.051287196018</v>
      </c>
      <c r="H384" s="210">
        <v>16741.60700000001</v>
      </c>
      <c r="I384" s="210">
        <v>4215.624218637972</v>
      </c>
      <c r="J384" s="215">
        <v>4.128</v>
      </c>
      <c r="K384" s="212">
        <v>42.452</v>
      </c>
      <c r="L384" s="212">
        <v>170.79</v>
      </c>
      <c r="M384" s="212">
        <v>7.63</v>
      </c>
      <c r="N384" s="212">
        <v>106.55</v>
      </c>
      <c r="O384" s="213">
        <v>0.003479160287595947</v>
      </c>
      <c r="P384" s="214">
        <v>9.077523413206409E-4</v>
      </c>
      <c r="Q384" s="214">
        <v>0.0013850795899309116</v>
      </c>
      <c r="R384" s="214">
        <v>0.003476155115793874</v>
      </c>
      <c r="S384" s="214">
        <v>0.005401664195685958</v>
      </c>
    </row>
    <row r="385">
      <c r="A385" s="208">
        <v>43046.0</v>
      </c>
      <c r="B385" s="30">
        <v>0.02579178908345716</v>
      </c>
      <c r="C385" s="30">
        <v>0.01580980252251924</v>
      </c>
      <c r="D385" s="164">
        <v>0.0416015916059764</v>
      </c>
      <c r="E385" s="164">
        <v>0.009795835376515072</v>
      </c>
      <c r="F385" s="210">
        <v>2164.0708541051163</v>
      </c>
      <c r="G385" s="209">
        <v>9190.51703285217</v>
      </c>
      <c r="H385" s="210">
        <v>16042.77100000001</v>
      </c>
      <c r="I385" s="210">
        <v>4159.066175627221</v>
      </c>
      <c r="J385" s="215">
        <v>4.132</v>
      </c>
      <c r="K385" s="212">
        <v>42.578</v>
      </c>
      <c r="L385" s="212">
        <v>171.1</v>
      </c>
      <c r="M385" s="212">
        <v>7.63</v>
      </c>
      <c r="N385" s="212">
        <v>105.71</v>
      </c>
      <c r="O385" s="213">
        <v>0.006086939425362796</v>
      </c>
      <c r="P385" s="214">
        <v>0.004377263752154008</v>
      </c>
      <c r="Q385" s="214">
        <v>0.0038127827940348156</v>
      </c>
      <c r="R385" s="214">
        <v>0.005242159530804906</v>
      </c>
      <c r="S385" s="214">
        <v>0.0020106496358119528</v>
      </c>
    </row>
    <row r="386">
      <c r="A386" s="208">
        <v>43045.0</v>
      </c>
      <c r="B386" s="30">
        <v>0.015974646695456205</v>
      </c>
      <c r="C386" s="30">
        <v>0.015831109534005124</v>
      </c>
      <c r="D386" s="164">
        <v>0.03180575622946133</v>
      </c>
      <c r="E386" s="164">
        <v>4.917239573126245E-4</v>
      </c>
      <c r="F386" s="210">
        <v>1395.7065188713868</v>
      </c>
      <c r="G386" s="209">
        <v>7026.446178747055</v>
      </c>
      <c r="H386" s="210">
        <v>16042.77100000001</v>
      </c>
      <c r="I386" s="210">
        <v>4159.066175627221</v>
      </c>
      <c r="J386" s="215">
        <v>4.105</v>
      </c>
      <c r="K386" s="212">
        <v>42.486</v>
      </c>
      <c r="L386" s="212">
        <v>170.6</v>
      </c>
      <c r="M386" s="212">
        <v>7.66</v>
      </c>
      <c r="N386" s="212">
        <v>105.75</v>
      </c>
      <c r="O386" s="213">
        <v>0.0033336798283155242</v>
      </c>
      <c r="P386" s="214">
        <v>0.0022370920311941913</v>
      </c>
      <c r="Q386" s="214">
        <v>0.0017745493167966586</v>
      </c>
      <c r="R386" s="214">
        <v>0.005221217597550343</v>
      </c>
      <c r="S386" s="214">
        <v>8.043358387245236E-4</v>
      </c>
    </row>
    <row r="387">
      <c r="A387" s="208">
        <v>43042.0</v>
      </c>
      <c r="B387" s="30">
        <v>0.00959260534322259</v>
      </c>
      <c r="C387" s="30">
        <v>0.015895376555117455</v>
      </c>
      <c r="D387" s="164">
        <v>0.025487981898340045</v>
      </c>
      <c r="E387" s="164">
        <v>0.006457949651989297</v>
      </c>
      <c r="F387" s="210">
        <v>1426.6736916234477</v>
      </c>
      <c r="G387" s="209">
        <v>5630.739659875668</v>
      </c>
      <c r="H387" s="210">
        <v>16042.77100000001</v>
      </c>
      <c r="I387" s="210">
        <v>4159.066175627221</v>
      </c>
      <c r="J387" s="215">
        <v>4.085</v>
      </c>
      <c r="K387" s="212">
        <v>42.336</v>
      </c>
      <c r="L387" s="212">
        <v>170.08</v>
      </c>
      <c r="M387" s="212">
        <v>7.55</v>
      </c>
      <c r="N387" s="212">
        <v>104.83</v>
      </c>
      <c r="O387" s="213">
        <v>0.005400588981419263</v>
      </c>
      <c r="P387" s="214">
        <v>0.0024662369315606356</v>
      </c>
      <c r="Q387" s="214">
        <v>0.001858572613675465</v>
      </c>
      <c r="R387" s="214">
        <v>0.0035290530351237415</v>
      </c>
      <c r="S387" s="214">
        <v>6.21891810962838E-4</v>
      </c>
    </row>
    <row r="388">
      <c r="A388" s="208">
        <v>43041.0</v>
      </c>
      <c r="B388" s="30">
        <v>0.0031131172406165955</v>
      </c>
      <c r="C388" s="30">
        <v>0.015916915005734153</v>
      </c>
      <c r="D388" s="164">
        <v>0.019030032246350748</v>
      </c>
      <c r="E388" s="164">
        <v>0.0015834431196863862</v>
      </c>
      <c r="F388" s="210">
        <v>349.81019716417995</v>
      </c>
      <c r="G388" s="209">
        <v>4204.06596825222</v>
      </c>
      <c r="H388" s="210">
        <v>16042.77100000001</v>
      </c>
      <c r="I388" s="210">
        <v>4159.066175627221</v>
      </c>
      <c r="J388" s="215">
        <v>4.057</v>
      </c>
      <c r="K388" s="212">
        <v>42.021</v>
      </c>
      <c r="L388" s="212">
        <v>169.15</v>
      </c>
      <c r="M388" s="212">
        <v>7.51</v>
      </c>
      <c r="N388" s="212">
        <v>105.07</v>
      </c>
      <c r="O388" s="213">
        <v>0.003115807259673087</v>
      </c>
      <c r="P388" s="214">
        <v>1.5265761218670923E-4</v>
      </c>
      <c r="Q388" s="214">
        <v>-2.991470609355525E-4</v>
      </c>
      <c r="R388" s="214">
        <v>8.705898963286737E-4</v>
      </c>
      <c r="S388" s="214">
        <v>-0.0011636314111641937</v>
      </c>
    </row>
    <row r="389">
      <c r="A389" s="208">
        <v>43040.0</v>
      </c>
      <c r="B389" s="30">
        <v>0.0017955081210223622</v>
      </c>
      <c r="C389" s="30">
        <v>0.015651081005641998</v>
      </c>
      <c r="D389" s="164">
        <v>0.01744658912666436</v>
      </c>
      <c r="E389" s="164">
        <v>9.0940292432546E-4</v>
      </c>
      <c r="F389" s="210">
        <v>200.90296411971985</v>
      </c>
      <c r="G389" s="209">
        <v>3854.25577108804</v>
      </c>
      <c r="H389" s="210">
        <v>16042.77100000001</v>
      </c>
      <c r="I389" s="210">
        <v>4159.066175627221</v>
      </c>
      <c r="J389" s="215">
        <v>4.064</v>
      </c>
      <c r="K389" s="212">
        <v>42.2</v>
      </c>
      <c r="L389" s="212">
        <v>169.69</v>
      </c>
      <c r="M389" s="212">
        <v>7.54</v>
      </c>
      <c r="N389" s="212">
        <v>105.49</v>
      </c>
      <c r="O389" s="213">
        <v>0.004188581109807132</v>
      </c>
      <c r="P389" s="214">
        <v>-8.162494415936786E-4</v>
      </c>
      <c r="Q389" s="214">
        <v>2.924632263509401E-4</v>
      </c>
      <c r="R389" s="214">
        <v>0.0030922234755291766</v>
      </c>
      <c r="S389" s="214">
        <v>2.9527984318962935E-4</v>
      </c>
    </row>
    <row r="390">
      <c r="A390" s="208">
        <v>43039.0</v>
      </c>
      <c r="B390" s="30">
        <v>8.648401409827055E-4</v>
      </c>
      <c r="C390" s="30">
        <v>0.015672346061356195</v>
      </c>
      <c r="D390" s="164">
        <v>0.0165371862023389</v>
      </c>
      <c r="E390" s="164">
        <v>0.008142080114548426</v>
      </c>
      <c r="F390" s="210">
        <v>1798.7274786105625</v>
      </c>
      <c r="G390" s="209">
        <v>3653.3528069683202</v>
      </c>
      <c r="H390" s="210">
        <v>16042.77100000001</v>
      </c>
      <c r="I390" s="210">
        <v>4159.066175627221</v>
      </c>
      <c r="J390" s="215">
        <v>4.019</v>
      </c>
      <c r="K390" s="212">
        <v>42.022</v>
      </c>
      <c r="L390" s="212">
        <v>169.13</v>
      </c>
      <c r="M390" s="212">
        <v>7.47</v>
      </c>
      <c r="N390" s="212">
        <v>104.63</v>
      </c>
      <c r="O390" s="213">
        <v>0.005315312114618849</v>
      </c>
      <c r="P390" s="214">
        <v>0.002883888952439443</v>
      </c>
      <c r="Q390" s="214">
        <v>0.0031639488547792194</v>
      </c>
      <c r="R390" s="214">
        <v>0.0026749931039988795</v>
      </c>
      <c r="S390" s="214">
        <v>7.406580990362658E-4</v>
      </c>
    </row>
    <row r="391">
      <c r="A391" s="208">
        <v>43038.0</v>
      </c>
      <c r="B391" s="30">
        <v>-0.007298562893377088</v>
      </c>
      <c r="C391" s="30">
        <v>0.015693668981167565</v>
      </c>
      <c r="D391" s="164">
        <v>0.008395106087790476</v>
      </c>
      <c r="E391" s="164">
        <v>-0.004996116200191594</v>
      </c>
      <c r="F391" s="210">
        <v>1254.6025434055423</v>
      </c>
      <c r="G391" s="209">
        <v>1854.6253283577578</v>
      </c>
      <c r="H391" s="210">
        <v>16042.77100000001</v>
      </c>
      <c r="I391" s="210">
        <v>4159.066175627221</v>
      </c>
      <c r="J391" s="215">
        <v>4.019</v>
      </c>
      <c r="K391" s="212">
        <v>42.001</v>
      </c>
      <c r="L391" s="212">
        <v>169.3</v>
      </c>
      <c r="M391" s="212">
        <v>7.49</v>
      </c>
      <c r="N391" s="212">
        <v>105.43</v>
      </c>
      <c r="O391" s="213">
        <v>0.008265164621993596</v>
      </c>
      <c r="P391" s="214">
        <v>0.0070946402501899835</v>
      </c>
      <c r="Q391" s="214">
        <v>0.006682696304247893</v>
      </c>
      <c r="R391" s="214">
        <v>0.005816664603311465</v>
      </c>
      <c r="S391" s="214">
        <v>0.005269077048003057</v>
      </c>
    </row>
    <row r="392">
      <c r="A392" s="208">
        <v>43035.0</v>
      </c>
      <c r="B392" s="30">
        <v>-0.013041937398205281</v>
      </c>
      <c r="C392" s="30">
        <v>0.015757987296664153</v>
      </c>
      <c r="D392" s="164">
        <v>0.0027160498984588714</v>
      </c>
      <c r="E392" s="164">
        <v>0.018931246705326966</v>
      </c>
      <c r="F392" s="210">
        <v>4182.242519621275</v>
      </c>
      <c r="G392" s="209">
        <v>600.0227849522155</v>
      </c>
      <c r="H392" s="210">
        <v>16042.77100000001</v>
      </c>
      <c r="I392" s="210">
        <v>4159.066175627221</v>
      </c>
      <c r="J392" s="215">
        <v>4.013</v>
      </c>
      <c r="K392" s="212">
        <v>42.302</v>
      </c>
      <c r="L392" s="212">
        <v>169.54</v>
      </c>
      <c r="M392" s="212">
        <v>7.47</v>
      </c>
      <c r="N392" s="212">
        <v>105.39</v>
      </c>
      <c r="O392" s="213">
        <v>0.0047913379178857</v>
      </c>
      <c r="P392" s="214">
        <v>0.006231795743122899</v>
      </c>
      <c r="Q392" s="214">
        <v>0.0050658699333287665</v>
      </c>
      <c r="R392" s="214">
        <v>0.004926588946880621</v>
      </c>
      <c r="S392" s="214">
        <v>0.0041146965326459934</v>
      </c>
    </row>
    <row r="393">
      <c r="A393" s="208">
        <v>43034.0</v>
      </c>
      <c r="B393" s="30">
        <v>-0.03199474085770005</v>
      </c>
      <c r="C393" s="30">
        <v>0.015779544050831956</v>
      </c>
      <c r="D393" s="164">
        <v>-0.016215196806868094</v>
      </c>
      <c r="E393" s="164">
        <v>-0.009478634996169164</v>
      </c>
      <c r="F393" s="210">
        <v>-2093.9957587576246</v>
      </c>
      <c r="G393" s="209">
        <v>-3582.2197346690596</v>
      </c>
      <c r="H393" s="210">
        <v>16042.77100000001</v>
      </c>
      <c r="I393" s="210">
        <v>4159.066175627221</v>
      </c>
      <c r="J393" s="215">
        <v>3.955</v>
      </c>
      <c r="K393" s="212">
        <v>41.654</v>
      </c>
      <c r="L393" s="212">
        <v>167.52</v>
      </c>
      <c r="M393" s="212">
        <v>7.41</v>
      </c>
      <c r="N393" s="212">
        <v>104.39</v>
      </c>
      <c r="O393" s="213">
        <v>-0.0030604719764011357</v>
      </c>
      <c r="P393" s="214">
        <v>-9.499403892176961E-5</v>
      </c>
      <c r="Q393" s="214">
        <v>-3.0320120454740973E-4</v>
      </c>
      <c r="R393" s="214">
        <v>0.0022492127755285494</v>
      </c>
      <c r="S393" s="214">
        <v>8.237468293793571E-4</v>
      </c>
    </row>
    <row r="394">
      <c r="A394" s="208">
        <v>43033.0</v>
      </c>
      <c r="B394" s="30">
        <v>-0.022537721675299147</v>
      </c>
      <c r="C394" s="30">
        <v>0.015801159864600216</v>
      </c>
      <c r="D394" s="164">
        <v>-0.00673656181069893</v>
      </c>
      <c r="E394" s="164">
        <v>-0.00775436794339455</v>
      </c>
      <c r="F394" s="210">
        <v>-1713.0750990914598</v>
      </c>
      <c r="G394" s="209">
        <v>-1488.223975911435</v>
      </c>
      <c r="H394" s="210">
        <v>16042.77100000001</v>
      </c>
      <c r="I394" s="210">
        <v>4159.066175627221</v>
      </c>
      <c r="J394" s="215">
        <v>3.92</v>
      </c>
      <c r="K394" s="212">
        <v>41.107</v>
      </c>
      <c r="L394" s="212">
        <v>165.92</v>
      </c>
      <c r="M394" s="212">
        <v>7.36</v>
      </c>
      <c r="N394" s="212">
        <v>103.77</v>
      </c>
      <c r="O394" s="213">
        <v>-0.003838771823623762</v>
      </c>
      <c r="P394" s="214">
        <v>-0.0027920559044423143</v>
      </c>
      <c r="Q394" s="214">
        <v>-0.00215483974638353</v>
      </c>
      <c r="R394" s="214">
        <v>0.0022644927536232076</v>
      </c>
      <c r="S394" s="214">
        <v>-0.002116346614023342</v>
      </c>
    </row>
    <row r="395">
      <c r="A395" s="208">
        <v>43032.0</v>
      </c>
      <c r="B395" s="30">
        <v>-0.014805028848316944</v>
      </c>
      <c r="C395" s="30">
        <v>0.015822834981012564</v>
      </c>
      <c r="D395" s="164">
        <v>0.0010178061326956197</v>
      </c>
      <c r="E395" s="164">
        <v>-0.0025839628055262364</v>
      </c>
      <c r="F395" s="210">
        <v>-570.8424427933131</v>
      </c>
      <c r="G395" s="209">
        <v>224.85112318002493</v>
      </c>
      <c r="H395" s="210">
        <v>16042.77100000001</v>
      </c>
      <c r="I395" s="210">
        <v>4159.066175627221</v>
      </c>
      <c r="J395" s="215">
        <v>3.955</v>
      </c>
      <c r="K395" s="212">
        <v>41.508</v>
      </c>
      <c r="L395" s="212">
        <v>166.96</v>
      </c>
      <c r="M395" s="212">
        <v>7.36</v>
      </c>
      <c r="N395" s="212">
        <v>104.09</v>
      </c>
      <c r="O395" s="213">
        <v>-0.004057200935495516</v>
      </c>
      <c r="P395" s="214">
        <v>0.003965853023085349</v>
      </c>
      <c r="Q395" s="214">
        <v>7.424951379797484E-5</v>
      </c>
      <c r="R395" s="214">
        <v>0.003176485457681603</v>
      </c>
      <c r="S395" s="214">
        <v>-0.0011841902403459947</v>
      </c>
    </row>
    <row r="396">
      <c r="A396" s="208">
        <v>43031.0</v>
      </c>
      <c r="B396" s="30">
        <v>-0.012242800706226162</v>
      </c>
      <c r="C396" s="30">
        <v>0.01584456964444802</v>
      </c>
      <c r="D396" s="164">
        <v>0.003601768938221856</v>
      </c>
      <c r="E396" s="164">
        <v>0.0065025086819921925</v>
      </c>
      <c r="F396" s="210">
        <v>31.473502514242114</v>
      </c>
      <c r="G396" s="209">
        <v>795.6935659733381</v>
      </c>
      <c r="H396" s="210">
        <v>16042.77100000001</v>
      </c>
      <c r="I396" s="210">
        <v>4159.066175627221</v>
      </c>
      <c r="J396" s="215">
        <v>3.991</v>
      </c>
      <c r="K396" s="212">
        <v>41.66</v>
      </c>
      <c r="L396" s="212">
        <v>167.66</v>
      </c>
      <c r="M396" s="212">
        <v>7.36</v>
      </c>
      <c r="N396" s="212">
        <v>104.13</v>
      </c>
      <c r="O396" s="213">
        <v>-0.0012728795684298448</v>
      </c>
      <c r="P396" s="214">
        <v>0.0024313444758040648</v>
      </c>
      <c r="Q396" s="214">
        <v>1.1385390544368008E-4</v>
      </c>
      <c r="R396" s="214">
        <v>0.0022619907160263595</v>
      </c>
      <c r="S396" s="214">
        <v>-9.603655398294405E-4</v>
      </c>
    </row>
    <row r="397">
      <c r="A397" s="208">
        <v>43028.0</v>
      </c>
      <c r="B397" s="30">
        <v>-0.012450831704682938</v>
      </c>
      <c r="C397" s="30">
        <v>0.015910133380907802</v>
      </c>
      <c r="D397" s="164">
        <v>0.003459301676224864</v>
      </c>
      <c r="E397" s="164">
        <v>0.005338912102754058</v>
      </c>
      <c r="F397" s="210">
        <v>1179.458783259938</v>
      </c>
      <c r="G397" s="209">
        <v>764.220063459096</v>
      </c>
      <c r="H397" s="210">
        <v>16042.77100000001</v>
      </c>
      <c r="I397" s="210">
        <v>4159.066175627221</v>
      </c>
      <c r="J397" s="215">
        <v>3.965</v>
      </c>
      <c r="K397" s="212">
        <v>41.45</v>
      </c>
      <c r="L397" s="212">
        <v>166.99</v>
      </c>
      <c r="M397" s="212">
        <v>7.31</v>
      </c>
      <c r="N397" s="212">
        <v>104.43</v>
      </c>
      <c r="O397" s="213">
        <v>-0.006273521927367002</v>
      </c>
      <c r="P397" s="214">
        <v>0.0010815635457983956</v>
      </c>
      <c r="Q397" s="214">
        <v>-0.00251096755246194</v>
      </c>
      <c r="R397" s="214">
        <v>-0.0013704910936844412</v>
      </c>
      <c r="S397" s="214">
        <v>-0.001372557744383977</v>
      </c>
    </row>
    <row r="398">
      <c r="A398" s="208">
        <v>43027.0</v>
      </c>
      <c r="B398" s="30">
        <v>-0.01781171912978632</v>
      </c>
      <c r="C398" s="30">
        <v>0.015932108703257127</v>
      </c>
      <c r="D398" s="164">
        <v>-0.0018796104265291942</v>
      </c>
      <c r="E398" s="164">
        <v>-0.015925966940460917</v>
      </c>
      <c r="F398" s="210">
        <v>-3518.3238135994716</v>
      </c>
      <c r="G398" s="209">
        <v>-415.238719800842</v>
      </c>
      <c r="H398" s="210">
        <v>16042.77100000001</v>
      </c>
      <c r="I398" s="210">
        <v>4159.066175627221</v>
      </c>
      <c r="J398" s="215">
        <v>4.003</v>
      </c>
      <c r="K398" s="212">
        <v>41.014</v>
      </c>
      <c r="L398" s="212">
        <v>166.92</v>
      </c>
      <c r="M398" s="212">
        <v>7.29</v>
      </c>
      <c r="N398" s="212">
        <v>104.46</v>
      </c>
      <c r="O398" s="213">
        <v>-7.686713162024331E-4</v>
      </c>
      <c r="P398" s="214">
        <v>-8.916195469500879E-4</v>
      </c>
      <c r="Q398" s="214">
        <v>-0.0013629302574443465</v>
      </c>
      <c r="R398" s="214">
        <v>-0.0031907490111851753</v>
      </c>
      <c r="S398" s="214">
        <v>-0.004868890862440097</v>
      </c>
    </row>
    <row r="399">
      <c r="A399" s="208">
        <v>43026.0</v>
      </c>
      <c r="B399" s="30">
        <v>-0.0019077883009481547</v>
      </c>
      <c r="C399" s="30">
        <v>0.01595414481487988</v>
      </c>
      <c r="D399" s="164">
        <v>0.014046356513931725</v>
      </c>
      <c r="E399" s="164">
        <v>0.003298347752623316</v>
      </c>
      <c r="F399" s="210">
        <v>728.6625350266522</v>
      </c>
      <c r="G399" s="209">
        <v>3103.0850937986297</v>
      </c>
      <c r="H399" s="210">
        <v>16042.77100000001</v>
      </c>
      <c r="I399" s="210">
        <v>4159.066175627221</v>
      </c>
      <c r="J399" s="215">
        <v>4.006</v>
      </c>
      <c r="K399" s="212">
        <v>41.353</v>
      </c>
      <c r="L399" s="212">
        <v>167.6</v>
      </c>
      <c r="M399" s="212">
        <v>7.31</v>
      </c>
      <c r="N399" s="212">
        <v>104.43</v>
      </c>
      <c r="O399" s="213">
        <v>4.781502973979131E-4</v>
      </c>
      <c r="P399" s="214">
        <v>0.0027876167968993912</v>
      </c>
      <c r="Q399" s="214">
        <v>4.126667777829181E-4</v>
      </c>
      <c r="R399" s="214">
        <v>4.4113703481785116E-4</v>
      </c>
      <c r="S399" s="214">
        <v>-0.0033921458948083703</v>
      </c>
    </row>
    <row r="400">
      <c r="A400" s="208">
        <v>43025.0</v>
      </c>
      <c r="B400" s="30">
        <v>-0.005228233207054694</v>
      </c>
      <c r="C400" s="30">
        <v>0.015976241968363104</v>
      </c>
      <c r="D400" s="164">
        <v>0.010748008761308409</v>
      </c>
      <c r="E400" s="164">
        <v>0.0024331720932888774</v>
      </c>
      <c r="F400" s="210">
        <v>537.5301449769415</v>
      </c>
      <c r="G400" s="209">
        <v>2374.4225587719775</v>
      </c>
      <c r="H400" s="210">
        <v>16042.77100000001</v>
      </c>
      <c r="I400" s="210">
        <v>4159.066175627221</v>
      </c>
      <c r="J400" s="215">
        <v>4.04</v>
      </c>
      <c r="K400" s="212">
        <v>41.312</v>
      </c>
      <c r="L400" s="212">
        <v>168.25</v>
      </c>
      <c r="M400" s="212">
        <v>7.34</v>
      </c>
      <c r="N400" s="212">
        <v>104.86</v>
      </c>
      <c r="O400" s="213">
        <v>0.006557239996183036</v>
      </c>
      <c r="P400" s="214">
        <v>0.0027660117035027687</v>
      </c>
      <c r="Q400" s="214">
        <v>0.0031392047248111807</v>
      </c>
      <c r="R400" s="214">
        <v>0.0050054731228688825</v>
      </c>
      <c r="S400" s="214">
        <v>1.606857991103272E-4</v>
      </c>
    </row>
    <row r="401">
      <c r="A401" s="208">
        <v>43024.0</v>
      </c>
      <c r="B401" s="30">
        <v>-0.007683563749675549</v>
      </c>
      <c r="C401" s="30">
        <v>0.01599840041769508</v>
      </c>
      <c r="D401" s="164">
        <v>0.008314836668019531</v>
      </c>
      <c r="E401" s="164">
        <v>0.004058425524109852</v>
      </c>
      <c r="F401" s="210">
        <v>2821.476523122284</v>
      </c>
      <c r="G401" s="209">
        <v>1836.892413795036</v>
      </c>
      <c r="H401" s="210">
        <v>16042.77100000001</v>
      </c>
      <c r="I401" s="210">
        <v>4159.066175627221</v>
      </c>
      <c r="J401" s="215">
        <v>4.012</v>
      </c>
      <c r="K401" s="212">
        <v>41.122</v>
      </c>
      <c r="L401" s="212">
        <v>167.6</v>
      </c>
      <c r="M401" s="212">
        <v>7.36</v>
      </c>
      <c r="N401" s="212">
        <v>105.99</v>
      </c>
      <c r="O401" s="213">
        <v>0.00407870130666647</v>
      </c>
      <c r="P401" s="214">
        <v>0.0016397641125661666</v>
      </c>
      <c r="Q401" s="214">
        <v>0.002051434503989776</v>
      </c>
      <c r="R401" s="214">
        <v>0.006374780291129182</v>
      </c>
      <c r="S401" s="214">
        <v>0.0049614282406256205</v>
      </c>
    </row>
    <row r="402">
      <c r="A402" s="208">
        <v>43021.0</v>
      </c>
      <c r="B402" s="30">
        <v>-0.020522042805662517</v>
      </c>
      <c r="C402" s="30">
        <v>0.01606524610189158</v>
      </c>
      <c r="D402" s="164">
        <v>-0.004456796703770936</v>
      </c>
      <c r="E402" s="164">
        <v>0.005770242385775087</v>
      </c>
      <c r="F402" s="210">
        <v>1274.7471643015956</v>
      </c>
      <c r="G402" s="209">
        <v>-984.5841093272483</v>
      </c>
      <c r="H402" s="210">
        <v>16042.77100000001</v>
      </c>
      <c r="I402" s="210">
        <v>4159.066175627221</v>
      </c>
      <c r="J402" s="215">
        <v>4.0</v>
      </c>
      <c r="K402" s="212">
        <v>41.008</v>
      </c>
      <c r="L402" s="212">
        <v>167.39</v>
      </c>
      <c r="M402" s="212">
        <v>7.3</v>
      </c>
      <c r="N402" s="212">
        <v>105.49</v>
      </c>
      <c r="O402" s="213">
        <v>0.0016517991550173787</v>
      </c>
      <c r="P402" s="214">
        <v>-9.307309572381683E-6</v>
      </c>
      <c r="Q402" s="214">
        <v>4.330770022234291E-4</v>
      </c>
      <c r="R402" s="214">
        <v>0.0018106669184526636</v>
      </c>
      <c r="S402" s="214">
        <v>0.001441688596529637</v>
      </c>
    </row>
    <row r="403">
      <c r="A403" s="208">
        <v>43020.0</v>
      </c>
      <c r="B403" s="30">
        <v>-0.026314691392416538</v>
      </c>
      <c r="C403" s="30">
        <v>0.016087652302870514</v>
      </c>
      <c r="D403" s="164">
        <v>-0.010227039089546024</v>
      </c>
      <c r="E403" s="164">
        <v>-0.00273110160502478</v>
      </c>
      <c r="F403" s="210">
        <v>-603.3479694037544</v>
      </c>
      <c r="G403" s="209">
        <v>-2259.331273628844</v>
      </c>
      <c r="H403" s="210">
        <v>16042.77100000001</v>
      </c>
      <c r="I403" s="210">
        <v>4159.066175627221</v>
      </c>
      <c r="J403" s="215">
        <v>3.961</v>
      </c>
      <c r="K403" s="212">
        <v>40.97</v>
      </c>
      <c r="L403" s="212">
        <v>166.67</v>
      </c>
      <c r="M403" s="212">
        <v>7.23</v>
      </c>
      <c r="N403" s="212">
        <v>104.8</v>
      </c>
      <c r="O403" s="213">
        <v>-0.001430696657377976</v>
      </c>
      <c r="P403" s="214">
        <v>-0.0021795701514563857</v>
      </c>
      <c r="Q403" s="214">
        <v>-0.0022569066609378816</v>
      </c>
      <c r="R403" s="214">
        <v>-8.269645191257466E-6</v>
      </c>
      <c r="S403" s="214">
        <v>-1.0387357300437976E-4</v>
      </c>
    </row>
    <row r="404">
      <c r="A404" s="208">
        <v>43019.0</v>
      </c>
      <c r="B404" s="30">
        <v>-0.02360605857552426</v>
      </c>
      <c r="C404" s="30">
        <v>0.016110121091003016</v>
      </c>
      <c r="D404" s="164">
        <v>-0.007495937484521244</v>
      </c>
      <c r="E404" s="164">
        <v>0.0022989076736911578</v>
      </c>
      <c r="F404" s="210">
        <v>507.868793389576</v>
      </c>
      <c r="G404" s="209">
        <v>-1655.9833042250896</v>
      </c>
      <c r="H404" s="210">
        <v>16042.77100000001</v>
      </c>
      <c r="I404" s="210">
        <v>4159.066175627221</v>
      </c>
      <c r="J404" s="215">
        <v>3.963</v>
      </c>
      <c r="K404" s="212">
        <v>40.92</v>
      </c>
      <c r="L404" s="212">
        <v>166.57</v>
      </c>
      <c r="M404" s="212">
        <v>7.22</v>
      </c>
      <c r="N404" s="212">
        <v>104.42</v>
      </c>
      <c r="O404" s="213">
        <v>-0.0015975657967287986</v>
      </c>
      <c r="P404" s="214">
        <v>-0.002683369790840532</v>
      </c>
      <c r="Q404" s="214">
        <v>-0.0028343361135407066</v>
      </c>
      <c r="R404" s="214">
        <v>-4.6931160000918126E-4</v>
      </c>
      <c r="S404" s="214">
        <v>4.363382663992166E-4</v>
      </c>
    </row>
    <row r="405">
      <c r="A405" s="208">
        <v>43018.0</v>
      </c>
      <c r="B405" s="30">
        <v>-0.025927497887104932</v>
      </c>
      <c r="C405" s="30">
        <v>0.01613265272889253</v>
      </c>
      <c r="D405" s="164">
        <v>-0.009794845158212401</v>
      </c>
      <c r="E405" s="164">
        <v>-0.004435634699865177</v>
      </c>
      <c r="F405" s="210">
        <v>-979.9090536421859</v>
      </c>
      <c r="G405" s="209">
        <v>-2163.8520976146656</v>
      </c>
      <c r="H405" s="210">
        <v>16042.77100000001</v>
      </c>
      <c r="I405" s="210">
        <v>4159.066175627221</v>
      </c>
      <c r="J405" s="215">
        <v>3.98</v>
      </c>
      <c r="K405" s="212">
        <v>41.009</v>
      </c>
      <c r="L405" s="212">
        <v>167.17</v>
      </c>
      <c r="M405" s="212">
        <v>7.26</v>
      </c>
      <c r="N405" s="212">
        <v>105.03</v>
      </c>
      <c r="O405" s="213">
        <v>-7.536428173902099E-4</v>
      </c>
      <c r="P405" s="214">
        <v>-0.002322014300452757</v>
      </c>
      <c r="Q405" s="214">
        <v>-0.0022487556887521945</v>
      </c>
      <c r="R405" s="214">
        <v>-0.0023109251702235767</v>
      </c>
      <c r="S405" s="214">
        <v>0.0018721589703169321</v>
      </c>
    </row>
    <row r="406">
      <c r="A406" s="208">
        <v>43017.0</v>
      </c>
      <c r="B406" s="30">
        <v>-0.021514457938960892</v>
      </c>
      <c r="C406" s="30">
        <v>0.016155247480613668</v>
      </c>
      <c r="D406" s="164">
        <v>-0.005359210458347224</v>
      </c>
      <c r="E406" s="164">
        <v>-0.0010265965087301807</v>
      </c>
      <c r="F406" s="210">
        <v>-1347.1821809990738</v>
      </c>
      <c r="G406" s="209">
        <v>-1183.9430439724797</v>
      </c>
      <c r="H406" s="210">
        <v>16042.77100000001</v>
      </c>
      <c r="I406" s="210">
        <v>4159.066175627221</v>
      </c>
      <c r="J406" s="215">
        <v>3.978</v>
      </c>
      <c r="K406" s="212">
        <v>41.238</v>
      </c>
      <c r="L406" s="212">
        <v>167.8</v>
      </c>
      <c r="M406" s="212">
        <v>7.23</v>
      </c>
      <c r="N406" s="212">
        <v>104.83</v>
      </c>
      <c r="O406" s="213">
        <v>-1.952553586888802E-6</v>
      </c>
      <c r="P406" s="214">
        <v>0.0021627664563709605</v>
      </c>
      <c r="Q406" s="214">
        <v>1.363869914055016E-4</v>
      </c>
      <c r="R406" s="214">
        <v>8.716278817487341E-4</v>
      </c>
      <c r="S406" s="214">
        <v>0.002545986011447584</v>
      </c>
    </row>
    <row r="407">
      <c r="A407" s="208">
        <v>43014.0</v>
      </c>
      <c r="B407" s="30">
        <v>-0.015487746900297195</v>
      </c>
      <c r="C407" s="30">
        <v>0.016226661575980558</v>
      </c>
      <c r="D407" s="164">
        <v>7.389146756833637E-4</v>
      </c>
      <c r="E407" s="164">
        <v>0.004861595795893913</v>
      </c>
      <c r="F407" s="210">
        <v>1074.0112876495523</v>
      </c>
      <c r="G407" s="209">
        <v>163.2391370265942</v>
      </c>
      <c r="H407" s="210">
        <v>16042.77100000001</v>
      </c>
      <c r="I407" s="210">
        <v>4159.066175627221</v>
      </c>
      <c r="J407" s="215">
        <v>3.982</v>
      </c>
      <c r="K407" s="212">
        <v>41.25</v>
      </c>
      <c r="L407" s="212">
        <v>167.99</v>
      </c>
      <c r="M407" s="212">
        <v>7.23</v>
      </c>
      <c r="N407" s="212">
        <v>104.28</v>
      </c>
      <c r="O407" s="213">
        <v>-0.0016778365824120511</v>
      </c>
      <c r="P407" s="214">
        <v>0.0031140479930783873</v>
      </c>
      <c r="Q407" s="214">
        <v>4.7407402607431887E-4</v>
      </c>
      <c r="R407" s="214">
        <v>0.001333948732419099</v>
      </c>
      <c r="S407" s="214">
        <v>0.0010534590857958677</v>
      </c>
    </row>
    <row r="408">
      <c r="A408" s="208">
        <v>43013.0</v>
      </c>
      <c r="B408" s="30">
        <v>-0.020387258031603205</v>
      </c>
      <c r="C408" s="30">
        <v>0.016264576911392655</v>
      </c>
      <c r="D408" s="164">
        <v>-0.004122681120210549</v>
      </c>
      <c r="E408" s="164">
        <v>0.002181935945898956</v>
      </c>
      <c r="F408" s="210">
        <v>482.02769897140126</v>
      </c>
      <c r="G408" s="209">
        <v>-910.7721506229581</v>
      </c>
      <c r="H408" s="210">
        <v>16042.77100000001</v>
      </c>
      <c r="I408" s="210">
        <v>4159.066175627221</v>
      </c>
      <c r="J408" s="215">
        <v>3.989</v>
      </c>
      <c r="K408" s="212">
        <v>41.295</v>
      </c>
      <c r="L408" s="212">
        <v>168.3</v>
      </c>
      <c r="M408" s="212">
        <v>7.31</v>
      </c>
      <c r="N408" s="212">
        <v>104.44</v>
      </c>
      <c r="O408" s="213">
        <v>-0.0010918663831822235</v>
      </c>
      <c r="P408" s="214">
        <v>0.0036163523284918155</v>
      </c>
      <c r="Q408" s="214">
        <v>5.9241901662573E-4</v>
      </c>
      <c r="R408" s="214">
        <v>0.005485247333925154</v>
      </c>
      <c r="S408" s="214">
        <v>8.27368564346657E-4</v>
      </c>
    </row>
    <row r="409">
      <c r="A409" s="208">
        <v>43012.0</v>
      </c>
      <c r="B409" s="30">
        <v>-0.021253175269232562</v>
      </c>
      <c r="C409" s="30">
        <v>0.014948558203123057</v>
      </c>
      <c r="D409" s="164">
        <v>-0.006304617066109505</v>
      </c>
      <c r="E409" s="164">
        <v>0.0017747631192416447</v>
      </c>
      <c r="F409" s="210">
        <v>392.07612129736367</v>
      </c>
      <c r="G409" s="209">
        <v>-1392.7998495943593</v>
      </c>
      <c r="H409" s="210">
        <v>14982.976000000011</v>
      </c>
      <c r="I409" s="210">
        <v>4032.8666881720246</v>
      </c>
      <c r="J409" s="215">
        <v>3.978</v>
      </c>
      <c r="K409" s="212">
        <v>40.97</v>
      </c>
      <c r="L409" s="212">
        <v>167.73</v>
      </c>
      <c r="M409" s="212">
        <v>7.21</v>
      </c>
      <c r="N409" s="212">
        <v>104.03</v>
      </c>
      <c r="O409" s="213">
        <v>4.876897900973898E-4</v>
      </c>
      <c r="P409" s="214">
        <v>0.004469253983285459</v>
      </c>
      <c r="Q409" s="214">
        <v>0.0012888794189684176</v>
      </c>
      <c r="R409" s="214">
        <v>-4.6553677051131004E-4</v>
      </c>
      <c r="S409" s="214">
        <v>-0.0010251281345361833</v>
      </c>
    </row>
    <row r="410">
      <c r="A410" s="208">
        <v>43011.0</v>
      </c>
      <c r="B410" s="30">
        <v>-0.02008004257806596</v>
      </c>
      <c r="C410" s="30">
        <v>0.012000662392714809</v>
      </c>
      <c r="D410" s="164">
        <v>-0.00807938018535115</v>
      </c>
      <c r="E410" s="164">
        <v>-2.5117932126223624E-4</v>
      </c>
      <c r="F410" s="210">
        <v>-55.48989212300239</v>
      </c>
      <c r="G410" s="209">
        <v>-1784.875970891723</v>
      </c>
      <c r="H410" s="210">
        <v>14982.976000000011</v>
      </c>
      <c r="I410" s="210">
        <v>4032.8666881720246</v>
      </c>
      <c r="J410" s="215">
        <v>4.002</v>
      </c>
      <c r="K410" s="212">
        <v>40.865</v>
      </c>
      <c r="L410" s="212">
        <v>167.75</v>
      </c>
      <c r="M410" s="212">
        <v>7.2</v>
      </c>
      <c r="N410" s="212">
        <v>103.95</v>
      </c>
      <c r="O410" s="213">
        <v>0.003170116854966265</v>
      </c>
      <c r="P410" s="214">
        <v>0.0038376213927393175</v>
      </c>
      <c r="Q410" s="214">
        <v>7.101596330079859E-4</v>
      </c>
      <c r="R410" s="214">
        <v>-0.0023128991724282364</v>
      </c>
      <c r="S410" s="214">
        <v>-0.002303665374148759</v>
      </c>
    </row>
    <row r="411">
      <c r="A411" s="208">
        <v>43010.0</v>
      </c>
      <c r="B411" s="30">
        <v>-0.019845837319593985</v>
      </c>
      <c r="C411" s="30">
        <v>0.012017636455505071</v>
      </c>
      <c r="D411" s="164">
        <v>-0.007828200864088914</v>
      </c>
      <c r="E411" s="164">
        <v>0.00941406358356032</v>
      </c>
      <c r="F411" s="210">
        <v>2096.8318529015487</v>
      </c>
      <c r="G411" s="209">
        <v>-1729.3860787687206</v>
      </c>
      <c r="H411" s="210">
        <v>14982.976000000011</v>
      </c>
      <c r="I411" s="210">
        <v>4032.8666881720246</v>
      </c>
      <c r="J411" s="215">
        <v>4.002</v>
      </c>
      <c r="K411" s="212">
        <v>40.848</v>
      </c>
      <c r="L411" s="212">
        <v>168.0</v>
      </c>
      <c r="M411" s="212">
        <v>7.19</v>
      </c>
      <c r="N411" s="212">
        <v>104.18</v>
      </c>
      <c r="O411" s="213">
        <v>-3.61669219705781E-4</v>
      </c>
      <c r="P411" s="214">
        <v>0.0037154571136635748</v>
      </c>
      <c r="Q411" s="214">
        <v>-6.052047110740588E-4</v>
      </c>
      <c r="R411" s="214">
        <v>-0.004155172480218831</v>
      </c>
      <c r="S411" s="214">
        <v>-0.0031265911612476196</v>
      </c>
    </row>
    <row r="412">
      <c r="A412" s="208">
        <v>43007.0</v>
      </c>
      <c r="B412" s="30">
        <v>-0.028900294396653037</v>
      </c>
      <c r="C412" s="30">
        <v>0.011580620735223394</v>
      </c>
      <c r="D412" s="164">
        <v>-0.01731967366142964</v>
      </c>
      <c r="E412" s="164">
        <v>-0.005247617602244041</v>
      </c>
      <c r="F412" s="210">
        <v>-1159.2902361069846</v>
      </c>
      <c r="G412" s="209">
        <v>-3826.217931670269</v>
      </c>
      <c r="H412" s="210">
        <v>14982.976000000011</v>
      </c>
      <c r="I412" s="210">
        <v>4032.8666881720246</v>
      </c>
      <c r="J412" s="215">
        <v>3.972</v>
      </c>
      <c r="K412" s="212">
        <v>40.422</v>
      </c>
      <c r="L412" s="212">
        <v>167.08</v>
      </c>
      <c r="M412" s="212">
        <v>7.22</v>
      </c>
      <c r="N412" s="212">
        <v>104.35</v>
      </c>
      <c r="O412" s="213">
        <v>-0.006271969187046089</v>
      </c>
      <c r="P412" s="214">
        <v>0.001039623452397646</v>
      </c>
      <c r="Q412" s="214">
        <v>-0.0031436140141891666</v>
      </c>
      <c r="R412" s="214">
        <v>-0.0027643518960741944</v>
      </c>
      <c r="S412" s="214">
        <v>-0.005657340637258423</v>
      </c>
    </row>
    <row r="413">
      <c r="A413" s="208">
        <v>43006.0</v>
      </c>
      <c r="B413" s="30">
        <v>-0.02366914993912482</v>
      </c>
      <c r="C413" s="30">
        <v>0.01159709387993922</v>
      </c>
      <c r="D413" s="164">
        <v>-0.0120720560591856</v>
      </c>
      <c r="E413" s="164">
        <v>-0.018644512305315122</v>
      </c>
      <c r="F413" s="210">
        <v>-4118.897890594271</v>
      </c>
      <c r="G413" s="209">
        <v>-2666.9276955632845</v>
      </c>
      <c r="H413" s="210">
        <v>14982.976000000011</v>
      </c>
      <c r="I413" s="210">
        <v>4032.8666881720246</v>
      </c>
      <c r="J413" s="215">
        <v>3.964</v>
      </c>
      <c r="K413" s="212">
        <v>40.395</v>
      </c>
      <c r="L413" s="212">
        <v>167.39</v>
      </c>
      <c r="M413" s="212">
        <v>7.25</v>
      </c>
      <c r="N413" s="212">
        <v>104.67</v>
      </c>
      <c r="O413" s="213">
        <v>-0.005625486805184081</v>
      </c>
      <c r="P413" s="214">
        <v>0.00382802397263086</v>
      </c>
      <c r="Q413" s="214">
        <v>-4.499669731874434E-4</v>
      </c>
      <c r="R413" s="214">
        <v>4.521914866741916E-4</v>
      </c>
      <c r="S413" s="214">
        <v>-0.0029391065440180033</v>
      </c>
    </row>
    <row r="414">
      <c r="A414" s="208">
        <v>43005.0</v>
      </c>
      <c r="B414" s="30">
        <v>-0.005041157710561744</v>
      </c>
      <c r="C414" s="30">
        <v>0.011613613956691266</v>
      </c>
      <c r="D414" s="164">
        <v>0.006572456246129522</v>
      </c>
      <c r="E414" s="164">
        <v>0.004543593018021097</v>
      </c>
      <c r="F414" s="210">
        <v>1003.7589286961855</v>
      </c>
      <c r="G414" s="209">
        <v>1451.9701950309868</v>
      </c>
      <c r="H414" s="210">
        <v>14982.976000000011</v>
      </c>
      <c r="I414" s="210">
        <v>4032.8666881720246</v>
      </c>
      <c r="J414" s="215">
        <v>4.006</v>
      </c>
      <c r="K414" s="212">
        <v>40.393</v>
      </c>
      <c r="L414" s="212">
        <v>168.3</v>
      </c>
      <c r="M414" s="212">
        <v>7.28</v>
      </c>
      <c r="N414" s="212">
        <v>105.16</v>
      </c>
      <c r="O414" s="213">
        <v>0.00311592467261379</v>
      </c>
      <c r="P414" s="214">
        <v>0.006232302275989514</v>
      </c>
      <c r="Q414" s="214">
        <v>0.005359543217770953</v>
      </c>
      <c r="R414" s="214">
        <v>0.005514743083803841</v>
      </c>
      <c r="S414" s="214">
        <v>0.004051160429521102</v>
      </c>
    </row>
    <row r="415">
      <c r="A415" s="208">
        <v>43004.0</v>
      </c>
      <c r="B415" s="30">
        <v>-0.009601317938221488</v>
      </c>
      <c r="C415" s="30">
        <v>0.011630181166329913</v>
      </c>
      <c r="D415" s="164">
        <v>0.002028863228108425</v>
      </c>
      <c r="E415" s="164">
        <v>0.014215198629783661</v>
      </c>
      <c r="F415" s="210">
        <v>3140.3852614532034</v>
      </c>
      <c r="G415" s="209">
        <v>448.2112663348013</v>
      </c>
      <c r="H415" s="210">
        <v>14982.976000000011</v>
      </c>
      <c r="I415" s="210">
        <v>4032.8666881720246</v>
      </c>
      <c r="J415" s="215">
        <v>4.047</v>
      </c>
      <c r="K415" s="212">
        <v>40.296</v>
      </c>
      <c r="L415" s="212">
        <v>168.66</v>
      </c>
      <c r="M415" s="212">
        <v>7.28</v>
      </c>
      <c r="N415" s="212">
        <v>106.13</v>
      </c>
      <c r="O415" s="213">
        <v>0.005687420251825522</v>
      </c>
      <c r="P415" s="214">
        <v>0.003750115504756716</v>
      </c>
      <c r="Q415" s="214">
        <v>0.005146629769563334</v>
      </c>
      <c r="R415" s="214">
        <v>0.004583644387342008</v>
      </c>
      <c r="S415" s="214">
        <v>0.0067728349231804446</v>
      </c>
    </row>
    <row r="416">
      <c r="A416" s="208">
        <v>43003.0</v>
      </c>
      <c r="B416" s="30">
        <v>-0.02383313111252848</v>
      </c>
      <c r="C416" s="30">
        <v>0.011646795710853244</v>
      </c>
      <c r="D416" s="164">
        <v>-0.012186335401675236</v>
      </c>
      <c r="E416" s="164">
        <v>0.007475646147909026</v>
      </c>
      <c r="F416" s="210">
        <v>3071.164545507873</v>
      </c>
      <c r="G416" s="209">
        <v>-2692.173995118402</v>
      </c>
      <c r="H416" s="210">
        <v>14982.976000000011</v>
      </c>
      <c r="I416" s="210">
        <v>4032.8666881720246</v>
      </c>
      <c r="J416" s="215">
        <v>4.031</v>
      </c>
      <c r="K416" s="212">
        <v>39.932</v>
      </c>
      <c r="L416" s="212">
        <v>167.61</v>
      </c>
      <c r="M416" s="212">
        <v>7.24</v>
      </c>
      <c r="N416" s="212">
        <v>105.59</v>
      </c>
      <c r="O416" s="213">
        <v>0.006715809280040119</v>
      </c>
      <c r="P416" s="214">
        <v>7.474303334435625E-4</v>
      </c>
      <c r="Q416" s="214">
        <v>0.004275832889981827</v>
      </c>
      <c r="R416" s="214">
        <v>0.0013593848956730732</v>
      </c>
      <c r="S416" s="214">
        <v>0.0012940230168085136</v>
      </c>
    </row>
    <row r="417">
      <c r="A417" s="208">
        <v>43000.0</v>
      </c>
      <c r="B417" s="30">
        <v>-0.03778512645716318</v>
      </c>
      <c r="C417" s="30">
        <v>0.011696925391100817</v>
      </c>
      <c r="D417" s="164">
        <v>-0.026088201066062362</v>
      </c>
      <c r="E417" s="164">
        <v>-0.009300403512821936</v>
      </c>
      <c r="F417" s="210">
        <v>-2054.621316091881</v>
      </c>
      <c r="G417" s="209">
        <v>-5763.338540626275</v>
      </c>
      <c r="H417" s="210">
        <v>14982.976000000011</v>
      </c>
      <c r="I417" s="210">
        <v>4032.8666881720246</v>
      </c>
      <c r="J417" s="215">
        <v>3.968</v>
      </c>
      <c r="K417" s="212">
        <v>39.642</v>
      </c>
      <c r="L417" s="212">
        <v>165.6</v>
      </c>
      <c r="M417" s="212">
        <v>7.16</v>
      </c>
      <c r="N417" s="212">
        <v>103.87</v>
      </c>
      <c r="O417" s="213">
        <v>9.998547629903598E-4</v>
      </c>
      <c r="P417" s="214">
        <v>-0.0022422798187034707</v>
      </c>
      <c r="Q417" s="214">
        <v>-3.6620936023767925E-4</v>
      </c>
      <c r="R417" s="214">
        <v>4.5006874739324704E-4</v>
      </c>
      <c r="S417" s="214">
        <v>-0.0034067362985867877</v>
      </c>
    </row>
    <row r="418">
      <c r="A418" s="208">
        <v>42999.0</v>
      </c>
      <c r="B418" s="30">
        <v>-0.028501528871627307</v>
      </c>
      <c r="C418" s="30">
        <v>0.011713731318386881</v>
      </c>
      <c r="D418" s="164">
        <v>-0.016787797553240426</v>
      </c>
      <c r="E418" s="164">
        <v>0.006801447558920766</v>
      </c>
      <c r="F418" s="210">
        <v>1502.558369169035</v>
      </c>
      <c r="G418" s="209">
        <v>-3708.717224534394</v>
      </c>
      <c r="H418" s="210">
        <v>14982.976000000011</v>
      </c>
      <c r="I418" s="210">
        <v>4032.8666881720246</v>
      </c>
      <c r="J418" s="215">
        <v>3.978</v>
      </c>
      <c r="K418" s="212">
        <v>39.842</v>
      </c>
      <c r="L418" s="212">
        <v>166.06</v>
      </c>
      <c r="M418" s="212">
        <v>7.18</v>
      </c>
      <c r="N418" s="212">
        <v>103.98</v>
      </c>
      <c r="O418" s="213">
        <v>2.3896481224183752E-4</v>
      </c>
      <c r="P418" s="214">
        <v>-0.001061701869263872</v>
      </c>
      <c r="Q418" s="214">
        <v>-1.6413432102913017E-4</v>
      </c>
      <c r="R418" s="214">
        <v>-1.7433954746293168E-5</v>
      </c>
      <c r="S418" s="214">
        <v>-0.0032761014085254114</v>
      </c>
    </row>
    <row r="419">
      <c r="A419" s="208">
        <v>42998.0</v>
      </c>
      <c r="B419" s="30">
        <v>-0.035319830720214815</v>
      </c>
      <c r="C419" s="30">
        <v>0.011730585608053625</v>
      </c>
      <c r="D419" s="164">
        <v>-0.023589245112161192</v>
      </c>
      <c r="E419" s="164">
        <v>-0.003419816882863684</v>
      </c>
      <c r="F419" s="210">
        <v>-755.4971840711723</v>
      </c>
      <c r="G419" s="209">
        <v>-5211.275593703429</v>
      </c>
      <c r="H419" s="210">
        <v>14982.976000000011</v>
      </c>
      <c r="I419" s="210">
        <v>4032.8666881720246</v>
      </c>
      <c r="J419" s="215">
        <v>3.95</v>
      </c>
      <c r="K419" s="212">
        <v>39.841</v>
      </c>
      <c r="L419" s="212">
        <v>165.46</v>
      </c>
      <c r="M419" s="212">
        <v>7.21</v>
      </c>
      <c r="N419" s="212">
        <v>105.16</v>
      </c>
      <c r="O419" s="213">
        <v>-0.0029458472515935252</v>
      </c>
      <c r="P419" s="214">
        <v>3.810563717814297E-4</v>
      </c>
      <c r="Q419" s="214">
        <v>-0.0017497228851915587</v>
      </c>
      <c r="R419" s="214">
        <v>0.0018395762588098534</v>
      </c>
      <c r="S419" s="214">
        <v>-0.0030488782245797763</v>
      </c>
    </row>
    <row r="420">
      <c r="A420" s="208">
        <v>42997.0</v>
      </c>
      <c r="B420" s="30">
        <v>-0.031916916698457844</v>
      </c>
      <c r="C420" s="30">
        <v>0.011747488469160334</v>
      </c>
      <c r="D420" s="164">
        <v>-0.020169428229297508</v>
      </c>
      <c r="E420" s="164">
        <v>-0.009845551830449148</v>
      </c>
      <c r="F420" s="210">
        <v>-2175.054085732931</v>
      </c>
      <c r="G420" s="209">
        <v>-4455.778409632257</v>
      </c>
      <c r="H420" s="210">
        <v>14982.976000000011</v>
      </c>
      <c r="I420" s="210">
        <v>4032.8666881720246</v>
      </c>
      <c r="J420" s="215">
        <v>3.956</v>
      </c>
      <c r="K420" s="212">
        <v>39.909</v>
      </c>
      <c r="L420" s="212">
        <v>165.78</v>
      </c>
      <c r="M420" s="212">
        <v>7.15</v>
      </c>
      <c r="N420" s="212">
        <v>104.93</v>
      </c>
      <c r="O420" s="213">
        <v>-0.0043633993589158315</v>
      </c>
      <c r="P420" s="214">
        <v>-0.0011859621991071971</v>
      </c>
      <c r="Q420" s="214">
        <v>-0.003750399087334063</v>
      </c>
      <c r="R420" s="214">
        <v>-0.004653549217132384</v>
      </c>
      <c r="S420" s="214">
        <v>-0.007013257096499951</v>
      </c>
    </row>
    <row r="421">
      <c r="A421" s="208">
        <v>42996.0</v>
      </c>
      <c r="B421" s="30">
        <v>-0.02208831651082133</v>
      </c>
      <c r="C421" s="30">
        <v>0.01176444011197297</v>
      </c>
      <c r="D421" s="164">
        <v>-0.01032387639884836</v>
      </c>
      <c r="E421" s="164">
        <v>0.0027771520681766065</v>
      </c>
      <c r="F421" s="210">
        <v>177.32100954997122</v>
      </c>
      <c r="G421" s="209">
        <v>-2280.7243238993256</v>
      </c>
      <c r="H421" s="210">
        <v>14501.012000000008</v>
      </c>
      <c r="I421" s="210">
        <v>3705.896752688155</v>
      </c>
      <c r="J421" s="215">
        <v>3.975</v>
      </c>
      <c r="K421" s="212">
        <v>39.969</v>
      </c>
      <c r="L421" s="212">
        <v>166.14</v>
      </c>
      <c r="M421" s="212">
        <v>7.18</v>
      </c>
      <c r="N421" s="212">
        <v>105.0</v>
      </c>
      <c r="O421" s="213">
        <v>-0.002596121646057122</v>
      </c>
      <c r="P421" s="214">
        <v>1.4747086173046617E-4</v>
      </c>
      <c r="Q421" s="214">
        <v>-0.0016745251366938607</v>
      </c>
      <c r="R421" s="214">
        <v>-9.56097243818362E-4</v>
      </c>
      <c r="S421" s="214">
        <v>-0.005173216694182618</v>
      </c>
    </row>
    <row r="422">
      <c r="A422" s="208">
        <v>42993.0</v>
      </c>
      <c r="B422" s="30">
        <v>-0.02542612685045192</v>
      </c>
      <c r="C422" s="30">
        <v>0.014299593082481857</v>
      </c>
      <c r="D422" s="164">
        <v>-0.011126533767970063</v>
      </c>
      <c r="E422" s="164">
        <v>0.00142940389744667</v>
      </c>
      <c r="F422" s="210">
        <v>315.7802468408845</v>
      </c>
      <c r="G422" s="209">
        <v>-2458.045333449297</v>
      </c>
      <c r="H422" s="210">
        <v>13817.062000000005</v>
      </c>
      <c r="I422" s="210">
        <v>3705.896752688155</v>
      </c>
      <c r="J422" s="215">
        <v>3.985</v>
      </c>
      <c r="K422" s="212">
        <v>39.795</v>
      </c>
      <c r="L422" s="212">
        <v>166.33</v>
      </c>
      <c r="M422" s="212">
        <v>7.17</v>
      </c>
      <c r="N422" s="212">
        <v>106.12</v>
      </c>
      <c r="O422" s="213">
        <v>-1.765853320794264E-4</v>
      </c>
      <c r="P422" s="214">
        <v>8.65724629802426E-4</v>
      </c>
      <c r="Q422" s="214">
        <v>-8.341562092012053E-4</v>
      </c>
      <c r="R422" s="214">
        <v>-3.146090831851467E-5</v>
      </c>
      <c r="S422" s="214">
        <v>-0.0013363144256945958</v>
      </c>
    </row>
    <row r="423">
      <c r="A423" s="208">
        <v>42992.0</v>
      </c>
      <c r="B423" s="30">
        <v>-0.02686579816929984</v>
      </c>
      <c r="C423" s="30">
        <v>0.014309860503883108</v>
      </c>
      <c r="D423" s="164">
        <v>-0.012555937665416734</v>
      </c>
      <c r="E423" s="164">
        <v>0.006783376157120024</v>
      </c>
      <c r="F423" s="210">
        <v>1498.5660813827817</v>
      </c>
      <c r="G423" s="209">
        <v>-2773.8255802901813</v>
      </c>
      <c r="H423" s="210">
        <v>13817.062000000005</v>
      </c>
      <c r="I423" s="210">
        <v>3705.896752688155</v>
      </c>
      <c r="J423" s="215">
        <v>4.008</v>
      </c>
      <c r="K423" s="212">
        <v>40.05</v>
      </c>
      <c r="L423" s="212">
        <v>167.65</v>
      </c>
      <c r="M423" s="212">
        <v>7.25</v>
      </c>
      <c r="N423" s="212">
        <v>107.15</v>
      </c>
      <c r="O423" s="213">
        <v>-3.4283035445810867E-4</v>
      </c>
      <c r="P423" s="214">
        <v>0.004605769786273399</v>
      </c>
      <c r="Q423" s="214">
        <v>0.0011914600648795421</v>
      </c>
      <c r="R423" s="214">
        <v>0.005082439603071531</v>
      </c>
      <c r="S423" s="214">
        <v>7.726791202361897E-4</v>
      </c>
    </row>
    <row r="424">
      <c r="A424" s="208">
        <v>42991.0</v>
      </c>
      <c r="B424" s="30">
        <v>-0.03366997354226854</v>
      </c>
      <c r="C424" s="30">
        <v>0.014330659719731784</v>
      </c>
      <c r="D424" s="164">
        <v>-0.019339313822536758</v>
      </c>
      <c r="E424" s="164">
        <v>-0.005475423036336807</v>
      </c>
      <c r="F424" s="210">
        <v>-1209.616428961228</v>
      </c>
      <c r="G424" s="209">
        <v>-4272.391661672963</v>
      </c>
      <c r="H424" s="210">
        <v>13817.062000000005</v>
      </c>
      <c r="I424" s="210">
        <v>3705.896752688155</v>
      </c>
      <c r="J424" s="215">
        <v>4.006</v>
      </c>
      <c r="K424" s="212">
        <v>39.95</v>
      </c>
      <c r="L424" s="212">
        <v>166.97</v>
      </c>
      <c r="M424" s="212">
        <v>7.2</v>
      </c>
      <c r="N424" s="212">
        <v>106.63</v>
      </c>
      <c r="O424" s="213">
        <v>-0.001340005164028139</v>
      </c>
      <c r="P424" s="214">
        <v>0.007765139055323722</v>
      </c>
      <c r="Q424" s="214">
        <v>-2.603335268294149E-4</v>
      </c>
      <c r="R424" s="214">
        <v>0.002783589028358883</v>
      </c>
      <c r="S424" s="214">
        <v>-0.002279353145277274</v>
      </c>
    </row>
    <row r="425">
      <c r="A425" s="208">
        <v>42990.0</v>
      </c>
      <c r="B425" s="30">
        <v>-0.028215410272627122</v>
      </c>
      <c r="C425" s="30">
        <v>0.014351519486427171</v>
      </c>
      <c r="D425" s="164">
        <v>-0.013863890786199951</v>
      </c>
      <c r="E425" s="164">
        <v>-0.0039425071985610995</v>
      </c>
      <c r="F425" s="210">
        <v>-870.9685894640825</v>
      </c>
      <c r="G425" s="209">
        <v>-3062.775232711735</v>
      </c>
      <c r="H425" s="210">
        <v>13817.062000000005</v>
      </c>
      <c r="I425" s="210">
        <v>3705.896752688155</v>
      </c>
      <c r="J425" s="215">
        <v>3.987</v>
      </c>
      <c r="K425" s="212">
        <v>39.69</v>
      </c>
      <c r="L425" s="212">
        <v>166.74</v>
      </c>
      <c r="M425" s="212">
        <v>7.17</v>
      </c>
      <c r="N425" s="212">
        <v>106.54</v>
      </c>
      <c r="O425" s="213">
        <v>-0.005407292265863377</v>
      </c>
      <c r="P425" s="214">
        <v>0.005775128266756413</v>
      </c>
      <c r="Q425" s="214">
        <v>-0.0017568008599336455</v>
      </c>
      <c r="R425" s="214">
        <v>-0.0014064203087092257</v>
      </c>
      <c r="S425" s="214">
        <v>-0.0037715791428595638</v>
      </c>
    </row>
    <row r="426">
      <c r="A426" s="208">
        <v>42989.0</v>
      </c>
      <c r="B426" s="30">
        <v>-0.024040519570049337</v>
      </c>
      <c r="C426" s="30">
        <v>0.014119135982410486</v>
      </c>
      <c r="D426" s="164">
        <v>-0.009921383587638851</v>
      </c>
      <c r="E426" s="164">
        <v>0.0035138484287708313</v>
      </c>
      <c r="F426" s="210">
        <v>776.2703922808532</v>
      </c>
      <c r="G426" s="209">
        <v>-2191.8066432476526</v>
      </c>
      <c r="H426" s="210">
        <v>13817.062000000005</v>
      </c>
      <c r="I426" s="210">
        <v>3705.896752688155</v>
      </c>
      <c r="J426" s="215">
        <v>4.012</v>
      </c>
      <c r="K426" s="212">
        <v>39.499</v>
      </c>
      <c r="L426" s="212">
        <v>167.05</v>
      </c>
      <c r="M426" s="212">
        <v>7.14</v>
      </c>
      <c r="N426" s="212">
        <v>106.9</v>
      </c>
      <c r="O426" s="213">
        <v>-0.003728485535236118</v>
      </c>
      <c r="P426" s="214">
        <v>0.0020943729983944706</v>
      </c>
      <c r="Q426" s="214">
        <v>-0.002409793581317802</v>
      </c>
      <c r="R426" s="214">
        <v>-0.005115935262994069</v>
      </c>
      <c r="S426" s="214">
        <v>-0.002645241617047637</v>
      </c>
    </row>
    <row r="427">
      <c r="A427" s="208">
        <v>42986.0</v>
      </c>
      <c r="B427" s="30">
        <v>-0.02759565202216055</v>
      </c>
      <c r="C427" s="30">
        <v>0.014160420005750867</v>
      </c>
      <c r="D427" s="164">
        <v>-0.013435232016409683</v>
      </c>
      <c r="E427" s="164">
        <v>0.0018084130489155418</v>
      </c>
      <c r="F427" s="210">
        <v>399.5099775486183</v>
      </c>
      <c r="G427" s="209">
        <v>-2968.077035528506</v>
      </c>
      <c r="H427" s="210">
        <v>13817.062000000005</v>
      </c>
      <c r="I427" s="210">
        <v>3705.896752688155</v>
      </c>
      <c r="J427" s="215">
        <v>4.022</v>
      </c>
      <c r="K427" s="212">
        <v>39.026</v>
      </c>
      <c r="L427" s="212">
        <v>167.1</v>
      </c>
      <c r="M427" s="212">
        <v>7.14</v>
      </c>
      <c r="N427" s="212">
        <v>107.36</v>
      </c>
      <c r="O427" s="213">
        <v>-0.0026511571719567417</v>
      </c>
      <c r="P427" s="214">
        <v>-0.002890970444466031</v>
      </c>
      <c r="Q427" s="214">
        <v>-0.0018543790105822744</v>
      </c>
      <c r="R427" s="214">
        <v>-0.004656165148051524</v>
      </c>
      <c r="S427" s="214">
        <v>-0.0012108792846497647</v>
      </c>
    </row>
    <row r="428">
      <c r="A428" s="208">
        <v>42985.0</v>
      </c>
      <c r="B428" s="30">
        <v>-0.02944559122945073</v>
      </c>
      <c r="C428" s="30">
        <v>0.014201946164125505</v>
      </c>
      <c r="D428" s="164">
        <v>-0.015243645065325225</v>
      </c>
      <c r="E428" s="164">
        <v>-0.010091403576283232</v>
      </c>
      <c r="F428" s="210">
        <v>-2229.3670235417812</v>
      </c>
      <c r="G428" s="209">
        <v>-3367.587013077124</v>
      </c>
      <c r="H428" s="210">
        <v>13817.062000000005</v>
      </c>
      <c r="I428" s="210">
        <v>3705.896752688155</v>
      </c>
      <c r="J428" s="215">
        <v>4.052</v>
      </c>
      <c r="K428" s="212">
        <v>39.005</v>
      </c>
      <c r="L428" s="212">
        <v>167.62</v>
      </c>
      <c r="M428" s="212">
        <v>7.2</v>
      </c>
      <c r="N428" s="212">
        <v>107.75</v>
      </c>
      <c r="O428" s="213">
        <v>0.002959654143640078</v>
      </c>
      <c r="P428" s="214">
        <v>-0.003603806863029894</v>
      </c>
      <c r="Q428" s="214">
        <v>-4.401591780048471E-4</v>
      </c>
      <c r="R428" s="214">
        <v>-9.342343867967026E-4</v>
      </c>
      <c r="S428" s="214">
        <v>4.021655065738668E-4</v>
      </c>
    </row>
    <row r="429">
      <c r="A429" s="208">
        <v>42984.0</v>
      </c>
      <c r="B429" s="30">
        <v>-0.019375042199664013</v>
      </c>
      <c r="C429" s="30">
        <v>0.01422280071062202</v>
      </c>
      <c r="D429" s="164">
        <v>-0.005152241489041993</v>
      </c>
      <c r="E429" s="164">
        <v>0.009366204882141592</v>
      </c>
      <c r="F429" s="210">
        <v>2069.157986016558</v>
      </c>
      <c r="G429" s="209">
        <v>-1138.2199895353428</v>
      </c>
      <c r="H429" s="210">
        <v>13817.062000000005</v>
      </c>
      <c r="I429" s="210">
        <v>3705.896752688155</v>
      </c>
      <c r="J429" s="215">
        <v>4.057</v>
      </c>
      <c r="K429" s="212">
        <v>39.248</v>
      </c>
      <c r="L429" s="212">
        <v>168.26</v>
      </c>
      <c r="M429" s="212">
        <v>7.25</v>
      </c>
      <c r="N429" s="212">
        <v>107.75</v>
      </c>
      <c r="O429" s="213">
        <v>0.002457959048404068</v>
      </c>
      <c r="P429" s="214">
        <v>-0.003843608716801228</v>
      </c>
      <c r="Q429" s="214">
        <v>5.801367556057535E-5</v>
      </c>
      <c r="R429" s="214">
        <v>0.0018422609451002048</v>
      </c>
      <c r="S429" s="214">
        <v>0.0022915293175135667</v>
      </c>
    </row>
    <row r="430">
      <c r="A430" s="208">
        <v>42983.0</v>
      </c>
      <c r="B430" s="30">
        <v>-0.028762162965203578</v>
      </c>
      <c r="C430" s="30">
        <v>0.014243716594019993</v>
      </c>
      <c r="D430" s="164">
        <v>-0.014518446371183585</v>
      </c>
      <c r="E430" s="164">
        <v>0.005103166523763768</v>
      </c>
      <c r="F430" s="210">
        <v>1127.3784739378634</v>
      </c>
      <c r="G430" s="209">
        <v>-3207.377975551901</v>
      </c>
      <c r="H430" s="210">
        <v>13817.062000000005</v>
      </c>
      <c r="I430" s="210">
        <v>3705.896752688155</v>
      </c>
      <c r="J430" s="215">
        <v>4.054</v>
      </c>
      <c r="K430" s="212">
        <v>39.365</v>
      </c>
      <c r="L430" s="212">
        <v>168.03</v>
      </c>
      <c r="M430" s="212">
        <v>7.24</v>
      </c>
      <c r="N430" s="212">
        <v>107.75</v>
      </c>
      <c r="O430" s="213">
        <v>8.04303215254043E-4</v>
      </c>
      <c r="P430" s="214">
        <v>-0.0013218768661513725</v>
      </c>
      <c r="Q430" s="214">
        <v>-6.948425174215419E-4</v>
      </c>
      <c r="R430" s="214">
        <v>0.0036940950835094855</v>
      </c>
      <c r="S430" s="214">
        <v>0.0036309679992566624</v>
      </c>
    </row>
    <row r="431">
      <c r="A431" s="208">
        <v>42982.0</v>
      </c>
      <c r="B431" s="30">
        <v>-0.03393057392622646</v>
      </c>
      <c r="C431" s="30">
        <v>0.01430896103127911</v>
      </c>
      <c r="D431" s="164">
        <v>-0.019621612894947352</v>
      </c>
      <c r="E431" s="164">
        <v>-0.00857694929468882</v>
      </c>
      <c r="F431" s="210">
        <v>-3195.2873251372193</v>
      </c>
      <c r="G431" s="209">
        <v>-4334.756449489764</v>
      </c>
      <c r="H431" s="210">
        <v>13817.062000000005</v>
      </c>
      <c r="I431" s="210">
        <v>3705.896752688155</v>
      </c>
      <c r="J431" s="215">
        <v>4.016</v>
      </c>
      <c r="K431" s="212">
        <v>39.428</v>
      </c>
      <c r="L431" s="212">
        <v>167.84</v>
      </c>
      <c r="M431" s="212">
        <v>7.22</v>
      </c>
      <c r="N431" s="212">
        <v>107.62</v>
      </c>
      <c r="O431" s="213">
        <v>-6.716500832023945E-4</v>
      </c>
      <c r="P431" s="214">
        <v>0.0021383800754826154</v>
      </c>
      <c r="Q431" s="214">
        <v>2.1501264617388807E-4</v>
      </c>
      <c r="R431" s="214">
        <v>0.007894327600974083</v>
      </c>
      <c r="S431" s="214">
        <v>0.00670037314383698</v>
      </c>
    </row>
    <row r="432">
      <c r="A432" s="208">
        <v>42979.0</v>
      </c>
      <c r="B432" s="30">
        <v>-0.0205373484600852</v>
      </c>
      <c r="C432" s="30">
        <v>0.015379452664942658</v>
      </c>
      <c r="D432" s="164">
        <v>-0.005157895795142541</v>
      </c>
      <c r="E432" s="164">
        <v>0.005224007494245642</v>
      </c>
      <c r="F432" s="210">
        <v>1154.0743515379047</v>
      </c>
      <c r="G432" s="209">
        <v>-1139.4691243525451</v>
      </c>
      <c r="H432" s="210">
        <v>12947.37300000001</v>
      </c>
      <c r="I432" s="210">
        <v>3415.903827956974</v>
      </c>
      <c r="J432" s="215">
        <v>4.027</v>
      </c>
      <c r="K432" s="212">
        <v>39.702</v>
      </c>
      <c r="L432" s="212">
        <v>168.23</v>
      </c>
      <c r="M432" s="212">
        <v>7.21</v>
      </c>
      <c r="N432" s="212">
        <v>107.01</v>
      </c>
      <c r="O432" s="213">
        <v>0.003389144511777594</v>
      </c>
      <c r="P432" s="214">
        <v>0.009381701658376781</v>
      </c>
      <c r="Q432" s="214">
        <v>0.003930794755174401</v>
      </c>
      <c r="R432" s="214">
        <v>0.009796713277745303</v>
      </c>
      <c r="S432" s="214">
        <v>0.005948773626061239</v>
      </c>
    </row>
    <row r="433">
      <c r="A433" s="208">
        <v>42978.0</v>
      </c>
      <c r="B433" s="30">
        <v>-0.02578414032864927</v>
      </c>
      <c r="C433" s="30">
        <v>0.015402237039261088</v>
      </c>
      <c r="D433" s="164">
        <v>-0.010381903289388183</v>
      </c>
      <c r="E433" s="164">
        <v>0.008910021021897406</v>
      </c>
      <c r="F433" s="210">
        <v>1968.3790163704994</v>
      </c>
      <c r="G433" s="209">
        <v>-2293.54347589045</v>
      </c>
      <c r="H433" s="210">
        <v>12947.37300000001</v>
      </c>
      <c r="I433" s="210">
        <v>3415.903827956974</v>
      </c>
      <c r="J433" s="215">
        <v>4.044</v>
      </c>
      <c r="K433" s="212">
        <v>39.52</v>
      </c>
      <c r="L433" s="212">
        <v>168.38</v>
      </c>
      <c r="M433" s="212">
        <v>7.16</v>
      </c>
      <c r="N433" s="212">
        <v>106.58</v>
      </c>
      <c r="O433" s="213">
        <v>0.004629060743711351</v>
      </c>
      <c r="P433" s="214">
        <v>0.005521682314614733</v>
      </c>
      <c r="Q433" s="214">
        <v>0.003506202393928922</v>
      </c>
      <c r="R433" s="214">
        <v>0.0036755852148696957</v>
      </c>
      <c r="S433" s="214">
        <v>0.005275303929190955</v>
      </c>
    </row>
    <row r="434">
      <c r="A434" s="208">
        <v>42977.0</v>
      </c>
      <c r="B434" s="30">
        <v>-0.03471701333428446</v>
      </c>
      <c r="C434" s="30">
        <v>0.01542508902299887</v>
      </c>
      <c r="D434" s="164">
        <v>-0.01929192431128559</v>
      </c>
      <c r="E434" s="164">
        <v>0.020529354797948422</v>
      </c>
      <c r="F434" s="210">
        <v>4535.292465034095</v>
      </c>
      <c r="G434" s="209">
        <v>-4261.922492260949</v>
      </c>
      <c r="H434" s="210">
        <v>12947.37300000001</v>
      </c>
      <c r="I434" s="210">
        <v>3415.903827956974</v>
      </c>
      <c r="J434" s="215">
        <v>4.024</v>
      </c>
      <c r="K434" s="212">
        <v>39.173</v>
      </c>
      <c r="L434" s="212">
        <v>167.73</v>
      </c>
      <c r="M434" s="212">
        <v>7.05</v>
      </c>
      <c r="N434" s="212">
        <v>105.47</v>
      </c>
      <c r="O434" s="213">
        <v>1.3866902784502125E-4</v>
      </c>
      <c r="P434" s="214">
        <v>1.6762645339215196E-4</v>
      </c>
      <c r="Q434" s="214">
        <v>-1.2136546067146685E-4</v>
      </c>
      <c r="R434" s="214">
        <v>-0.0014454576156703498</v>
      </c>
      <c r="S434" s="214">
        <v>0.0032972191375857016</v>
      </c>
    </row>
    <row r="435">
      <c r="A435" s="208">
        <v>42976.0</v>
      </c>
      <c r="B435" s="30">
        <v>-0.05526928802676928</v>
      </c>
      <c r="C435" s="30">
        <v>0.01544800891753527</v>
      </c>
      <c r="D435" s="164">
        <v>-0.03982127910923401</v>
      </c>
      <c r="E435" s="164">
        <v>-0.016815967025198015</v>
      </c>
      <c r="F435" s="210">
        <v>-3714.9449572950434</v>
      </c>
      <c r="G435" s="209">
        <v>-8797.214957295044</v>
      </c>
      <c r="H435" s="210">
        <v>12947.37300000001</v>
      </c>
      <c r="I435" s="210">
        <v>3415.903827956974</v>
      </c>
      <c r="J435" s="215">
        <v>3.986</v>
      </c>
      <c r="K435" s="212">
        <v>38.594</v>
      </c>
      <c r="L435" s="212">
        <v>166.25</v>
      </c>
      <c r="M435" s="212">
        <v>7.0</v>
      </c>
      <c r="N435" s="212">
        <v>105.11</v>
      </c>
      <c r="O435" s="213">
        <v>-0.004583783592748321</v>
      </c>
      <c r="P435" s="214">
        <v>-0.0058917199817928685</v>
      </c>
      <c r="Q435" s="214">
        <v>-0.004771187023110708</v>
      </c>
      <c r="R435" s="214">
        <v>-0.006163572773742206</v>
      </c>
      <c r="S435" s="214">
        <v>9.784404488138998E-4</v>
      </c>
    </row>
    <row r="436">
      <c r="A436" s="208">
        <v>42975.0</v>
      </c>
      <c r="B436" s="30">
        <v>-0.0385</v>
      </c>
      <c r="C436" s="30">
        <v>0.0155</v>
      </c>
      <c r="D436" s="30">
        <v>-0.023</v>
      </c>
      <c r="E436" s="30">
        <v>-0.0025</v>
      </c>
      <c r="F436" s="210">
        <v>-2446.4911963944896</v>
      </c>
      <c r="G436" s="209">
        <v>-5082.27</v>
      </c>
      <c r="H436" s="209">
        <v>12947.37</v>
      </c>
      <c r="I436" s="209">
        <v>3415.9</v>
      </c>
      <c r="J436" s="215">
        <v>3.988</v>
      </c>
      <c r="K436" s="212">
        <v>38.864</v>
      </c>
      <c r="L436" s="212">
        <v>166.61</v>
      </c>
      <c r="M436" s="212">
        <v>7.08</v>
      </c>
      <c r="N436" s="212">
        <v>104.9</v>
      </c>
      <c r="O436" s="213">
        <v>-0.0040865802117321754</v>
      </c>
      <c r="P436" s="214">
        <v>-0.004976927113631143</v>
      </c>
      <c r="Q436" s="214">
        <v>-0.003970318628214509</v>
      </c>
      <c r="R436" s="214">
        <v>-0.0018865407828253151</v>
      </c>
      <c r="S436" s="214">
        <v>5.033111585974748E-4</v>
      </c>
    </row>
    <row r="437">
      <c r="A437" s="208">
        <v>42972.0</v>
      </c>
      <c r="B437" s="30">
        <v>-0.0274714318664925</v>
      </c>
      <c r="C437" s="30">
        <v>0.015540373694321732</v>
      </c>
      <c r="D437" s="164">
        <v>-0.011931058172170769</v>
      </c>
      <c r="E437" s="164">
        <v>-0.005478588054237194</v>
      </c>
      <c r="F437" s="210">
        <v>-1210.3156366068945</v>
      </c>
      <c r="G437" s="209">
        <v>-2635.778803605511</v>
      </c>
      <c r="H437" s="210">
        <v>12947.37300000001</v>
      </c>
      <c r="I437" s="210">
        <v>3415.903827956974</v>
      </c>
      <c r="J437" s="215">
        <v>4.022</v>
      </c>
      <c r="K437" s="212">
        <v>39.147</v>
      </c>
      <c r="L437" s="212">
        <v>167.78</v>
      </c>
      <c r="M437" s="212">
        <v>7.08</v>
      </c>
      <c r="N437" s="212">
        <v>104.43</v>
      </c>
      <c r="O437" s="213">
        <v>-0.0019052778205358074</v>
      </c>
      <c r="P437" s="214">
        <v>-0.003496076932610744</v>
      </c>
      <c r="Q437" s="214">
        <v>-0.0022819545488403925</v>
      </c>
      <c r="R437" s="214">
        <v>-0.0018865407828253151</v>
      </c>
      <c r="S437" s="214">
        <v>-0.0021676936367288624</v>
      </c>
    </row>
    <row r="438">
      <c r="A438" s="208">
        <v>42971.0</v>
      </c>
      <c r="B438" s="30">
        <v>-0.02201610784473183</v>
      </c>
      <c r="C438" s="30">
        <v>0.015563637726798255</v>
      </c>
      <c r="D438" s="164">
        <v>-0.0064524701179335744</v>
      </c>
      <c r="E438" s="164">
        <v>0.006591293400784723</v>
      </c>
      <c r="F438" s="210">
        <v>1456.1316509759615</v>
      </c>
      <c r="G438" s="209">
        <v>-1425.4631669986163</v>
      </c>
      <c r="H438" s="210">
        <v>12947.37300000001</v>
      </c>
      <c r="I438" s="210">
        <v>3415.903827956974</v>
      </c>
      <c r="J438" s="215">
        <v>4.041</v>
      </c>
      <c r="K438" s="212">
        <v>39.28</v>
      </c>
      <c r="L438" s="212">
        <v>168.64</v>
      </c>
      <c r="M438" s="212">
        <v>7.13</v>
      </c>
      <c r="N438" s="212">
        <v>104.8</v>
      </c>
      <c r="O438" s="213">
        <v>0.0013175200708308576</v>
      </c>
      <c r="P438" s="214">
        <v>0.0016388670722219019</v>
      </c>
      <c r="Q438" s="214">
        <v>5.118942325330611E-4</v>
      </c>
      <c r="R438" s="214">
        <v>9.356729754006107E-4</v>
      </c>
      <c r="S438" s="214">
        <v>-2.2557182983766003E-4</v>
      </c>
    </row>
    <row r="439">
      <c r="A439" s="208">
        <v>42970.0</v>
      </c>
      <c r="B439" s="30">
        <v>-0.0286307350352119</v>
      </c>
      <c r="C439" s="30">
        <v>0.015586971516493603</v>
      </c>
      <c r="D439" s="164">
        <v>-0.013043763518718297</v>
      </c>
      <c r="E439" s="164">
        <v>-0.004667258772576182</v>
      </c>
      <c r="F439" s="210">
        <v>-1031.0788503564847</v>
      </c>
      <c r="G439" s="209">
        <v>-2881.594817974578</v>
      </c>
      <c r="H439" s="210">
        <v>12947.37300000001</v>
      </c>
      <c r="I439" s="210">
        <v>3415.903827956974</v>
      </c>
      <c r="J439" s="215">
        <v>4.037</v>
      </c>
      <c r="K439" s="212">
        <v>39.447</v>
      </c>
      <c r="L439" s="212">
        <v>168.6</v>
      </c>
      <c r="M439" s="212">
        <v>7.12</v>
      </c>
      <c r="N439" s="212">
        <v>104.74</v>
      </c>
      <c r="O439" s="213">
        <v>-0.0013312718410577462</v>
      </c>
      <c r="P439" s="214">
        <v>2.790080878482352E-6</v>
      </c>
      <c r="Q439" s="214">
        <v>-0.0018437662381696567</v>
      </c>
      <c r="R439" s="214">
        <v>-6.584596259351372E-7</v>
      </c>
      <c r="S439" s="214">
        <v>-0.0026731738651698533</v>
      </c>
    </row>
    <row r="440">
      <c r="A440" s="208">
        <v>42969.0</v>
      </c>
      <c r="B440" s="30">
        <v>-0.023986880123771603</v>
      </c>
      <c r="C440" s="30">
        <v>0.015610375377629488</v>
      </c>
      <c r="D440" s="164">
        <v>-0.008376504746142115</v>
      </c>
      <c r="E440" s="164">
        <v>0.0013694825134972066</v>
      </c>
      <c r="F440" s="210">
        <v>302.54256821946115</v>
      </c>
      <c r="G440" s="209">
        <v>-1850.515967618093</v>
      </c>
      <c r="H440" s="210">
        <v>12947.37300000001</v>
      </c>
      <c r="I440" s="210">
        <v>3415.903827956974</v>
      </c>
      <c r="J440" s="215">
        <v>4.045</v>
      </c>
      <c r="K440" s="212">
        <v>39.559</v>
      </c>
      <c r="L440" s="212">
        <v>168.93</v>
      </c>
      <c r="M440" s="212">
        <v>7.12</v>
      </c>
      <c r="N440" s="212">
        <v>105.11</v>
      </c>
      <c r="O440" s="213">
        <v>0.0012208876056817308</v>
      </c>
      <c r="P440" s="214">
        <v>-0.0018143439071151752</v>
      </c>
      <c r="Q440" s="214">
        <v>-2.868730930085291E-4</v>
      </c>
      <c r="R440" s="214">
        <v>0.0014038359223965309</v>
      </c>
      <c r="S440" s="214">
        <v>-1.1788035409909803E-5</v>
      </c>
    </row>
    <row r="441">
      <c r="A441" s="208">
        <v>42968.0</v>
      </c>
      <c r="B441" s="30">
        <v>-0.025379836885956974</v>
      </c>
      <c r="C441" s="30">
        <v>0.015633849626317652</v>
      </c>
      <c r="D441" s="164">
        <v>-0.009745987259639322</v>
      </c>
      <c r="E441" s="164">
        <v>-9.063927029613027E-4</v>
      </c>
      <c r="F441" s="210">
        <v>6.501982262656384</v>
      </c>
      <c r="G441" s="209">
        <v>-2153.0585358375542</v>
      </c>
      <c r="H441" s="210">
        <v>12947.37300000001</v>
      </c>
      <c r="I441" s="210">
        <v>3415.903827956974</v>
      </c>
      <c r="J441" s="215">
        <v>4.025</v>
      </c>
      <c r="K441" s="212">
        <v>39.084</v>
      </c>
      <c r="L441" s="212">
        <v>168.38</v>
      </c>
      <c r="M441" s="212">
        <v>7.11</v>
      </c>
      <c r="N441" s="212">
        <v>104.87</v>
      </c>
      <c r="O441" s="213">
        <v>6.904026379498755E-5</v>
      </c>
      <c r="P441" s="214">
        <v>-0.009337134272221418</v>
      </c>
      <c r="Q441" s="214">
        <v>-0.001450998031591914</v>
      </c>
      <c r="R441" s="214">
        <v>-0.0018852033426969654</v>
      </c>
      <c r="S441" s="214">
        <v>9.713090374978695E-4</v>
      </c>
    </row>
    <row r="442">
      <c r="A442" s="208">
        <v>42965.0</v>
      </c>
      <c r="B442" s="30">
        <v>-0.025480116876542957</v>
      </c>
      <c r="C442" s="30">
        <v>0.015704697887464102</v>
      </c>
      <c r="D442" s="164">
        <v>-0.009775418989078855</v>
      </c>
      <c r="E442" s="164">
        <v>-0.0013919209508863536</v>
      </c>
      <c r="F442" s="210">
        <v>-307.4996103194062</v>
      </c>
      <c r="G442" s="209">
        <v>-2159.5605181002106</v>
      </c>
      <c r="H442" s="210">
        <v>12947.37300000001</v>
      </c>
      <c r="I442" s="210">
        <v>3415.903827956974</v>
      </c>
      <c r="J442" s="215">
        <v>4.053</v>
      </c>
      <c r="K442" s="212">
        <v>39.442</v>
      </c>
      <c r="L442" s="212">
        <v>169.53</v>
      </c>
      <c r="M442" s="212">
        <v>7.12</v>
      </c>
      <c r="N442" s="212">
        <v>105.58</v>
      </c>
      <c r="O442" s="213">
        <v>0.003216243997911946</v>
      </c>
      <c r="P442" s="214">
        <v>-0.004757759044272003</v>
      </c>
      <c r="Q442" s="214">
        <v>0.0015549068952323368</v>
      </c>
      <c r="R442" s="214">
        <v>9.146222419387969E-4</v>
      </c>
      <c r="S442" s="214">
        <v>0.004375737789803195</v>
      </c>
    </row>
    <row r="443">
      <c r="A443" s="208">
        <v>42964.0</v>
      </c>
      <c r="B443" s="30">
        <v>-0.02411195492397349</v>
      </c>
      <c r="C443" s="30">
        <v>0.01572845688578099</v>
      </c>
      <c r="D443" s="164">
        <v>-0.008383498038192501</v>
      </c>
      <c r="E443" s="164">
        <v>0.0016692303781945667</v>
      </c>
      <c r="F443" s="210">
        <v>368.76209852383545</v>
      </c>
      <c r="G443" s="209">
        <v>-1852.0609077808044</v>
      </c>
      <c r="H443" s="210">
        <v>12947.37300000001</v>
      </c>
      <c r="I443" s="210">
        <v>3415.903827956974</v>
      </c>
      <c r="J443" s="215">
        <v>4.03</v>
      </c>
      <c r="K443" s="212">
        <v>39.769</v>
      </c>
      <c r="L443" s="212">
        <v>169.07</v>
      </c>
      <c r="M443" s="212">
        <v>7.09</v>
      </c>
      <c r="N443" s="212">
        <v>105.11</v>
      </c>
      <c r="O443" s="213">
        <v>9.094276503418541E-4</v>
      </c>
      <c r="P443" s="214">
        <v>-5.443887275792628E-4</v>
      </c>
      <c r="Q443" s="214">
        <v>9.467593969289348E-4</v>
      </c>
      <c r="R443" s="214">
        <v>-0.0014288392762339026</v>
      </c>
      <c r="S443" s="214">
        <v>0.001292382732033211</v>
      </c>
    </row>
    <row r="444">
      <c r="A444" s="208">
        <v>42963.0</v>
      </c>
      <c r="B444" s="30">
        <v>-0.02580501629744955</v>
      </c>
      <c r="C444" s="30">
        <v>0.015752287881062484</v>
      </c>
      <c r="D444" s="164">
        <v>-0.010052728416387068</v>
      </c>
      <c r="E444" s="164">
        <v>-0.001479772854131249</v>
      </c>
      <c r="F444" s="210">
        <v>-326.90762770460424</v>
      </c>
      <c r="G444" s="209">
        <v>-2220.82300630464</v>
      </c>
      <c r="H444" s="210">
        <v>12947.37300000001</v>
      </c>
      <c r="I444" s="210">
        <v>3415.903827956974</v>
      </c>
      <c r="J444" s="215">
        <v>4.024</v>
      </c>
      <c r="K444" s="212">
        <v>40.189</v>
      </c>
      <c r="L444" s="212">
        <v>169.11</v>
      </c>
      <c r="M444" s="212">
        <v>7.15</v>
      </c>
      <c r="N444" s="212">
        <v>104.56</v>
      </c>
      <c r="O444" s="213">
        <v>2.4727099206996633E-4</v>
      </c>
      <c r="P444" s="214">
        <v>0.00673348346043486</v>
      </c>
      <c r="Q444" s="214">
        <v>-8.160045523660416E-5</v>
      </c>
      <c r="R444" s="214">
        <v>4.5570560683720157E-4</v>
      </c>
      <c r="S444" s="214">
        <v>-9.293766709735548E-4</v>
      </c>
    </row>
    <row r="445">
      <c r="A445" s="208">
        <v>42962.0</v>
      </c>
      <c r="B445" s="30">
        <v>-0.024108729877847415</v>
      </c>
      <c r="C445" s="30">
        <v>0.015535774315591597</v>
      </c>
      <c r="D445" s="164">
        <v>-0.008572955562255818</v>
      </c>
      <c r="E445" s="164">
        <v>0.0037456022942180655</v>
      </c>
      <c r="F445" s="210">
        <v>827.4688624739065</v>
      </c>
      <c r="G445" s="209">
        <v>-1893.9153786000356</v>
      </c>
      <c r="H445" s="210">
        <v>12947.37300000001</v>
      </c>
      <c r="I445" s="210">
        <v>3415.903827956974</v>
      </c>
      <c r="J445" s="215">
        <v>4.014</v>
      </c>
      <c r="K445" s="212">
        <v>40.005</v>
      </c>
      <c r="L445" s="212">
        <v>168.74</v>
      </c>
      <c r="M445" s="212">
        <v>7.1</v>
      </c>
      <c r="N445" s="212">
        <v>104.2</v>
      </c>
      <c r="O445" s="213">
        <v>-8.053348479197808E-7</v>
      </c>
      <c r="P445" s="214">
        <v>0.002304173473997917</v>
      </c>
      <c r="Q445" s="214">
        <v>-1.4089204455725035E-4</v>
      </c>
      <c r="R445" s="214">
        <v>-0.007944391028553563</v>
      </c>
      <c r="S445" s="214">
        <v>-0.00284003783701429</v>
      </c>
    </row>
    <row r="446">
      <c r="A446" s="208">
        <v>42961.0</v>
      </c>
      <c r="B446" s="30">
        <v>-0.0278779427713293</v>
      </c>
      <c r="C446" s="30">
        <v>0.015559384914855414</v>
      </c>
      <c r="D446" s="164">
        <v>-0.012318557856473884</v>
      </c>
      <c r="E446" s="164">
        <v>0.003609398234019649</v>
      </c>
      <c r="F446" s="210">
        <v>-198.35499568639852</v>
      </c>
      <c r="G446" s="209">
        <v>-2721.384241073942</v>
      </c>
      <c r="H446" s="210">
        <v>12947.37300000001</v>
      </c>
      <c r="I446" s="210">
        <v>3415.903827956974</v>
      </c>
      <c r="J446" s="215">
        <v>4.019</v>
      </c>
      <c r="K446" s="212">
        <v>39.831</v>
      </c>
      <c r="L446" s="212">
        <v>168.59</v>
      </c>
      <c r="M446" s="212">
        <v>7.12</v>
      </c>
      <c r="N446" s="212">
        <v>104.7</v>
      </c>
      <c r="O446" s="213">
        <v>-5.821041224246537E-4</v>
      </c>
      <c r="P446" s="214">
        <v>-0.001050407203417314</v>
      </c>
      <c r="Q446" s="214">
        <v>-7.136508185430953E-4</v>
      </c>
      <c r="R446" s="214">
        <v>-0.005629908073971457</v>
      </c>
      <c r="S446" s="214">
        <v>0.0014872709249906801</v>
      </c>
    </row>
    <row r="447">
      <c r="A447" s="208">
        <v>42958.0</v>
      </c>
      <c r="B447" s="30">
        <v>-0.027051337783080123</v>
      </c>
      <c r="C447" s="30">
        <v>0.015630649273244063</v>
      </c>
      <c r="D447" s="164">
        <v>-0.01142068850983606</v>
      </c>
      <c r="E447" s="164">
        <v>6.317837995595231E-4</v>
      </c>
      <c r="F447" s="210">
        <v>139.5720583463858</v>
      </c>
      <c r="G447" s="209">
        <v>-2523.0292453875436</v>
      </c>
      <c r="H447" s="210">
        <v>12947.37300000001</v>
      </c>
      <c r="I447" s="210">
        <v>3415.903827956974</v>
      </c>
      <c r="J447" s="215">
        <v>4.021</v>
      </c>
      <c r="K447" s="212">
        <v>39.382</v>
      </c>
      <c r="L447" s="212">
        <v>169.15</v>
      </c>
      <c r="M447" s="212">
        <v>7.14</v>
      </c>
      <c r="N447" s="212">
        <v>104.85</v>
      </c>
      <c r="O447" s="213">
        <v>0.003971918352620525</v>
      </c>
      <c r="P447" s="214">
        <v>-0.0075195367242479145</v>
      </c>
      <c r="Q447" s="214">
        <v>0.001971948077506299</v>
      </c>
      <c r="R447" s="214">
        <v>-0.0037727681728809692</v>
      </c>
      <c r="S447" s="214">
        <v>0.0072735981102683605</v>
      </c>
    </row>
    <row r="448">
      <c r="A448" s="208">
        <v>42957.0</v>
      </c>
      <c r="B448" s="30">
        <v>-0.027707021657981005</v>
      </c>
      <c r="C448" s="30">
        <v>0.01565454934858542</v>
      </c>
      <c r="D448" s="164">
        <v>-0.012052472309395584</v>
      </c>
      <c r="E448" s="164">
        <v>0.004707183930787357</v>
      </c>
      <c r="F448" s="210">
        <v>1039.8990140188384</v>
      </c>
      <c r="G448" s="209">
        <v>-2662.6013037339294</v>
      </c>
      <c r="H448" s="210">
        <v>12947.37300000001</v>
      </c>
      <c r="I448" s="210">
        <v>3415.903827956974</v>
      </c>
      <c r="J448" s="215">
        <v>4.014</v>
      </c>
      <c r="K448" s="212">
        <v>39.725</v>
      </c>
      <c r="L448" s="212">
        <v>168.81</v>
      </c>
      <c r="M448" s="212">
        <v>7.27</v>
      </c>
      <c r="N448" s="212">
        <v>105.09</v>
      </c>
      <c r="O448" s="213">
        <v>0.0028043339330516095</v>
      </c>
      <c r="P448" s="214">
        <v>-0.0017942256810864106</v>
      </c>
      <c r="Q448" s="214">
        <v>0.002075050565862435</v>
      </c>
      <c r="R448" s="214">
        <v>0.0064514507852469665</v>
      </c>
      <c r="S448" s="214">
        <v>0.008069090996036846</v>
      </c>
    </row>
    <row r="449">
      <c r="A449" s="208">
        <v>42956.0</v>
      </c>
      <c r="B449" s="30">
        <v>-0.03243817886495302</v>
      </c>
      <c r="C449" s="30">
        <v>0.015678522624770076</v>
      </c>
      <c r="D449" s="164">
        <v>-0.01675965624018294</v>
      </c>
      <c r="E449" s="164">
        <v>0.0050199695282302885</v>
      </c>
      <c r="F449" s="210">
        <v>1108.9988068382345</v>
      </c>
      <c r="G449" s="209">
        <v>-3702.500317752768</v>
      </c>
      <c r="H449" s="210">
        <v>12947.37300000001</v>
      </c>
      <c r="I449" s="210">
        <v>3415.903827956974</v>
      </c>
      <c r="J449" s="215">
        <v>4.026</v>
      </c>
      <c r="K449" s="212">
        <v>39.952</v>
      </c>
      <c r="L449" s="212">
        <v>168.95</v>
      </c>
      <c r="M449" s="212">
        <v>7.24</v>
      </c>
      <c r="N449" s="212">
        <v>104.23</v>
      </c>
      <c r="O449" s="213">
        <v>0.0032145814837096776</v>
      </c>
      <c r="P449" s="214">
        <v>-9.244530925639113E-4</v>
      </c>
      <c r="Q449" s="214">
        <v>0.0015964485918264308</v>
      </c>
      <c r="R449" s="214">
        <v>0.004140918604028765</v>
      </c>
      <c r="S449" s="214">
        <v>0.004723745696831427</v>
      </c>
    </row>
    <row r="450">
      <c r="A450" s="208">
        <v>42955.0</v>
      </c>
      <c r="B450" s="30">
        <v>-0.03748219520702498</v>
      </c>
      <c r="C450" s="30">
        <v>0.015702569438611754</v>
      </c>
      <c r="D450" s="164">
        <v>-0.02177962576841323</v>
      </c>
      <c r="E450" s="164">
        <v>4.908042170510829E-4</v>
      </c>
      <c r="F450" s="210">
        <v>108.42721017326767</v>
      </c>
      <c r="G450" s="209">
        <v>-4811.499124591002</v>
      </c>
      <c r="H450" s="210">
        <v>12947.37300000001</v>
      </c>
      <c r="I450" s="210">
        <v>3415.903827956974</v>
      </c>
      <c r="J450" s="215">
        <v>3.973</v>
      </c>
      <c r="K450" s="212">
        <v>40.277</v>
      </c>
      <c r="L450" s="212">
        <v>168.15</v>
      </c>
      <c r="M450" s="212">
        <v>7.22</v>
      </c>
      <c r="N450" s="212">
        <v>102.57</v>
      </c>
      <c r="O450" s="213">
        <v>5.821437959487122E-4</v>
      </c>
      <c r="P450" s="214">
        <v>0.006097335510074853</v>
      </c>
      <c r="Q450" s="214">
        <v>0.0029521352304934614</v>
      </c>
      <c r="R450" s="214">
        <v>0.0050849101557550735</v>
      </c>
      <c r="S450" s="214">
        <v>-1.6329096541326896E-4</v>
      </c>
    </row>
    <row r="451">
      <c r="A451" s="208">
        <v>42954.0</v>
      </c>
      <c r="B451" s="30">
        <v>-0.03799712011445796</v>
      </c>
      <c r="C451" s="30">
        <v>0.015726690128993647</v>
      </c>
      <c r="D451" s="164">
        <v>-0.022270429985464312</v>
      </c>
      <c r="E451" s="164">
        <v>-0.004006345582967183</v>
      </c>
      <c r="F451" s="210">
        <v>328.30820272172605</v>
      </c>
      <c r="G451" s="209">
        <v>-4919.92633476427</v>
      </c>
      <c r="H451" s="210">
        <v>12947.37300000001</v>
      </c>
      <c r="I451" s="210">
        <v>3415.903827956974</v>
      </c>
      <c r="J451" s="215">
        <v>3.98</v>
      </c>
      <c r="K451" s="212">
        <v>39.936</v>
      </c>
      <c r="L451" s="212">
        <v>167.76</v>
      </c>
      <c r="M451" s="212">
        <v>7.13</v>
      </c>
      <c r="N451" s="212">
        <v>102.56</v>
      </c>
      <c r="O451" s="213">
        <v>0.0016737278227235326</v>
      </c>
      <c r="P451" s="214">
        <v>0.0029801671172523156</v>
      </c>
      <c r="Q451" s="214">
        <v>0.0019190055913025361</v>
      </c>
      <c r="R451" s="214">
        <v>-7.86100525118627E-6</v>
      </c>
      <c r="S451" s="214">
        <v>-0.0013976340912486007</v>
      </c>
    </row>
    <row r="452">
      <c r="A452" s="208">
        <v>42951.0</v>
      </c>
      <c r="B452" s="30">
        <v>-0.03955604153115428</v>
      </c>
      <c r="C452" s="30">
        <v>0.015799498879590843</v>
      </c>
      <c r="D452" s="164">
        <v>-0.023756542651563437</v>
      </c>
      <c r="E452" s="164">
        <v>0.00547411030483827</v>
      </c>
      <c r="F452" s="210">
        <v>1209.3264236818359</v>
      </c>
      <c r="G452" s="209">
        <v>-5248.234537485996</v>
      </c>
      <c r="H452" s="210">
        <v>12947.37300000001</v>
      </c>
      <c r="I452" s="210">
        <v>3415.903827956974</v>
      </c>
      <c r="J452" s="215">
        <v>3.987</v>
      </c>
      <c r="K452" s="212">
        <v>40.06</v>
      </c>
      <c r="L452" s="212">
        <v>168.14</v>
      </c>
      <c r="M452" s="212">
        <v>7.15</v>
      </c>
      <c r="N452" s="212">
        <v>102.75</v>
      </c>
      <c r="O452" s="213">
        <v>0.002175817395164925</v>
      </c>
      <c r="P452" s="214">
        <v>0.0019685131810975864</v>
      </c>
      <c r="Q452" s="214">
        <v>0.002614096850856784</v>
      </c>
      <c r="R452" s="214">
        <v>9.27155357535144E-4</v>
      </c>
      <c r="S452" s="214">
        <v>-0.0027544111024008964</v>
      </c>
    </row>
    <row r="453">
      <c r="A453" s="208">
        <v>42950.0</v>
      </c>
      <c r="B453" s="30">
        <v>-0.04505457146331804</v>
      </c>
      <c r="C453" s="30">
        <v>0.01582391850691633</v>
      </c>
      <c r="D453" s="164">
        <v>-0.029230652956401707</v>
      </c>
      <c r="E453" s="164">
        <v>1.3922963888161888E-4</v>
      </c>
      <c r="F453" s="210">
        <v>30.758255110497885</v>
      </c>
      <c r="G453" s="209">
        <v>-6457.560961167832</v>
      </c>
      <c r="H453" s="210">
        <v>12620.968000000008</v>
      </c>
      <c r="I453" s="210">
        <v>3175.426064516115</v>
      </c>
      <c r="J453" s="215">
        <v>3.966</v>
      </c>
      <c r="K453" s="212">
        <v>39.542</v>
      </c>
      <c r="L453" s="212">
        <v>166.66</v>
      </c>
      <c r="M453" s="212">
        <v>7.11</v>
      </c>
      <c r="N453" s="212">
        <v>102.62</v>
      </c>
      <c r="O453" s="213">
        <v>0.0028605725135258573</v>
      </c>
      <c r="P453" s="214">
        <v>-0.0025677052603680175</v>
      </c>
      <c r="Q453" s="214">
        <v>-0.001239120411220022</v>
      </c>
      <c r="R453" s="214">
        <v>-0.004677711958412119</v>
      </c>
      <c r="S453" s="214">
        <v>-0.0023717709022424613</v>
      </c>
    </row>
    <row r="454">
      <c r="A454" s="208">
        <v>42949.0</v>
      </c>
      <c r="B454" s="30">
        <v>-0.0462189676339003</v>
      </c>
      <c r="C454" s="30">
        <v>0.016849085038616974</v>
      </c>
      <c r="D454" s="164">
        <v>-0.029369882595283326</v>
      </c>
      <c r="E454" s="164">
        <v>0.002228795114089962</v>
      </c>
      <c r="F454" s="210">
        <v>492.37970635332204</v>
      </c>
      <c r="G454" s="209">
        <v>-6488.31921627833</v>
      </c>
      <c r="H454" s="210">
        <v>11960.918000000009</v>
      </c>
      <c r="I454" s="210">
        <v>3175.426064516115</v>
      </c>
      <c r="J454" s="215">
        <v>3.96</v>
      </c>
      <c r="K454" s="212">
        <v>39.577</v>
      </c>
      <c r="L454" s="212">
        <v>166.79</v>
      </c>
      <c r="M454" s="212">
        <v>7.13</v>
      </c>
      <c r="N454" s="212">
        <v>102.99</v>
      </c>
      <c r="O454" s="213">
        <v>0.0010846685813742003</v>
      </c>
      <c r="P454" s="214">
        <v>-0.0025821775660039106</v>
      </c>
      <c r="Q454" s="214">
        <v>-0.0018957368241309485</v>
      </c>
      <c r="R454" s="214">
        <v>-0.005589348853826855</v>
      </c>
      <c r="S454" s="214">
        <v>-0.002589051855192389</v>
      </c>
    </row>
    <row r="455">
      <c r="A455" s="208">
        <v>42948.0</v>
      </c>
      <c r="B455" s="30">
        <v>-0.04847388536045323</v>
      </c>
      <c r="C455" s="30">
        <v>0.016875207651079947</v>
      </c>
      <c r="D455" s="164">
        <v>-0.03159867770937329</v>
      </c>
      <c r="E455" s="164">
        <v>-0.009810537912870298</v>
      </c>
      <c r="F455" s="210">
        <v>-2167.3189007682986</v>
      </c>
      <c r="G455" s="209">
        <v>-6980.698922631652</v>
      </c>
      <c r="H455" s="210">
        <v>11960.918000000009</v>
      </c>
      <c r="I455" s="210">
        <v>3175.426064516115</v>
      </c>
      <c r="J455" s="215">
        <v>3.961</v>
      </c>
      <c r="K455" s="212">
        <v>39.82</v>
      </c>
      <c r="L455" s="212">
        <v>166.82</v>
      </c>
      <c r="M455" s="212">
        <v>7.13</v>
      </c>
      <c r="N455" s="212">
        <v>103.6</v>
      </c>
      <c r="O455" s="213">
        <v>4.087727255948452E-4</v>
      </c>
      <c r="P455" s="214">
        <v>-0.005107125260689645</v>
      </c>
      <c r="Q455" s="214">
        <v>-0.0029486145445045686</v>
      </c>
      <c r="R455" s="214">
        <v>-0.006968659198654488</v>
      </c>
      <c r="S455" s="214">
        <v>-1.008920321228975E-4</v>
      </c>
    </row>
    <row r="456">
      <c r="A456" s="208">
        <v>42947.0</v>
      </c>
      <c r="B456" s="30">
        <v>-0.03868955118617156</v>
      </c>
      <c r="C456" s="30">
        <v>0.01690141138966857</v>
      </c>
      <c r="D456" s="164">
        <v>-0.02178813979650299</v>
      </c>
      <c r="E456" s="164">
        <v>0.004505988493791118</v>
      </c>
      <c r="F456" s="210">
        <v>1149.0019753765637</v>
      </c>
      <c r="G456" s="209">
        <v>-4813.380021863353</v>
      </c>
      <c r="H456" s="210">
        <v>11960.918000000009</v>
      </c>
      <c r="I456" s="210">
        <v>3175.426064516115</v>
      </c>
      <c r="J456" s="215">
        <v>3.932</v>
      </c>
      <c r="K456" s="212">
        <v>39.847</v>
      </c>
      <c r="L456" s="212">
        <v>167.28</v>
      </c>
      <c r="M456" s="212">
        <v>7.21</v>
      </c>
      <c r="N456" s="212">
        <v>103.35</v>
      </c>
      <c r="O456" s="213">
        <v>-0.003127070978698576</v>
      </c>
      <c r="P456" s="214">
        <v>-0.005301577625608826</v>
      </c>
      <c r="Q456" s="214">
        <v>-0.0032970379046982265</v>
      </c>
      <c r="R456" s="214">
        <v>-4.81341000256356E-4</v>
      </c>
      <c r="S456" s="214">
        <v>8.638466412908367E-4</v>
      </c>
    </row>
    <row r="457">
      <c r="A457" s="208">
        <v>42944.0</v>
      </c>
      <c r="B457" s="30">
        <v>-0.04396969994378509</v>
      </c>
      <c r="C457" s="30">
        <v>0.016980513159043</v>
      </c>
      <c r="D457" s="164">
        <v>-0.026989186784742093</v>
      </c>
      <c r="E457" s="164">
        <v>-0.0034925926245251183</v>
      </c>
      <c r="F457" s="210">
        <v>-771.5746144650084</v>
      </c>
      <c r="G457" s="209">
        <v>-5962.381997239917</v>
      </c>
      <c r="H457" s="210">
        <v>11960.918000000009</v>
      </c>
      <c r="I457" s="210">
        <v>3175.426064516115</v>
      </c>
      <c r="J457" s="215">
        <v>3.947</v>
      </c>
      <c r="K457" s="212">
        <v>39.884</v>
      </c>
      <c r="L457" s="212">
        <v>167.74</v>
      </c>
      <c r="M457" s="212">
        <v>7.25</v>
      </c>
      <c r="N457" s="212">
        <v>103.79</v>
      </c>
      <c r="O457" s="213">
        <v>-0.002611311379956923</v>
      </c>
      <c r="P457" s="214">
        <v>-0.004465077202902161</v>
      </c>
      <c r="Q457" s="214">
        <v>-0.00226202586584745</v>
      </c>
      <c r="R457" s="214">
        <v>0.0022913034365895277</v>
      </c>
      <c r="S457" s="214">
        <v>0.002056611186571448</v>
      </c>
    </row>
    <row r="458">
      <c r="A458" s="208">
        <v>42943.0</v>
      </c>
      <c r="B458" s="30">
        <v>-0.04050363937107098</v>
      </c>
      <c r="C458" s="30">
        <v>0.017007045210854006</v>
      </c>
      <c r="D458" s="164">
        <v>-0.023496594160216974</v>
      </c>
      <c r="E458" s="164">
        <v>-0.0090262904827909</v>
      </c>
      <c r="F458" s="210">
        <v>-1994.0649677846432</v>
      </c>
      <c r="G458" s="209">
        <v>-5190.807382774909</v>
      </c>
      <c r="H458" s="210">
        <v>11960.918000000009</v>
      </c>
      <c r="I458" s="210">
        <v>3175.426064516115</v>
      </c>
      <c r="J458" s="215">
        <v>3.956</v>
      </c>
      <c r="K458" s="212">
        <v>40.431</v>
      </c>
      <c r="L458" s="212">
        <v>168.3</v>
      </c>
      <c r="M458" s="212">
        <v>7.28</v>
      </c>
      <c r="N458" s="212">
        <v>103.63</v>
      </c>
      <c r="O458" s="213">
        <v>-0.006878892526478146</v>
      </c>
      <c r="P458" s="214">
        <v>0.0012941034319405482</v>
      </c>
      <c r="Q458" s="214">
        <v>-0.0029256017973412485</v>
      </c>
      <c r="R458" s="214">
        <v>0.005522465633268969</v>
      </c>
      <c r="S458" s="214">
        <v>-2.345938301582621E-4</v>
      </c>
    </row>
    <row r="459">
      <c r="A459" s="208">
        <v>42942.0</v>
      </c>
      <c r="B459" s="30">
        <v>-0.03150396398250676</v>
      </c>
      <c r="C459" s="30">
        <v>0.017033660305080685</v>
      </c>
      <c r="D459" s="164">
        <v>-0.014470303677426074</v>
      </c>
      <c r="E459" s="164">
        <v>-0.008457639190101934</v>
      </c>
      <c r="F459" s="210">
        <v>-1868.4399811083988</v>
      </c>
      <c r="G459" s="209">
        <v>-3196.7424149902654</v>
      </c>
      <c r="H459" s="210">
        <v>11960.918000000009</v>
      </c>
      <c r="I459" s="210">
        <v>3175.426064516115</v>
      </c>
      <c r="J459" s="215">
        <v>3.969</v>
      </c>
      <c r="K459" s="212">
        <v>40.482</v>
      </c>
      <c r="L459" s="212">
        <v>168.94</v>
      </c>
      <c r="M459" s="212">
        <v>7.22</v>
      </c>
      <c r="N459" s="212">
        <v>103.08</v>
      </c>
      <c r="O459" s="213">
        <v>-0.006361353802261845</v>
      </c>
      <c r="P459" s="214">
        <v>0.0019545953861619023</v>
      </c>
      <c r="Q459" s="214">
        <v>-0.0017365570626699893</v>
      </c>
      <c r="R459" s="214">
        <v>4.474661448616117E-4</v>
      </c>
      <c r="S459" s="214">
        <v>-2.679320302236092E-4</v>
      </c>
    </row>
    <row r="460">
      <c r="A460" s="208">
        <v>42941.0</v>
      </c>
      <c r="B460" s="30">
        <v>-0.02307302331952878</v>
      </c>
      <c r="C460" s="30">
        <v>0.01706035883220464</v>
      </c>
      <c r="D460" s="164">
        <v>-0.00601266448732414</v>
      </c>
      <c r="E460" s="164">
        <v>-0.003620116118165144</v>
      </c>
      <c r="F460" s="210">
        <v>-799.7467779602893</v>
      </c>
      <c r="G460" s="209">
        <v>-1328.3024338818666</v>
      </c>
      <c r="H460" s="210">
        <v>11960.918000000009</v>
      </c>
      <c r="I460" s="210">
        <v>3175.426064516115</v>
      </c>
      <c r="J460" s="215">
        <v>3.978</v>
      </c>
      <c r="K460" s="212">
        <v>40.418</v>
      </c>
      <c r="L460" s="212">
        <v>168.88</v>
      </c>
      <c r="M460" s="212">
        <v>7.2</v>
      </c>
      <c r="N460" s="212">
        <v>103.15</v>
      </c>
      <c r="O460" s="213">
        <v>-0.005358277114918764</v>
      </c>
      <c r="P460" s="214">
        <v>8.146996230874448E-4</v>
      </c>
      <c r="Q460" s="214">
        <v>-0.0018745709145826517</v>
      </c>
      <c r="R460" s="214">
        <v>-0.002325178291984198</v>
      </c>
      <c r="S460" s="214">
        <v>8.631728125336746E-4</v>
      </c>
    </row>
    <row r="461">
      <c r="A461" s="208">
        <v>42940.0</v>
      </c>
      <c r="B461" s="30">
        <v>-0.019452907201363636</v>
      </c>
      <c r="C461" s="30">
        <v>0.01706035883220464</v>
      </c>
      <c r="D461" s="164">
        <v>-0.0023925483691589963</v>
      </c>
      <c r="E461" s="164">
        <v>0.0011853469138786432</v>
      </c>
      <c r="F461" s="210">
        <v>783.502565593816</v>
      </c>
      <c r="G461" s="209">
        <v>-528.5556559215773</v>
      </c>
      <c r="H461" s="210">
        <v>11960.918000000009</v>
      </c>
      <c r="I461" s="210">
        <v>3175.426064516115</v>
      </c>
      <c r="J461" s="215">
        <v>4.038</v>
      </c>
      <c r="K461" s="212">
        <v>40.274</v>
      </c>
      <c r="L461" s="212">
        <v>169.78</v>
      </c>
      <c r="M461" s="212">
        <v>7.16</v>
      </c>
      <c r="N461" s="212">
        <v>103.7</v>
      </c>
      <c r="O461" s="213">
        <v>-0.001815038685048805</v>
      </c>
      <c r="P461" s="214">
        <v>-0.003588908980488433</v>
      </c>
      <c r="Q461" s="214">
        <v>-0.0031796745153179393</v>
      </c>
      <c r="R461" s="214">
        <v>-0.00739542094843378</v>
      </c>
      <c r="S461" s="214">
        <v>4.6970582512536235E-4</v>
      </c>
    </row>
    <row r="462">
      <c r="A462" s="208">
        <v>42937.0</v>
      </c>
      <c r="B462" s="30">
        <v>-0.02289786917049772</v>
      </c>
      <c r="C462" s="30">
        <v>0.0169587353764322</v>
      </c>
      <c r="D462" s="164">
        <v>-0.005939133794065521</v>
      </c>
      <c r="E462" s="164">
        <v>-0.015933069157182768</v>
      </c>
      <c r="F462" s="210">
        <v>-3519.892817121534</v>
      </c>
      <c r="G462" s="209">
        <v>-1312.0582215153934</v>
      </c>
      <c r="H462" s="210">
        <v>11960.918000000009</v>
      </c>
      <c r="I462" s="210">
        <v>3175.426064516115</v>
      </c>
      <c r="J462" s="215">
        <v>4.045</v>
      </c>
      <c r="K462" s="212">
        <v>40.245</v>
      </c>
      <c r="L462" s="212">
        <v>169.82</v>
      </c>
      <c r="M462" s="212">
        <v>7.21</v>
      </c>
      <c r="N462" s="212">
        <v>103.16</v>
      </c>
      <c r="O462" s="213">
        <v>8.974520942554761E-4</v>
      </c>
      <c r="P462" s="214">
        <v>-7.582819891617613E-4</v>
      </c>
      <c r="Q462" s="214">
        <v>-0.0014480882251643272</v>
      </c>
      <c r="R462" s="214">
        <v>-0.00188006036392759</v>
      </c>
      <c r="S462" s="214">
        <v>8.593341026933803E-5</v>
      </c>
    </row>
    <row r="463">
      <c r="A463" s="208">
        <v>42936.0</v>
      </c>
      <c r="B463" s="30">
        <v>-0.006964800013314953</v>
      </c>
      <c r="C463" s="30">
        <v>0.0169587353764322</v>
      </c>
      <c r="D463" s="164">
        <v>0.009993935363117247</v>
      </c>
      <c r="E463" s="164">
        <v>0.006786519207945646</v>
      </c>
      <c r="F463" s="210">
        <v>1499.2604361185718</v>
      </c>
      <c r="G463" s="209">
        <v>2207.8345956061403</v>
      </c>
      <c r="H463" s="210">
        <v>11960.918000000009</v>
      </c>
      <c r="I463" s="210">
        <v>3175.426064516115</v>
      </c>
      <c r="J463" s="215">
        <v>4.042</v>
      </c>
      <c r="K463" s="212">
        <v>40.319</v>
      </c>
      <c r="L463" s="212">
        <v>169.83</v>
      </c>
      <c r="M463" s="212">
        <v>7.25</v>
      </c>
      <c r="N463" s="212">
        <v>102.88</v>
      </c>
      <c r="O463" s="213">
        <v>4.849713654523728E-4</v>
      </c>
      <c r="P463" s="214">
        <v>-0.003790027632345853</v>
      </c>
      <c r="Q463" s="214">
        <v>-0.0032265637715498765</v>
      </c>
      <c r="R463" s="214">
        <v>-0.0023296275359588523</v>
      </c>
      <c r="S463" s="214">
        <v>-0.0018531033171308813</v>
      </c>
    </row>
    <row r="464">
      <c r="A464" s="208">
        <v>42935.0</v>
      </c>
      <c r="B464" s="30">
        <v>-0.0137513192212606</v>
      </c>
      <c r="C464" s="30">
        <v>0.0169587353764322</v>
      </c>
      <c r="D464" s="164">
        <v>0.0032074161551716007</v>
      </c>
      <c r="E464" s="164">
        <v>0.008605436556728989</v>
      </c>
      <c r="F464" s="210">
        <v>1901.0909966815989</v>
      </c>
      <c r="G464" s="209">
        <v>708.5741594875686</v>
      </c>
      <c r="H464" s="210">
        <v>11960.918000000009</v>
      </c>
      <c r="I464" s="210">
        <v>3175.426064516115</v>
      </c>
      <c r="J464" s="215">
        <v>4.06</v>
      </c>
      <c r="K464" s="212">
        <v>40.708</v>
      </c>
      <c r="L464" s="212">
        <v>171.4</v>
      </c>
      <c r="M464" s="212">
        <v>7.32</v>
      </c>
      <c r="N464" s="212">
        <v>103.55</v>
      </c>
      <c r="O464" s="213">
        <v>0.0018867949989327764</v>
      </c>
      <c r="P464" s="214">
        <v>5.051103299183642E-4</v>
      </c>
      <c r="Q464" s="214">
        <v>-3.394483511724629E-4</v>
      </c>
      <c r="R464" s="214">
        <v>0.0018020052777713753</v>
      </c>
      <c r="S464" s="214">
        <v>0.0017676864098140992</v>
      </c>
    </row>
    <row r="465">
      <c r="A465" s="208">
        <v>42934.0</v>
      </c>
      <c r="B465" s="30">
        <v>-0.02235675577798959</v>
      </c>
      <c r="C465" s="30">
        <v>0.0169587353764322</v>
      </c>
      <c r="D465" s="164">
        <v>-0.005398020401557388</v>
      </c>
      <c r="E465" s="164">
        <v>-0.006123281804687648</v>
      </c>
      <c r="F465" s="210">
        <v>-1352.7397282283569</v>
      </c>
      <c r="G465" s="209">
        <v>-1192.5168371940301</v>
      </c>
      <c r="H465" s="210">
        <v>11960.918000000009</v>
      </c>
      <c r="I465" s="210">
        <v>3175.426064516115</v>
      </c>
      <c r="J465" s="215">
        <v>4.034</v>
      </c>
      <c r="K465" s="212">
        <v>40.333</v>
      </c>
      <c r="L465" s="212">
        <v>170.55</v>
      </c>
      <c r="M465" s="212">
        <v>7.25</v>
      </c>
      <c r="N465" s="212">
        <v>103.13</v>
      </c>
      <c r="O465" s="213">
        <v>-0.0013212563064595173</v>
      </c>
      <c r="P465" s="214">
        <v>-0.003968029208803903</v>
      </c>
      <c r="Q465" s="214">
        <v>-0.0028862087738885656</v>
      </c>
      <c r="R465" s="214">
        <v>-0.0023013594813311444</v>
      </c>
      <c r="S465" s="214">
        <v>0.0013218314142598626</v>
      </c>
    </row>
    <row r="466">
      <c r="A466" s="208">
        <v>42933.0</v>
      </c>
      <c r="B466" s="30">
        <v>-0.01623347397330194</v>
      </c>
      <c r="C466" s="30">
        <v>0.0169587353764322</v>
      </c>
      <c r="D466" s="164">
        <v>7.252614031302597E-4</v>
      </c>
      <c r="E466" s="164">
        <v>0.003177646629622735</v>
      </c>
      <c r="F466" s="210">
        <v>318.30154470619095</v>
      </c>
      <c r="G466" s="209">
        <v>160.2228910343267</v>
      </c>
      <c r="H466" s="210">
        <v>11960.918000000009</v>
      </c>
      <c r="I466" s="210">
        <v>3175.426064516115</v>
      </c>
      <c r="J466" s="215">
        <v>4.036</v>
      </c>
      <c r="K466" s="212">
        <v>40.774</v>
      </c>
      <c r="L466" s="212">
        <v>171.47</v>
      </c>
      <c r="M466" s="212">
        <v>7.3</v>
      </c>
      <c r="N466" s="212">
        <v>103.45</v>
      </c>
      <c r="O466" s="213">
        <v>-0.0022259532140209703</v>
      </c>
      <c r="P466" s="214">
        <v>0.0011875854877981078</v>
      </c>
      <c r="Q466" s="214">
        <v>-0.0012624927892210074</v>
      </c>
      <c r="R466" s="214">
        <v>-0.001372371920317102</v>
      </c>
      <c r="S466" s="214">
        <v>0.002128969976231724</v>
      </c>
    </row>
    <row r="467">
      <c r="A467" s="208">
        <v>42930.0</v>
      </c>
      <c r="B467" s="30">
        <v>-0.017674290722031576</v>
      </c>
      <c r="C467" s="30">
        <v>0.0169587353764322</v>
      </c>
      <c r="D467" s="164">
        <v>-7.155553455993752E-4</v>
      </c>
      <c r="E467" s="164">
        <v>-0.00714203961709879</v>
      </c>
      <c r="F467" s="210">
        <v>-1577.8010940528982</v>
      </c>
      <c r="G467" s="209">
        <v>-158.0786536718643</v>
      </c>
      <c r="H467" s="210">
        <v>11960.918000000009</v>
      </c>
      <c r="I467" s="210">
        <v>3175.426064516115</v>
      </c>
      <c r="J467" s="215">
        <v>4.037</v>
      </c>
      <c r="K467" s="212">
        <v>40.642</v>
      </c>
      <c r="L467" s="212">
        <v>171.57</v>
      </c>
      <c r="M467" s="212">
        <v>7.28</v>
      </c>
      <c r="N467" s="212">
        <v>103.0</v>
      </c>
      <c r="O467" s="213">
        <v>2.3583116467077817E-4</v>
      </c>
      <c r="P467" s="214">
        <v>0.003644615566744891</v>
      </c>
      <c r="Q467" s="214">
        <v>7.136073638831508E-4</v>
      </c>
      <c r="R467" s="214">
        <v>-9.213574492312748E-4</v>
      </c>
      <c r="S467" s="214">
        <v>0.002786851586475255</v>
      </c>
    </row>
    <row r="468">
      <c r="A468" s="208">
        <v>42929.0</v>
      </c>
      <c r="B468" s="30">
        <v>-0.010532251104932786</v>
      </c>
      <c r="C468" s="30">
        <v>0.0169587353764322</v>
      </c>
      <c r="D468" s="164">
        <v>0.006426484271499415</v>
      </c>
      <c r="E468" s="164">
        <v>0.01668091788574142</v>
      </c>
      <c r="F468" s="210">
        <v>3685.10564221998</v>
      </c>
      <c r="G468" s="209">
        <v>1419.722440381034</v>
      </c>
      <c r="H468" s="210">
        <v>11960.918000000009</v>
      </c>
      <c r="I468" s="210">
        <v>3175.426064516115</v>
      </c>
      <c r="J468" s="215">
        <v>4.05</v>
      </c>
      <c r="K468" s="212">
        <v>40.813</v>
      </c>
      <c r="L468" s="212">
        <v>172.03</v>
      </c>
      <c r="M468" s="212">
        <v>7.3</v>
      </c>
      <c r="N468" s="212">
        <v>102.72</v>
      </c>
      <c r="O468" s="213">
        <v>4.0029483686635875E-4</v>
      </c>
      <c r="P468" s="214">
        <v>0.0026339901950617195</v>
      </c>
      <c r="Q468" s="214">
        <v>4.97501415828161E-4</v>
      </c>
      <c r="R468" s="214">
        <v>-5.60653348036233E-6</v>
      </c>
      <c r="S468" s="214">
        <v>9.669242451714558E-4</v>
      </c>
    </row>
    <row r="469">
      <c r="A469" s="208">
        <v>42928.0</v>
      </c>
      <c r="B469" s="30">
        <v>-0.02721316899067421</v>
      </c>
      <c r="C469" s="30">
        <v>0.0169587353764322</v>
      </c>
      <c r="D469" s="164">
        <v>-0.010254433614242008</v>
      </c>
      <c r="E469" s="164">
        <v>-0.005060844887564326</v>
      </c>
      <c r="F469" s="210">
        <v>-1118.0288864982026</v>
      </c>
      <c r="G469" s="209">
        <v>-2265.3832018389458</v>
      </c>
      <c r="H469" s="210">
        <v>11960.918000000009</v>
      </c>
      <c r="I469" s="210">
        <v>3175.426064516115</v>
      </c>
      <c r="J469" s="215">
        <v>4.063</v>
      </c>
      <c r="K469" s="212">
        <v>40.628</v>
      </c>
      <c r="L469" s="212">
        <v>172.12</v>
      </c>
      <c r="M469" s="212">
        <v>7.33</v>
      </c>
      <c r="N469" s="212">
        <v>102.79</v>
      </c>
      <c r="O469" s="213">
        <v>0.0022943163133628173</v>
      </c>
      <c r="P469" s="214">
        <v>0.0019792544920087898</v>
      </c>
      <c r="Q469" s="214">
        <v>0.0013510924138939728</v>
      </c>
      <c r="R469" s="214">
        <v>0.00364736150304934</v>
      </c>
      <c r="S469" s="214">
        <v>0.0022029964991181115</v>
      </c>
    </row>
    <row r="470">
      <c r="A470" s="208">
        <v>42927.0</v>
      </c>
      <c r="B470" s="30">
        <v>-0.022181104127751584</v>
      </c>
      <c r="C470" s="30">
        <v>0.0169875154010739</v>
      </c>
      <c r="D470" s="164">
        <v>-0.005193588726677682</v>
      </c>
      <c r="E470" s="164">
        <v>2.3996731018824033E-4</v>
      </c>
      <c r="F470" s="210">
        <v>53.01296336210157</v>
      </c>
      <c r="G470" s="209">
        <v>-1147.3543153407431</v>
      </c>
      <c r="H470" s="210">
        <v>11960.918000000009</v>
      </c>
      <c r="I470" s="210">
        <v>3175.426064516115</v>
      </c>
      <c r="J470" s="215">
        <v>4.034</v>
      </c>
      <c r="K470" s="212">
        <v>40.197</v>
      </c>
      <c r="L470" s="212">
        <v>171.2</v>
      </c>
      <c r="M470" s="212">
        <v>7.3</v>
      </c>
      <c r="N470" s="212">
        <v>102.14</v>
      </c>
      <c r="O470" s="213">
        <v>-7.457619744630772E-4</v>
      </c>
      <c r="P470" s="214">
        <v>-0.0010203785213975802</v>
      </c>
      <c r="Q470" s="214">
        <v>-1.0003818999345289E-4</v>
      </c>
      <c r="R470" s="214">
        <v>-1.574555188158892E-5</v>
      </c>
      <c r="S470" s="214">
        <v>-0.0032672479131636845</v>
      </c>
    </row>
    <row r="471">
      <c r="A471" s="208">
        <v>42926.0</v>
      </c>
      <c r="B471" s="30">
        <v>-0.02244994385431392</v>
      </c>
      <c r="C471" s="30">
        <v>0.017016387817448</v>
      </c>
      <c r="D471" s="164">
        <v>-0.005433556036865923</v>
      </c>
      <c r="E471" s="164">
        <v>9.921801330867383E-4</v>
      </c>
      <c r="F471" s="210">
        <v>-63.93897323475517</v>
      </c>
      <c r="G471" s="209">
        <v>-1200.3672787028447</v>
      </c>
      <c r="H471" s="210">
        <v>11960.918000000009</v>
      </c>
      <c r="I471" s="210">
        <v>3175.426064516115</v>
      </c>
      <c r="J471" s="215">
        <v>4.045</v>
      </c>
      <c r="K471" s="212">
        <v>40.488</v>
      </c>
      <c r="L471" s="212">
        <v>171.77</v>
      </c>
      <c r="M471" s="212">
        <v>7.3</v>
      </c>
      <c r="N471" s="212">
        <v>102.42</v>
      </c>
      <c r="O471" s="213">
        <v>-0.005443219192855693</v>
      </c>
      <c r="P471" s="214">
        <v>-0.0017158058200340924</v>
      </c>
      <c r="Q471" s="214">
        <v>-0.0021629744976086793</v>
      </c>
      <c r="R471" s="214">
        <v>-9.289875610140422E-4</v>
      </c>
      <c r="S471" s="214">
        <v>-0.004001714542916239</v>
      </c>
    </row>
    <row r="472">
      <c r="A472" s="208">
        <v>42923.0</v>
      </c>
      <c r="B472" s="30">
        <v>-0.021107158246345275</v>
      </c>
      <c r="C472" s="30">
        <v>0.0159630269548674</v>
      </c>
      <c r="D472" s="164">
        <v>-0.005144131291477876</v>
      </c>
      <c r="E472" s="164">
        <v>-0.020592649657801478</v>
      </c>
      <c r="F472" s="210">
        <v>-4549.275403309175</v>
      </c>
      <c r="G472" s="209">
        <v>-1136.4283054680895</v>
      </c>
      <c r="H472" s="210">
        <v>11960.918000000009</v>
      </c>
      <c r="I472" s="210">
        <v>3175.426064516115</v>
      </c>
      <c r="J472" s="215">
        <v>4.035</v>
      </c>
      <c r="K472" s="212">
        <v>40.384</v>
      </c>
      <c r="L472" s="212">
        <v>171.42</v>
      </c>
      <c r="M472" s="212">
        <v>7.25</v>
      </c>
      <c r="N472" s="212">
        <v>102.11</v>
      </c>
      <c r="O472" s="213">
        <v>-0.005132116006323202</v>
      </c>
      <c r="P472" s="214">
        <v>-0.002228003986067373</v>
      </c>
      <c r="Q472" s="214">
        <v>-0.002205897807336451</v>
      </c>
      <c r="R472" s="214">
        <v>-0.006399706427196635</v>
      </c>
      <c r="S472" s="214">
        <v>-0.004721196471465812</v>
      </c>
    </row>
    <row r="473">
      <c r="A473" s="208">
        <v>42922.0</v>
      </c>
      <c r="B473" s="30">
        <v>-7.092084828310034E-5</v>
      </c>
      <c r="C473" s="30">
        <v>0.0155194392146067</v>
      </c>
      <c r="D473" s="164">
        <v>0.0154485183663236</v>
      </c>
      <c r="E473" s="164">
        <v>0.0017108340889227455</v>
      </c>
      <c r="F473" s="210">
        <v>377.95308370773546</v>
      </c>
      <c r="G473" s="209">
        <v>3412.847097841086</v>
      </c>
      <c r="H473" s="210">
        <v>11960.918000000009</v>
      </c>
      <c r="I473" s="210">
        <v>3175.426064516115</v>
      </c>
      <c r="J473" s="215">
        <v>4.043</v>
      </c>
      <c r="K473" s="212">
        <v>40.319</v>
      </c>
      <c r="L473" s="212">
        <v>171.25</v>
      </c>
      <c r="M473" s="212">
        <v>7.3</v>
      </c>
      <c r="N473" s="212">
        <v>103.14</v>
      </c>
      <c r="O473" s="213">
        <v>-0.004145790694192335</v>
      </c>
      <c r="P473" s="214">
        <v>-0.003477874586042614</v>
      </c>
      <c r="Q473" s="214">
        <v>-0.002130790378311579</v>
      </c>
      <c r="R473" s="214">
        <v>-0.004551915843462817</v>
      </c>
      <c r="S473" s="214">
        <v>-6.82872848084474E-4</v>
      </c>
    </row>
    <row r="474">
      <c r="A474" s="208">
        <v>42921.0</v>
      </c>
      <c r="B474" s="30">
        <v>-0.0012764625491132585</v>
      </c>
      <c r="C474" s="30">
        <v>0.015014146826514113</v>
      </c>
      <c r="D474" s="164">
        <v>0.013737684277400854</v>
      </c>
      <c r="E474" s="164">
        <v>-2.4368327987391893E-4</v>
      </c>
      <c r="F474" s="210">
        <v>-53.83388586461706</v>
      </c>
      <c r="G474" s="209">
        <v>3034.8940141333505</v>
      </c>
      <c r="H474" s="210">
        <v>10093.758000000009</v>
      </c>
      <c r="I474" s="210">
        <v>3175.426064516115</v>
      </c>
      <c r="J474" s="215">
        <v>4.111</v>
      </c>
      <c r="K474" s="212">
        <v>40.695</v>
      </c>
      <c r="L474" s="212">
        <v>172.88</v>
      </c>
      <c r="M474" s="212">
        <v>7.32</v>
      </c>
      <c r="N474" s="212">
        <v>103.65</v>
      </c>
      <c r="O474" s="213">
        <v>6.462086285052108E-4</v>
      </c>
      <c r="P474" s="214">
        <v>0.003034366368275291</v>
      </c>
      <c r="Q474" s="214">
        <v>6.357851710113346E-4</v>
      </c>
      <c r="R474" s="214">
        <v>0.0037937585981021225</v>
      </c>
      <c r="S474" s="214">
        <v>-0.0033565113115084553</v>
      </c>
    </row>
    <row r="475">
      <c r="A475" s="208">
        <v>42920.0</v>
      </c>
      <c r="B475" s="30">
        <v>-0.0010571133807896057</v>
      </c>
      <c r="C475" s="30">
        <v>0.01503848093806438</v>
      </c>
      <c r="D475" s="164">
        <v>0.013981367557274773</v>
      </c>
      <c r="E475" s="164">
        <v>0.0013713229038275487</v>
      </c>
      <c r="F475" s="210">
        <v>302.9491425360957</v>
      </c>
      <c r="G475" s="209">
        <v>3088.7278999979676</v>
      </c>
      <c r="H475" s="210">
        <v>10378.718000000012</v>
      </c>
      <c r="I475" s="210">
        <v>3281.3609462365494</v>
      </c>
      <c r="J475" s="215">
        <v>4.097</v>
      </c>
      <c r="K475" s="212">
        <v>40.653</v>
      </c>
      <c r="L475" s="212">
        <v>172.55</v>
      </c>
      <c r="M475" s="212">
        <v>7.39</v>
      </c>
      <c r="N475" s="212">
        <v>103.56</v>
      </c>
      <c r="O475" s="213">
        <v>-4.889571867870238E-4</v>
      </c>
      <c r="P475" s="214">
        <v>0.003178059926799722</v>
      </c>
      <c r="Q475" s="214">
        <v>-3.868557703481379E-4</v>
      </c>
      <c r="R475" s="214">
        <v>0.009284989119638412</v>
      </c>
      <c r="S475" s="214">
        <v>-0.0035185867694440174</v>
      </c>
    </row>
    <row r="476">
      <c r="A476" s="208">
        <v>42919.0</v>
      </c>
      <c r="B476" s="30">
        <v>-0.002389955346552775</v>
      </c>
      <c r="C476" s="30">
        <v>0.015</v>
      </c>
      <c r="D476" s="164">
        <v>0.012610044653447224</v>
      </c>
      <c r="E476" s="164">
        <v>0.0031699689841489173</v>
      </c>
      <c r="F476" s="210">
        <v>-3004.4268240819542</v>
      </c>
      <c r="G476" s="209">
        <v>2785.778757461872</v>
      </c>
      <c r="H476" s="210">
        <v>14440.72000000001</v>
      </c>
      <c r="I476" s="210">
        <v>0.0</v>
      </c>
      <c r="J476" s="215">
        <v>4.093</v>
      </c>
      <c r="K476" s="212">
        <v>40.74</v>
      </c>
      <c r="L476" s="212">
        <v>172.34</v>
      </c>
      <c r="M476" s="212">
        <v>7.4</v>
      </c>
      <c r="N476" s="212">
        <v>103.35</v>
      </c>
      <c r="O476" s="213">
        <v>-0.00617632886156468</v>
      </c>
      <c r="P476" s="214">
        <v>5.248912104220219E-7</v>
      </c>
      <c r="Q476" s="214">
        <v>-0.0034746385155636586</v>
      </c>
      <c r="R476" s="214">
        <v>0.01043194333469514</v>
      </c>
      <c r="S476" s="214">
        <v>-0.007793822675996376</v>
      </c>
    </row>
    <row r="477">
      <c r="A477" s="208">
        <v>42916.0</v>
      </c>
      <c r="B477" s="30">
        <v>0.012234291348430936</v>
      </c>
      <c r="C477" s="30">
        <v>0.013975525472209505</v>
      </c>
      <c r="D477" s="164">
        <v>0.02620981682064044</v>
      </c>
      <c r="E477" s="164">
        <v>-0.010354457523418431</v>
      </c>
      <c r="F477" s="210">
        <v>-2287.480227589429</v>
      </c>
      <c r="G477" s="209">
        <v>5790.205581543826</v>
      </c>
      <c r="H477" s="210">
        <v>14440.72000000001</v>
      </c>
      <c r="I477" s="210">
        <v>0.0</v>
      </c>
      <c r="J477" s="215">
        <v>4.103</v>
      </c>
      <c r="K477" s="212">
        <v>40.324</v>
      </c>
      <c r="L477" s="212">
        <v>172.55</v>
      </c>
      <c r="M477" s="212">
        <v>7.235</v>
      </c>
      <c r="N477" s="212">
        <v>104.69</v>
      </c>
      <c r="O477" s="213">
        <v>-0.008320273622642723</v>
      </c>
      <c r="P477" s="214">
        <v>-0.005211610001193893</v>
      </c>
      <c r="Q477" s="214">
        <v>-0.0050400584099991414</v>
      </c>
      <c r="R477" s="214">
        <v>0.00160481076279273</v>
      </c>
      <c r="S477" s="214">
        <v>-0.004259737684490024</v>
      </c>
    </row>
    <row r="478">
      <c r="A478" s="208">
        <v>42915.0</v>
      </c>
      <c r="B478" s="30">
        <v>0.022972595973944365</v>
      </c>
      <c r="C478" s="30">
        <v>0.013591678370114504</v>
      </c>
      <c r="D478" s="164">
        <v>0.03656427434405887</v>
      </c>
      <c r="E478" s="164">
        <v>0.0038947041436468016</v>
      </c>
      <c r="F478" s="210">
        <v>860.408061045523</v>
      </c>
      <c r="G478" s="209">
        <v>8077.685809133255</v>
      </c>
      <c r="H478" s="210">
        <v>14440.72000000001</v>
      </c>
      <c r="I478" s="210">
        <v>0.0</v>
      </c>
      <c r="J478" s="215">
        <v>4.103</v>
      </c>
      <c r="K478" s="212">
        <v>40.265</v>
      </c>
      <c r="L478" s="212">
        <v>172.75</v>
      </c>
      <c r="M478" s="212">
        <v>7.1850000000000005</v>
      </c>
      <c r="N478" s="212">
        <v>104.65</v>
      </c>
      <c r="O478" s="213">
        <v>-0.014898178203400336</v>
      </c>
      <c r="P478" s="214">
        <v>-0.008751382031748708</v>
      </c>
      <c r="Q478" s="214">
        <v>-0.009468067770568375</v>
      </c>
      <c r="R478" s="214">
        <v>-6.988059153920275E-4</v>
      </c>
      <c r="S478" s="214">
        <v>-0.006682045797833454</v>
      </c>
    </row>
    <row r="479">
      <c r="A479" s="208">
        <v>42914.0</v>
      </c>
      <c r="B479" s="30">
        <v>0.01905564685751505</v>
      </c>
      <c r="C479" s="30">
        <v>0.013613923342897016</v>
      </c>
      <c r="D479" s="164">
        <v>0.03266957020041207</v>
      </c>
      <c r="E479" s="164">
        <v>-0.018333971869656837</v>
      </c>
      <c r="F479" s="210">
        <v>-4050.294093164155</v>
      </c>
      <c r="G479" s="209">
        <v>7217.277748087732</v>
      </c>
      <c r="H479" s="210">
        <v>14440.72000000001</v>
      </c>
      <c r="I479" s="210">
        <v>0.0</v>
      </c>
      <c r="J479" s="215">
        <v>4.169</v>
      </c>
      <c r="K479" s="212">
        <v>40.735</v>
      </c>
      <c r="L479" s="212">
        <v>174.14000000000001</v>
      </c>
      <c r="M479" s="212">
        <v>7.17</v>
      </c>
      <c r="N479" s="212">
        <v>105.78</v>
      </c>
      <c r="O479" s="213">
        <v>-0.007671011256593936</v>
      </c>
      <c r="P479" s="214">
        <v>-0.004876622450995072</v>
      </c>
      <c r="Q479" s="214">
        <v>-0.006298251163936008</v>
      </c>
      <c r="R479" s="214">
        <v>-2.3729273206255877E-4</v>
      </c>
      <c r="S479" s="214">
        <v>-0.006423573322930827</v>
      </c>
    </row>
    <row r="480">
      <c r="A480" s="208">
        <v>42913.0</v>
      </c>
      <c r="B480" s="30">
        <v>0.03736730082005239</v>
      </c>
      <c r="C480" s="30">
        <v>0.013636241250016518</v>
      </c>
      <c r="D480" s="164">
        <v>0.05100354207006891</v>
      </c>
      <c r="E480" s="164">
        <v>-0.004009134496780878</v>
      </c>
      <c r="F480" s="210">
        <v>-885.6877214853157</v>
      </c>
      <c r="G480" s="209">
        <v>11267.571841251887</v>
      </c>
      <c r="H480" s="210">
        <v>14440.72000000001</v>
      </c>
      <c r="I480" s="210">
        <v>0.0</v>
      </c>
      <c r="J480" s="215">
        <v>4.206</v>
      </c>
      <c r="K480" s="212">
        <v>40.956</v>
      </c>
      <c r="L480" s="212">
        <v>175.17000000000002</v>
      </c>
      <c r="M480" s="212">
        <v>7.2</v>
      </c>
      <c r="N480" s="212">
        <v>106.03</v>
      </c>
      <c r="O480" s="213">
        <v>-0.005181601105879692</v>
      </c>
      <c r="P480" s="214">
        <v>-0.004576262485687617</v>
      </c>
      <c r="Q480" s="214">
        <v>-0.005247156375097206</v>
      </c>
      <c r="R480" s="214">
        <v>-0.001165472964253474</v>
      </c>
      <c r="S480" s="214">
        <v>-0.005357559037356907</v>
      </c>
    </row>
    <row r="481">
      <c r="A481" s="208">
        <v>42912.0</v>
      </c>
      <c r="B481" s="30">
        <v>0.04135404411609432</v>
      </c>
      <c r="C481" s="30">
        <v>0.013658632450755468</v>
      </c>
      <c r="D481" s="164">
        <v>0.055012676566849786</v>
      </c>
      <c r="E481" s="164">
        <v>-0.0024929451900223554</v>
      </c>
      <c r="F481" s="210">
        <v>-218.11696329420192</v>
      </c>
      <c r="G481" s="209">
        <v>12153.259562737203</v>
      </c>
      <c r="H481" s="210">
        <v>14440.72000000001</v>
      </c>
      <c r="I481" s="210">
        <v>0.0</v>
      </c>
      <c r="J481" s="215">
        <v>4.289</v>
      </c>
      <c r="K481" s="212">
        <v>41.331</v>
      </c>
      <c r="L481" s="212">
        <v>177.70000000000002</v>
      </c>
      <c r="M481" s="212">
        <v>7.2</v>
      </c>
      <c r="N481" s="212">
        <v>106.76</v>
      </c>
      <c r="O481" s="213">
        <v>0.0013963034748779208</v>
      </c>
      <c r="P481" s="214">
        <v>-0.002680275985018928</v>
      </c>
      <c r="Q481" s="214">
        <v>-7.512628772085028E-4</v>
      </c>
      <c r="R481" s="214">
        <v>-0.00278023651673324</v>
      </c>
      <c r="S481" s="214">
        <v>-0.0020106959623934126</v>
      </c>
    </row>
    <row r="482">
      <c r="A482" s="208">
        <v>42909.0</v>
      </c>
      <c r="B482" s="30">
        <v>0.0423</v>
      </c>
      <c r="C482" s="30">
        <v>0.0137</v>
      </c>
      <c r="D482" s="164">
        <v>0.055999999999999994</v>
      </c>
      <c r="E482" s="164">
        <v>1.9999999999999185E-4</v>
      </c>
      <c r="F482" s="210">
        <v>44.18348759296896</v>
      </c>
      <c r="G482" s="209">
        <v>12371.376526031405</v>
      </c>
      <c r="H482" s="210">
        <v>14440.72000000001</v>
      </c>
      <c r="I482" s="210">
        <v>0.0</v>
      </c>
      <c r="J482" s="215">
        <v>4.265</v>
      </c>
      <c r="K482" s="212">
        <v>41.333</v>
      </c>
      <c r="L482" s="212">
        <v>177.44</v>
      </c>
      <c r="M482" s="212">
        <v>7.175</v>
      </c>
      <c r="N482" s="212">
        <v>107.83</v>
      </c>
      <c r="O482" s="213">
        <v>-3.908874422216731E-4</v>
      </c>
      <c r="P482" s="214">
        <v>-0.0043442535690813395</v>
      </c>
      <c r="Q482" s="214">
        <v>-3.0317239629799414E-4</v>
      </c>
      <c r="R482" s="214">
        <v>-0.003478507101367508</v>
      </c>
      <c r="S482" s="214">
        <v>0.0010818378284539836</v>
      </c>
    </row>
    <row r="483">
      <c r="A483" s="208">
        <v>42908.0</v>
      </c>
      <c r="B483" s="30">
        <v>0.0421</v>
      </c>
      <c r="C483" s="30">
        <v>0.0137</v>
      </c>
      <c r="D483" s="164">
        <v>0.0558</v>
      </c>
      <c r="E483" s="164">
        <v>-0.0021000000000000046</v>
      </c>
      <c r="F483" s="210">
        <v>-463.9266197261786</v>
      </c>
      <c r="G483" s="209">
        <v>12327.193038438436</v>
      </c>
      <c r="H483" s="210">
        <v>14440.72000000001</v>
      </c>
      <c r="I483" s="210">
        <v>0.0</v>
      </c>
      <c r="J483" s="215">
        <v>4.271</v>
      </c>
      <c r="K483" s="212">
        <v>41.52</v>
      </c>
      <c r="L483" s="212">
        <v>177.93</v>
      </c>
      <c r="M483" s="212">
        <v>7.2250000000000005</v>
      </c>
      <c r="N483" s="212">
        <v>107.74000000000001</v>
      </c>
      <c r="O483" s="213">
        <v>0.002732222159468852</v>
      </c>
      <c r="P483" s="214">
        <v>-0.0022311873191533196</v>
      </c>
      <c r="Q483" s="214">
        <v>5.610202453970222E-4</v>
      </c>
      <c r="R483" s="214">
        <v>-0.004603902591775603</v>
      </c>
      <c r="S483" s="214">
        <v>8.03622118540237E-4</v>
      </c>
    </row>
    <row r="484">
      <c r="A484" s="208">
        <v>42907.0</v>
      </c>
      <c r="B484" s="30">
        <v>0.0442</v>
      </c>
      <c r="C484" s="30">
        <v>0.0137</v>
      </c>
      <c r="D484" s="164">
        <v>0.05790000000000001</v>
      </c>
      <c r="E484" s="164">
        <v>0.004100000000000006</v>
      </c>
      <c r="F484" s="210">
        <v>905.7614956558718</v>
      </c>
      <c r="G484" s="209">
        <v>12791.119658164615</v>
      </c>
      <c r="H484" s="210">
        <v>14440.72000000001</v>
      </c>
      <c r="I484" s="210">
        <v>0.0</v>
      </c>
      <c r="J484" s="215">
        <v>4.271</v>
      </c>
      <c r="K484" s="212">
        <v>41.664</v>
      </c>
      <c r="L484" s="212">
        <v>178.10000000000002</v>
      </c>
      <c r="M484" s="212">
        <v>7.26</v>
      </c>
      <c r="N484" s="212">
        <v>107.4</v>
      </c>
      <c r="O484" s="213">
        <v>0.00383389039994723</v>
      </c>
      <c r="P484" s="214">
        <v>0.0026092688577747194</v>
      </c>
      <c r="Q484" s="214">
        <v>0.0011234503349588272</v>
      </c>
      <c r="R484" s="214">
        <v>-0.002989139039295837</v>
      </c>
      <c r="S484" s="214">
        <v>-0.0010546445550073298</v>
      </c>
    </row>
    <row r="485">
      <c r="A485" s="208">
        <v>42906.0</v>
      </c>
      <c r="B485" s="30">
        <v>0.0402</v>
      </c>
      <c r="C485" s="30">
        <v>0.0136</v>
      </c>
      <c r="D485" s="164">
        <v>0.0538</v>
      </c>
      <c r="E485" s="164">
        <v>0.002700000000000001</v>
      </c>
      <c r="F485" s="210">
        <v>596.4770825050855</v>
      </c>
      <c r="G485" s="209">
        <v>11885.358162508743</v>
      </c>
      <c r="H485" s="210">
        <v>14440.72000000001</v>
      </c>
      <c r="I485" s="210">
        <v>0.0</v>
      </c>
      <c r="J485" s="215">
        <v>4.27</v>
      </c>
      <c r="K485" s="212">
        <v>41.874</v>
      </c>
      <c r="L485" s="212">
        <v>177.60000000000002</v>
      </c>
      <c r="M485" s="212">
        <v>7.25</v>
      </c>
      <c r="N485" s="212">
        <v>107.48</v>
      </c>
      <c r="O485" s="213">
        <v>0.0030452809512669563</v>
      </c>
      <c r="P485" s="214">
        <v>0.0028862411030617188</v>
      </c>
      <c r="Q485" s="214">
        <v>-5.447478867502223E-4</v>
      </c>
      <c r="R485" s="214">
        <v>-0.0032207445765172573</v>
      </c>
      <c r="S485" s="214">
        <v>-0.0017345119553989392</v>
      </c>
    </row>
    <row r="486">
      <c r="A486" s="208">
        <v>42905.0</v>
      </c>
      <c r="B486" s="30">
        <v>0.0376</v>
      </c>
      <c r="C486" s="30">
        <v>0.0135</v>
      </c>
      <c r="D486" s="164">
        <v>0.0511</v>
      </c>
      <c r="E486" s="164">
        <v>0.0022999999999999965</v>
      </c>
      <c r="F486" s="210">
        <v>1415.5971436611526</v>
      </c>
      <c r="G486" s="209">
        <v>11288.881080003657</v>
      </c>
      <c r="H486" s="210">
        <v>14440.72000000001</v>
      </c>
      <c r="I486" s="210">
        <v>0.0</v>
      </c>
      <c r="J486" s="215">
        <v>4.236</v>
      </c>
      <c r="K486" s="212">
        <v>41.798</v>
      </c>
      <c r="L486" s="212">
        <v>177.63</v>
      </c>
      <c r="M486" s="212">
        <v>7.325</v>
      </c>
      <c r="N486" s="212">
        <v>107.48</v>
      </c>
      <c r="O486" s="213">
        <v>-7.906491959255302E-4</v>
      </c>
      <c r="P486" s="214">
        <v>0.005011517330577179</v>
      </c>
      <c r="Q486" s="214">
        <v>0.0017976153461211064</v>
      </c>
      <c r="R486" s="214">
        <v>0.002959771722710262</v>
      </c>
      <c r="S486" s="214">
        <v>-0.004017616978229999</v>
      </c>
    </row>
    <row r="487">
      <c r="A487" s="208">
        <v>42902.0</v>
      </c>
      <c r="B487" s="30">
        <v>0.031492189205605356</v>
      </c>
      <c r="C487" s="30">
        <v>0.0132</v>
      </c>
      <c r="D487" s="164">
        <v>0.04469218920560536</v>
      </c>
      <c r="E487" s="164">
        <v>-0.0010078107943946382</v>
      </c>
      <c r="F487" s="210">
        <v>-44.528595730194866</v>
      </c>
      <c r="G487" s="209">
        <v>9873.283936342505</v>
      </c>
      <c r="H487" s="210">
        <v>14440.72000000001</v>
      </c>
      <c r="I487" s="210">
        <v>0.0</v>
      </c>
      <c r="J487" s="215">
        <v>4.222</v>
      </c>
      <c r="K487" s="212">
        <v>41.336</v>
      </c>
      <c r="L487" s="212">
        <v>177.5</v>
      </c>
      <c r="M487" s="212">
        <v>7.325</v>
      </c>
      <c r="N487" s="212">
        <v>107.74000000000001</v>
      </c>
      <c r="O487" s="213">
        <v>0.0017974297766594205</v>
      </c>
      <c r="P487" s="214">
        <v>-5.026808334965457E-4</v>
      </c>
      <c r="Q487" s="214">
        <v>0.002063086910851849</v>
      </c>
      <c r="R487" s="214">
        <v>-2.541860367020199E-4</v>
      </c>
      <c r="S487" s="214">
        <v>-0.0018936212341587044</v>
      </c>
    </row>
    <row r="488">
      <c r="A488" s="208">
        <v>42901.0</v>
      </c>
      <c r="B488" s="220">
        <v>0.031713751364484295</v>
      </c>
      <c r="C488" s="220">
        <v>0.013179999999999997</v>
      </c>
      <c r="D488" s="220">
        <v>0.04489375136448429</v>
      </c>
      <c r="E488" s="220">
        <v>-0.0010078107943946382</v>
      </c>
      <c r="F488" s="210">
        <v>-44.528595730196685</v>
      </c>
      <c r="G488" s="209">
        <v>9917.8125320727</v>
      </c>
      <c r="H488" s="210">
        <v>11692.51500000001</v>
      </c>
      <c r="I488" s="210">
        <v>0.0</v>
      </c>
      <c r="J488" s="215">
        <v>4.231</v>
      </c>
      <c r="K488" s="221">
        <v>41.51</v>
      </c>
      <c r="L488" s="221">
        <v>177.89</v>
      </c>
      <c r="M488" s="221">
        <v>7.32</v>
      </c>
      <c r="N488" s="221">
        <v>108.04</v>
      </c>
      <c r="O488" s="213">
        <v>0.001476001746472999</v>
      </c>
      <c r="P488" s="214">
        <v>0.0019150452298161518</v>
      </c>
      <c r="Q488" s="214">
        <v>0.0026254132498380787</v>
      </c>
      <c r="R488" s="214">
        <v>-0.0027554781226175606</v>
      </c>
      <c r="S488" s="214">
        <v>-0.0018883957811313135</v>
      </c>
    </row>
    <row r="489">
      <c r="A489" s="208">
        <v>42900.0</v>
      </c>
      <c r="B489" s="220">
        <v>0.03193531352336322</v>
      </c>
      <c r="C489" s="220">
        <v>0.013159999999999998</v>
      </c>
      <c r="D489" s="220">
        <v>0.04509531352336322</v>
      </c>
      <c r="E489" s="220">
        <v>-0.0010078107943946382</v>
      </c>
      <c r="F489" s="210">
        <v>-44.528595730196685</v>
      </c>
      <c r="G489" s="209">
        <v>9962.341127802896</v>
      </c>
      <c r="H489" s="210">
        <v>11692.51500000001</v>
      </c>
      <c r="I489" s="210">
        <v>0.0</v>
      </c>
      <c r="J489" s="215">
        <v>4.246</v>
      </c>
      <c r="K489" s="221">
        <v>41.17</v>
      </c>
      <c r="L489" s="221">
        <v>176.67</v>
      </c>
      <c r="M489" s="221">
        <v>7.26</v>
      </c>
      <c r="N489" s="221">
        <v>108.78</v>
      </c>
      <c r="O489" s="213">
        <v>0.0032117282451922247</v>
      </c>
      <c r="P489" s="214">
        <v>-0.0036421327737733433</v>
      </c>
      <c r="Q489" s="214">
        <v>1.693750212162041E-4</v>
      </c>
      <c r="R489" s="214">
        <v>-0.008649416843425609</v>
      </c>
      <c r="S489" s="214">
        <v>-3.722795602636812E-4</v>
      </c>
    </row>
    <row r="490">
      <c r="A490" s="208">
        <v>42899.0</v>
      </c>
      <c r="B490" s="220">
        <v>0.032156875682242146</v>
      </c>
      <c r="C490" s="220">
        <v>0.013139999999999999</v>
      </c>
      <c r="D490" s="220">
        <v>0.045296875682242145</v>
      </c>
      <c r="E490" s="220">
        <v>-0.0010078107943946382</v>
      </c>
      <c r="F490" s="210">
        <v>-44.528595730196685</v>
      </c>
      <c r="G490" s="209">
        <v>10006.869723533093</v>
      </c>
      <c r="H490" s="210">
        <v>11692.51500000001</v>
      </c>
      <c r="I490" s="210">
        <v>0.0</v>
      </c>
      <c r="J490" s="215">
        <v>4.199</v>
      </c>
      <c r="K490" s="221">
        <v>41.396</v>
      </c>
      <c r="L490" s="221">
        <v>176.4</v>
      </c>
      <c r="M490" s="221">
        <v>7.33</v>
      </c>
      <c r="N490" s="221">
        <v>108.35</v>
      </c>
      <c r="O490" s="213">
        <v>-3.194775489253991E-4</v>
      </c>
      <c r="P490" s="214">
        <v>6.063875315627613E-4</v>
      </c>
      <c r="Q490" s="214">
        <v>3.58406516996516E-4</v>
      </c>
      <c r="R490" s="214">
        <v>-0.004093177204818647</v>
      </c>
      <c r="S490" s="214">
        <v>-0.002638806502115306</v>
      </c>
    </row>
    <row r="491">
      <c r="A491" s="208">
        <v>42898.0</v>
      </c>
      <c r="B491" s="220">
        <v>0.03237843784112107</v>
      </c>
      <c r="C491" s="220">
        <v>0.01312</v>
      </c>
      <c r="D491" s="220">
        <v>0.04549843784112107</v>
      </c>
      <c r="E491" s="220">
        <v>-0.0010078107943946382</v>
      </c>
      <c r="F491" s="210">
        <v>-44.528595730196685</v>
      </c>
      <c r="G491" s="209">
        <v>10051.39831926329</v>
      </c>
      <c r="H491" s="210">
        <v>11692.51500000001</v>
      </c>
      <c r="I491" s="210">
        <v>0.0</v>
      </c>
      <c r="J491" s="215">
        <v>4.212</v>
      </c>
      <c r="K491" s="221">
        <v>41.27</v>
      </c>
      <c r="L491" s="221">
        <v>176.49</v>
      </c>
      <c r="M491" s="221">
        <v>7.38</v>
      </c>
      <c r="N491" s="221">
        <v>108.65</v>
      </c>
      <c r="O491" s="213">
        <v>-4.771122621517465E-4</v>
      </c>
      <c r="P491" s="214">
        <v>9.632732653262662E-4</v>
      </c>
      <c r="Q491" s="214">
        <v>3.203894941724202E-4</v>
      </c>
      <c r="R491" s="214">
        <v>4.2676508700963584E-4</v>
      </c>
      <c r="S491" s="214">
        <v>-0.005134361939262755</v>
      </c>
    </row>
    <row r="492">
      <c r="A492" s="208">
        <v>42895.0</v>
      </c>
      <c r="B492" s="30">
        <v>0.0326</v>
      </c>
      <c r="C492" s="30">
        <v>0.0131</v>
      </c>
      <c r="D492" s="164">
        <v>0.0457</v>
      </c>
      <c r="E492" s="164">
        <v>6.000000000000033E-4</v>
      </c>
      <c r="F492" s="210">
        <v>66.27523138945435</v>
      </c>
      <c r="G492" s="209">
        <v>10095.926914993486</v>
      </c>
      <c r="H492" s="210">
        <v>11692.51500000001</v>
      </c>
      <c r="I492" s="210">
        <v>0.0</v>
      </c>
      <c r="J492" s="215">
        <v>4.205</v>
      </c>
      <c r="K492" s="221">
        <v>41.62</v>
      </c>
      <c r="L492" s="221">
        <v>176.58</v>
      </c>
      <c r="M492" s="221">
        <v>7.45</v>
      </c>
      <c r="N492" s="221">
        <v>108.9</v>
      </c>
      <c r="O492" s="213">
        <v>-0.0018213489865053594</v>
      </c>
      <c r="P492" s="214">
        <v>0.004098017360893953</v>
      </c>
      <c r="Q492" s="214">
        <v>5.092758174027878E-4</v>
      </c>
      <c r="R492" s="214">
        <v>0.0031361793362855903</v>
      </c>
      <c r="S492" s="214">
        <v>-0.004699709461659578</v>
      </c>
    </row>
    <row r="493">
      <c r="A493" s="208">
        <v>42894.0</v>
      </c>
      <c r="B493" s="220">
        <v>0.03235</v>
      </c>
      <c r="C493" s="220">
        <v>0.013049999999999999</v>
      </c>
      <c r="D493" s="220">
        <v>0.045399999999999996</v>
      </c>
      <c r="E493" s="220">
        <v>6.000000000000033E-4</v>
      </c>
      <c r="F493" s="210">
        <v>66.27523138945435</v>
      </c>
      <c r="G493" s="209">
        <v>10029.651683604032</v>
      </c>
      <c r="H493" s="210">
        <v>11692.51500000001</v>
      </c>
      <c r="I493" s="210">
        <v>0.0</v>
      </c>
      <c r="J493" s="215">
        <v>4.203</v>
      </c>
      <c r="K493" s="221">
        <v>41.318</v>
      </c>
      <c r="L493" s="221">
        <v>176.21</v>
      </c>
      <c r="M493" s="221">
        <v>7.42</v>
      </c>
      <c r="N493" s="221">
        <v>109.21</v>
      </c>
      <c r="O493" s="213">
        <v>-0.0015068535085730843</v>
      </c>
      <c r="P493" s="214">
        <v>7.225257911190885E-4</v>
      </c>
      <c r="Q493" s="214">
        <v>3.7800277415607947E-4</v>
      </c>
      <c r="R493" s="214">
        <v>0.0026972398238479154</v>
      </c>
      <c r="S493" s="214">
        <v>-5.213204770409726E-4</v>
      </c>
    </row>
    <row r="494">
      <c r="A494" s="208">
        <v>42893.0</v>
      </c>
      <c r="B494" s="220">
        <v>0.0321</v>
      </c>
      <c r="C494" s="220">
        <v>0.013</v>
      </c>
      <c r="D494" s="220">
        <v>0.045099999999999994</v>
      </c>
      <c r="E494" s="220">
        <v>6.999999999999923E-4</v>
      </c>
      <c r="F494" s="210">
        <v>77.32110328769522</v>
      </c>
      <c r="G494" s="209">
        <v>9963.376452214578</v>
      </c>
      <c r="H494" s="210">
        <v>11692.51500000001</v>
      </c>
      <c r="I494" s="210">
        <v>0.0</v>
      </c>
      <c r="J494" s="215">
        <v>4.218</v>
      </c>
      <c r="K494" s="221">
        <v>41.148</v>
      </c>
      <c r="L494" s="221">
        <v>176.32</v>
      </c>
      <c r="M494" s="221">
        <v>7.37</v>
      </c>
      <c r="N494" s="221">
        <v>110.33</v>
      </c>
      <c r="O494" s="213">
        <v>-3.1722705128071443E-4</v>
      </c>
      <c r="P494" s="214">
        <v>3.85944654182883E-4</v>
      </c>
      <c r="Q494" s="214">
        <v>6.6184109578545E-4</v>
      </c>
      <c r="R494" s="214">
        <v>-1.840218341190673E-6</v>
      </c>
      <c r="S494" s="214">
        <v>0.004055318075205945</v>
      </c>
    </row>
    <row r="495">
      <c r="A495" s="208">
        <v>42892.0</v>
      </c>
      <c r="B495" s="220">
        <v>0.031799999999999995</v>
      </c>
      <c r="C495" s="220">
        <v>0.01295</v>
      </c>
      <c r="D495" s="220">
        <v>0.04475</v>
      </c>
      <c r="E495" s="220">
        <v>6.999999999999923E-4</v>
      </c>
      <c r="F495" s="210">
        <v>77.32110328769522</v>
      </c>
      <c r="G495" s="209">
        <v>9886.055348926882</v>
      </c>
      <c r="H495" s="210">
        <v>11692.51500000001</v>
      </c>
      <c r="I495" s="210">
        <v>0.0</v>
      </c>
      <c r="J495" s="215">
        <v>4.228</v>
      </c>
      <c r="K495" s="221">
        <v>41.11</v>
      </c>
      <c r="L495" s="221">
        <v>176.31</v>
      </c>
      <c r="M495" s="221">
        <v>7.38</v>
      </c>
      <c r="N495" s="221">
        <v>110.44</v>
      </c>
      <c r="O495" s="213">
        <v>0.002920534133574626</v>
      </c>
      <c r="P495" s="214">
        <v>6.620543686383465E-4</v>
      </c>
      <c r="Q495" s="214">
        <v>6.997639429985695E-4</v>
      </c>
      <c r="R495" s="214">
        <v>-0.002715544424582772</v>
      </c>
      <c r="S495" s="214">
        <v>0.006222685136331026</v>
      </c>
    </row>
    <row r="496">
      <c r="A496" s="208">
        <v>42891.0</v>
      </c>
      <c r="B496" s="30">
        <v>0.0315</v>
      </c>
      <c r="C496" s="30">
        <v>0.0129</v>
      </c>
      <c r="D496" s="164">
        <v>0.0444</v>
      </c>
      <c r="E496" s="164">
        <v>0.0040000000000000036</v>
      </c>
      <c r="F496" s="210">
        <v>883.6697518593883</v>
      </c>
      <c r="G496" s="209">
        <v>9808.734245639187</v>
      </c>
      <c r="H496" s="210">
        <v>11692.51500000001</v>
      </c>
      <c r="I496" s="210">
        <v>0.0</v>
      </c>
      <c r="J496" s="215">
        <v>4.222</v>
      </c>
      <c r="K496" s="221">
        <v>41.228</v>
      </c>
      <c r="L496" s="221">
        <v>176.01</v>
      </c>
      <c r="M496" s="221">
        <v>7.36</v>
      </c>
      <c r="N496" s="221">
        <v>109.37</v>
      </c>
      <c r="O496" s="213">
        <v>0.003322387875366909</v>
      </c>
      <c r="P496" s="214">
        <v>0.00384495898236988</v>
      </c>
      <c r="Q496" s="214">
        <v>5.683357532961786E-4</v>
      </c>
      <c r="R496" s="214">
        <v>-0.0027228294436694167</v>
      </c>
      <c r="S496" s="214">
        <v>0.0028394131962318214</v>
      </c>
    </row>
    <row r="497">
      <c r="A497" s="208">
        <v>42888.0</v>
      </c>
      <c r="B497" s="220">
        <v>0.0276</v>
      </c>
      <c r="C497" s="220">
        <v>0.0128</v>
      </c>
      <c r="D497" s="220">
        <v>0.0404</v>
      </c>
      <c r="E497" s="220">
        <v>0.0038999999999999937</v>
      </c>
      <c r="F497" s="210">
        <v>861.5780080628992</v>
      </c>
      <c r="G497" s="209">
        <v>8925.064493779799</v>
      </c>
      <c r="H497" s="210">
        <v>11692.51500000001</v>
      </c>
      <c r="I497" s="210">
        <v>0.0</v>
      </c>
      <c r="J497" s="215">
        <v>4.222</v>
      </c>
      <c r="K497" s="221">
        <v>41.1</v>
      </c>
      <c r="L497" s="221">
        <v>175.97</v>
      </c>
      <c r="M497" s="221">
        <v>7.37</v>
      </c>
      <c r="N497" s="221">
        <v>108.99</v>
      </c>
      <c r="O497" s="213">
        <v>0.002764174159258411</v>
      </c>
      <c r="P497" s="214">
        <v>3.3995841987533026E-4</v>
      </c>
      <c r="Q497" s="214">
        <v>-5.887447051401429E-4</v>
      </c>
      <c r="R497" s="214">
        <v>-0.005414584980995192</v>
      </c>
      <c r="S497" s="214">
        <v>0.0012816584729679799</v>
      </c>
    </row>
    <row r="498">
      <c r="A498" s="208">
        <v>42887.0</v>
      </c>
      <c r="B498" s="30">
        <v>0.0238</v>
      </c>
      <c r="C498" s="30">
        <v>0.0127</v>
      </c>
      <c r="D498" s="164">
        <v>0.036500000000000005</v>
      </c>
      <c r="E498" s="164">
        <v>0.0013000000000000095</v>
      </c>
      <c r="F498" s="210">
        <v>143.5963346771514</v>
      </c>
      <c r="G498" s="209">
        <v>8063.4864857169</v>
      </c>
      <c r="H498" s="210">
        <v>11692.51500000001</v>
      </c>
      <c r="I498" s="210">
        <v>0.0</v>
      </c>
      <c r="J498" s="215">
        <v>4.191</v>
      </c>
      <c r="K498" s="221">
        <v>41.028</v>
      </c>
      <c r="L498" s="221">
        <v>175.94</v>
      </c>
      <c r="M498" s="221">
        <v>7.44</v>
      </c>
      <c r="N498" s="221">
        <v>108.39</v>
      </c>
      <c r="O498" s="213">
        <v>7.147344020617119E-4</v>
      </c>
      <c r="P498" s="214">
        <v>-0.001072120364452071</v>
      </c>
      <c r="Q498" s="214">
        <v>-6.266632625821315E-4</v>
      </c>
      <c r="R498" s="214">
        <v>-0.006253937194318622</v>
      </c>
      <c r="S498" s="214">
        <v>-0.0019042672317131082</v>
      </c>
    </row>
    <row r="499">
      <c r="A499" s="208">
        <v>42886.0</v>
      </c>
      <c r="B499" s="220">
        <v>0.0232</v>
      </c>
      <c r="C499" s="220">
        <v>0.01265</v>
      </c>
      <c r="D499" s="220">
        <v>0.03585</v>
      </c>
      <c r="E499" s="220">
        <v>0.0013000000000000095</v>
      </c>
      <c r="F499" s="210">
        <v>143.5963346771514</v>
      </c>
      <c r="G499" s="209">
        <v>7919.890151039748</v>
      </c>
      <c r="H499" s="210">
        <v>11692.51500000001</v>
      </c>
      <c r="I499" s="210">
        <v>0.0</v>
      </c>
      <c r="J499" s="215">
        <v>4.18</v>
      </c>
      <c r="K499" s="221">
        <v>40.754</v>
      </c>
      <c r="L499" s="221">
        <v>175.71</v>
      </c>
      <c r="M499" s="221">
        <v>7.42</v>
      </c>
      <c r="N499" s="221">
        <v>108.44</v>
      </c>
      <c r="O499" s="213">
        <v>5.572038781691546E-4</v>
      </c>
      <c r="P499" s="214">
        <v>-0.0031524626841243166</v>
      </c>
      <c r="Q499" s="214">
        <v>-8.733140389803514E-4</v>
      </c>
      <c r="R499" s="214">
        <v>-0.00671024080408215</v>
      </c>
      <c r="S499" s="214">
        <v>-0.0017199232747551936</v>
      </c>
    </row>
    <row r="500">
      <c r="A500" s="208">
        <v>42885.0</v>
      </c>
      <c r="B500" s="30">
        <v>0.0226</v>
      </c>
      <c r="C500" s="30">
        <v>0.0126</v>
      </c>
      <c r="D500" s="164">
        <v>0.035199999999999995</v>
      </c>
      <c r="E500" s="164">
        <v>7.999999999999952E-4</v>
      </c>
      <c r="F500" s="210">
        <v>176.73395037187584</v>
      </c>
      <c r="G500" s="209">
        <v>7776.293816362597</v>
      </c>
      <c r="H500" s="210">
        <v>11692.51500000001</v>
      </c>
      <c r="I500" s="210">
        <v>0.0</v>
      </c>
      <c r="J500" s="215">
        <v>4.187</v>
      </c>
      <c r="K500" s="221">
        <v>41.056</v>
      </c>
      <c r="L500" s="221">
        <v>176.28</v>
      </c>
      <c r="M500" s="221">
        <v>7.49</v>
      </c>
      <c r="N500" s="221">
        <v>108.57</v>
      </c>
      <c r="O500" s="213">
        <v>0.0031123822080646826</v>
      </c>
      <c r="P500" s="214">
        <v>6.464384810273375E-4</v>
      </c>
      <c r="Q500" s="214">
        <v>0.0017027814587733392</v>
      </c>
      <c r="R500" s="214">
        <v>-0.003565586716031799</v>
      </c>
      <c r="S500" s="214">
        <v>0.002685799474447581</v>
      </c>
    </row>
    <row r="501">
      <c r="A501" s="208">
        <v>42884.0</v>
      </c>
      <c r="B501" s="30">
        <v>0.0219</v>
      </c>
      <c r="C501" s="30">
        <v>0.0125</v>
      </c>
      <c r="D501" s="164">
        <v>0.0344</v>
      </c>
      <c r="E501" s="164">
        <v>0.0015000000000000013</v>
      </c>
      <c r="F501" s="210">
        <v>331.37615694727083</v>
      </c>
      <c r="G501" s="209">
        <v>7599.559865990721</v>
      </c>
      <c r="H501" s="210">
        <v>11692.51500000001</v>
      </c>
      <c r="I501" s="210">
        <v>0.0</v>
      </c>
      <c r="J501" s="215">
        <v>4.182</v>
      </c>
      <c r="K501" s="221">
        <v>41.158</v>
      </c>
      <c r="L501" s="221">
        <v>176.27</v>
      </c>
      <c r="M501" s="221">
        <v>7.58</v>
      </c>
      <c r="N501" s="221">
        <v>109.01</v>
      </c>
      <c r="O501" s="213">
        <v>0.00263396471570713</v>
      </c>
      <c r="P501" s="214">
        <v>0.002174172171294527</v>
      </c>
      <c r="Q501" s="214">
        <v>0.0013987769260245624</v>
      </c>
      <c r="R501" s="214">
        <v>-0.0017619195337796878</v>
      </c>
      <c r="S501" s="214">
        <v>0.003789070088508669</v>
      </c>
    </row>
    <row r="502">
      <c r="A502" s="208">
        <v>42881.0</v>
      </c>
      <c r="B502" s="30">
        <v>0.0205</v>
      </c>
      <c r="C502" s="30">
        <v>0.0124</v>
      </c>
      <c r="D502" s="164">
        <v>0.0329</v>
      </c>
      <c r="E502" s="164">
        <v>0.003499999999999996</v>
      </c>
      <c r="F502" s="210">
        <v>773.2110328769613</v>
      </c>
      <c r="G502" s="209">
        <v>7268.18370904345</v>
      </c>
      <c r="H502" s="210">
        <v>11692.51500000001</v>
      </c>
      <c r="I502" s="210">
        <v>0.0</v>
      </c>
      <c r="J502" s="215">
        <v>4.173</v>
      </c>
      <c r="K502" s="221">
        <v>41.14</v>
      </c>
      <c r="L502" s="221">
        <v>176.17</v>
      </c>
      <c r="M502" s="221">
        <v>7.57</v>
      </c>
      <c r="N502" s="221">
        <v>109.0</v>
      </c>
      <c r="O502" s="213">
        <v>0.002237967178257342</v>
      </c>
      <c r="P502" s="214">
        <v>0.004180507924627541</v>
      </c>
      <c r="Q502" s="214">
        <v>0.0021591783968423206</v>
      </c>
      <c r="R502" s="214">
        <v>-0.0026391185910215054</v>
      </c>
      <c r="S502" s="214">
        <v>0.003789421921214083</v>
      </c>
    </row>
    <row r="503">
      <c r="A503" s="208">
        <v>42880.0</v>
      </c>
      <c r="B503" s="30">
        <v>0.0171</v>
      </c>
      <c r="C503" s="30">
        <v>0.0123</v>
      </c>
      <c r="D503" s="164">
        <v>0.029400000000000003</v>
      </c>
      <c r="E503" s="164">
        <v>0.001800000000000003</v>
      </c>
      <c r="F503" s="210">
        <v>198.82569416836213</v>
      </c>
      <c r="G503" s="209">
        <v>6494.972676166489</v>
      </c>
      <c r="H503" s="210">
        <v>11692.51500000001</v>
      </c>
      <c r="I503" s="210">
        <v>0.0</v>
      </c>
      <c r="J503" s="215">
        <v>4.148</v>
      </c>
      <c r="K503" s="221">
        <v>40.976</v>
      </c>
      <c r="L503" s="221">
        <v>175.38</v>
      </c>
      <c r="M503" s="221">
        <v>7.57</v>
      </c>
      <c r="N503" s="221">
        <v>107.69</v>
      </c>
      <c r="O503" s="213">
        <v>-4.023428315891679E-4</v>
      </c>
      <c r="P503" s="214">
        <v>0.00380348338699991</v>
      </c>
      <c r="Q503" s="214">
        <v>2.2638993700378288E-4</v>
      </c>
      <c r="R503" s="214">
        <v>-0.004386606577041634</v>
      </c>
      <c r="S503" s="214">
        <v>-4.641577858707964E-4</v>
      </c>
    </row>
    <row r="504">
      <c r="A504" s="208">
        <v>42879.0</v>
      </c>
      <c r="B504" s="220">
        <v>0.01625</v>
      </c>
      <c r="C504" s="220">
        <v>0.01225</v>
      </c>
      <c r="D504" s="220">
        <v>0.0285</v>
      </c>
      <c r="E504" s="220">
        <v>0.001800000000000003</v>
      </c>
      <c r="F504" s="210">
        <v>198.82569416836304</v>
      </c>
      <c r="G504" s="209">
        <v>6296.146981998127</v>
      </c>
      <c r="H504" s="210">
        <v>11692.51500000001</v>
      </c>
      <c r="I504" s="210">
        <v>0.0</v>
      </c>
      <c r="J504" s="215">
        <v>4.149</v>
      </c>
      <c r="K504" s="221">
        <v>40.89</v>
      </c>
      <c r="L504" s="221">
        <v>175.53</v>
      </c>
      <c r="M504" s="221">
        <v>7.62</v>
      </c>
      <c r="N504" s="221">
        <v>107.77</v>
      </c>
      <c r="O504" s="213">
        <v>-0.0014456685077916716</v>
      </c>
      <c r="P504" s="214">
        <v>0.003054516349424552</v>
      </c>
      <c r="Q504" s="214">
        <v>-6.677152672259027E-4</v>
      </c>
      <c r="R504" s="214">
        <v>-1.1965030692007161E-5</v>
      </c>
      <c r="S504" s="214">
        <v>1.852964393988706E-4</v>
      </c>
    </row>
    <row r="505">
      <c r="A505" s="208">
        <v>42878.0</v>
      </c>
      <c r="B505" s="30">
        <v>0.0154</v>
      </c>
      <c r="C505" s="30">
        <v>0.0122</v>
      </c>
      <c r="D505" s="164">
        <v>0.0276</v>
      </c>
      <c r="E505" s="164">
        <v>-0.0023</v>
      </c>
      <c r="F505" s="210">
        <v>-254.0550536595738</v>
      </c>
      <c r="G505" s="209">
        <v>6097.321287829764</v>
      </c>
      <c r="H505" s="210">
        <v>11692.51500000001</v>
      </c>
      <c r="I505" s="210">
        <v>0.0</v>
      </c>
      <c r="J505" s="215">
        <v>4.145</v>
      </c>
      <c r="K505" s="221">
        <v>40.626</v>
      </c>
      <c r="L505" s="221">
        <v>175.03</v>
      </c>
      <c r="M505" s="221">
        <v>7.63</v>
      </c>
      <c r="N505" s="221">
        <v>107.76</v>
      </c>
      <c r="O505" s="213">
        <v>-0.004006851899454489</v>
      </c>
      <c r="P505" s="214">
        <v>0.0012068074073958712</v>
      </c>
      <c r="Q505" s="214">
        <v>-0.004062069335479072</v>
      </c>
      <c r="R505" s="214">
        <v>0.0021752615659834293</v>
      </c>
      <c r="S505" s="214">
        <v>-0.0018881552134589012</v>
      </c>
    </row>
    <row r="506">
      <c r="A506" s="208">
        <v>42877.0</v>
      </c>
      <c r="B506" s="220">
        <v>0.0166</v>
      </c>
      <c r="C506" s="220">
        <v>0.012150000000000001</v>
      </c>
      <c r="D506" s="220">
        <v>0.028749999999999998</v>
      </c>
      <c r="E506" s="220">
        <v>-0.0023</v>
      </c>
      <c r="F506" s="210">
        <v>-254.0550536595738</v>
      </c>
      <c r="G506" s="209">
        <v>6351.376341489337</v>
      </c>
      <c r="H506" s="210">
        <v>11692.51500000001</v>
      </c>
      <c r="I506" s="210">
        <v>0.0</v>
      </c>
      <c r="J506" s="215">
        <v>4.153</v>
      </c>
      <c r="K506" s="221">
        <v>40.51</v>
      </c>
      <c r="L506" s="221">
        <v>175.26</v>
      </c>
      <c r="M506" s="221">
        <v>7.67</v>
      </c>
      <c r="N506" s="221">
        <v>107.84</v>
      </c>
      <c r="O506" s="213">
        <v>-0.0013770146480115801</v>
      </c>
      <c r="P506" s="214">
        <v>-3.317932476476493E-5</v>
      </c>
      <c r="Q506" s="214">
        <v>-0.00241993261301654</v>
      </c>
      <c r="R506" s="214">
        <v>0.0021637346003764066</v>
      </c>
      <c r="S506" s="214">
        <v>-0.0020713151956083253</v>
      </c>
    </row>
    <row r="507">
      <c r="A507" s="208">
        <v>42874.0</v>
      </c>
      <c r="B507" s="30">
        <v>0.0178</v>
      </c>
      <c r="C507" s="30">
        <v>0.0121</v>
      </c>
      <c r="D507" s="164">
        <v>0.0299</v>
      </c>
      <c r="E507" s="164">
        <v>-0.004010717515186755</v>
      </c>
      <c r="F507" s="210">
        <v>-295.34581261859785</v>
      </c>
      <c r="G507" s="209">
        <v>6605.431395148911</v>
      </c>
      <c r="H507" s="210">
        <v>11692.51500000001</v>
      </c>
      <c r="I507" s="210">
        <v>0.0</v>
      </c>
      <c r="J507" s="215">
        <v>4.167</v>
      </c>
      <c r="K507" s="221">
        <v>40.516</v>
      </c>
      <c r="L507" s="221">
        <v>175.88</v>
      </c>
      <c r="M507" s="221">
        <v>7.62</v>
      </c>
      <c r="N507" s="221">
        <v>107.71</v>
      </c>
      <c r="O507" s="213">
        <v>7.858397061164535E-4</v>
      </c>
      <c r="P507" s="214">
        <v>-0.005792500444654884</v>
      </c>
      <c r="Q507" s="214">
        <v>-0.0017694430765388496</v>
      </c>
      <c r="R507" s="214">
        <v>-9.233674286771945E-6</v>
      </c>
      <c r="S507" s="214">
        <v>7.523641026390138E-4</v>
      </c>
    </row>
    <row r="508">
      <c r="A508" s="208">
        <v>42873.0</v>
      </c>
      <c r="B508" s="220">
        <v>0.019170239171728918</v>
      </c>
      <c r="C508" s="220">
        <v>0.012066666666666667</v>
      </c>
      <c r="D508" s="220">
        <v>0.031236905838395588</v>
      </c>
      <c r="E508" s="220">
        <v>-0.004010717515186755</v>
      </c>
      <c r="F508" s="210">
        <v>-295.34581261859785</v>
      </c>
      <c r="G508" s="209">
        <v>6900.777207767509</v>
      </c>
      <c r="H508" s="134">
        <v>11591.095000000008</v>
      </c>
      <c r="I508" s="210">
        <v>0.0</v>
      </c>
      <c r="J508" s="215">
        <v>4.195</v>
      </c>
      <c r="K508" s="221">
        <v>40.479</v>
      </c>
      <c r="L508" s="221">
        <v>177.17</v>
      </c>
      <c r="M508" s="221">
        <v>7.58</v>
      </c>
      <c r="N508" s="221">
        <v>108.37</v>
      </c>
      <c r="O508" s="213">
        <v>0.002143614172925116</v>
      </c>
      <c r="P508" s="214">
        <v>-0.009404362861815377</v>
      </c>
      <c r="Q508" s="214">
        <v>-0.0013795308769237364</v>
      </c>
      <c r="R508" s="214">
        <v>-0.005696022825642855</v>
      </c>
      <c r="S508" s="214">
        <v>0.0012439209883351083</v>
      </c>
    </row>
    <row r="509">
      <c r="A509" s="208">
        <v>42872.0</v>
      </c>
      <c r="B509" s="220">
        <v>0.020540478343457836</v>
      </c>
      <c r="C509" s="220">
        <v>0.012033333333333333</v>
      </c>
      <c r="D509" s="220">
        <v>0.03257381167679117</v>
      </c>
      <c r="E509" s="220">
        <v>-0.004010717515186755</v>
      </c>
      <c r="F509" s="210">
        <v>-295.34581261859785</v>
      </c>
      <c r="G509" s="209">
        <v>7196.123020386107</v>
      </c>
      <c r="H509" s="134">
        <v>11591.095000000008</v>
      </c>
      <c r="I509" s="210">
        <v>0.0</v>
      </c>
      <c r="J509" s="215">
        <v>4.17</v>
      </c>
      <c r="K509" s="221">
        <v>40.514</v>
      </c>
      <c r="L509" s="221">
        <v>176.53</v>
      </c>
      <c r="M509" s="221">
        <v>7.62</v>
      </c>
      <c r="N509" s="221">
        <v>108.51</v>
      </c>
      <c r="O509" s="213">
        <v>-0.0022421099281397052</v>
      </c>
      <c r="P509" s="214">
        <v>-0.009060096903423945</v>
      </c>
      <c r="Q509" s="214">
        <v>-0.004476096391812308</v>
      </c>
      <c r="R509" s="214">
        <v>-0.003937007874015741</v>
      </c>
      <c r="S509" s="214">
        <v>0.0011805343424107217</v>
      </c>
    </row>
    <row r="510">
      <c r="A510" s="208">
        <v>42871.0</v>
      </c>
      <c r="B510" s="30">
        <v>0.021910717515186754</v>
      </c>
      <c r="C510" s="30">
        <v>0.012</v>
      </c>
      <c r="D510" s="164">
        <v>0.033910717515186754</v>
      </c>
      <c r="E510" s="164">
        <v>5.468744933845512E-4</v>
      </c>
      <c r="F510" s="210">
        <v>24.162822393368515</v>
      </c>
      <c r="G510" s="209">
        <v>7491.468833004705</v>
      </c>
      <c r="H510" s="134">
        <v>11591.095000000008</v>
      </c>
      <c r="I510" s="210">
        <v>0.0</v>
      </c>
      <c r="J510" s="215">
        <v>4.157</v>
      </c>
      <c r="K510" s="221">
        <v>41.22</v>
      </c>
      <c r="L510" s="221">
        <v>176.81</v>
      </c>
      <c r="M510" s="221">
        <v>7.62</v>
      </c>
      <c r="N510" s="221">
        <v>107.46</v>
      </c>
      <c r="O510" s="213">
        <v>-0.0020108323489643385</v>
      </c>
      <c r="P510" s="214">
        <v>-0.004476718793848478</v>
      </c>
      <c r="Q510" s="214">
        <v>-0.0036865467192555013</v>
      </c>
      <c r="R510" s="214">
        <v>-0.003937007874015741</v>
      </c>
      <c r="S510" s="214">
        <v>-0.0026307437260055058</v>
      </c>
    </row>
    <row r="511">
      <c r="A511" s="208">
        <v>42870.0</v>
      </c>
      <c r="B511" s="220">
        <v>0.021801342616509845</v>
      </c>
      <c r="C511" s="220">
        <v>0.012</v>
      </c>
      <c r="D511" s="220">
        <v>0.033801342616509855</v>
      </c>
      <c r="E511" s="220">
        <v>5.468744933845512E-4</v>
      </c>
      <c r="F511" s="210">
        <v>24.162822393367605</v>
      </c>
      <c r="G511" s="209">
        <v>7467.306010611336</v>
      </c>
      <c r="H511" s="134">
        <v>11591.095000000008</v>
      </c>
      <c r="I511" s="210">
        <v>0.0</v>
      </c>
      <c r="J511" s="215">
        <v>4.168</v>
      </c>
      <c r="K511" s="221">
        <v>41.629</v>
      </c>
      <c r="L511" s="221">
        <v>177.9</v>
      </c>
      <c r="M511" s="221">
        <v>7.71</v>
      </c>
      <c r="N511" s="221">
        <v>107.96</v>
      </c>
      <c r="O511" s="213">
        <v>-0.0027229195898327654</v>
      </c>
      <c r="P511" s="214">
        <v>-0.002485839766365072</v>
      </c>
      <c r="Q511" s="214">
        <v>-0.005379442568711812</v>
      </c>
      <c r="R511" s="214">
        <v>0.0012970168612191912</v>
      </c>
      <c r="S511" s="214">
        <v>-2.4883082173351073E-4</v>
      </c>
    </row>
    <row r="512">
      <c r="A512" s="208">
        <v>42867.0</v>
      </c>
      <c r="B512" s="220">
        <v>0.021691967717832935</v>
      </c>
      <c r="C512" s="220">
        <v>0.012</v>
      </c>
      <c r="D512" s="220">
        <v>0.03369196771783294</v>
      </c>
      <c r="E512" s="220">
        <v>5.468744933845512E-4</v>
      </c>
      <c r="F512" s="210">
        <v>24.162822393367605</v>
      </c>
      <c r="G512" s="209">
        <v>7443.143188217969</v>
      </c>
      <c r="H512" s="134">
        <v>11591.095000000008</v>
      </c>
      <c r="I512" s="210">
        <v>0.0</v>
      </c>
      <c r="J512" s="215">
        <v>4.198</v>
      </c>
      <c r="K512" s="221">
        <v>41.622</v>
      </c>
      <c r="L512" s="221">
        <v>178.91</v>
      </c>
      <c r="M512" s="221">
        <v>7.71</v>
      </c>
      <c r="N512" s="221">
        <v>108.12</v>
      </c>
      <c r="O512" s="213">
        <v>0.0012628587450125295</v>
      </c>
      <c r="P512" s="214">
        <v>-0.002327298161492427</v>
      </c>
      <c r="Q512" s="214">
        <v>-0.0024359924104102224</v>
      </c>
      <c r="R512" s="214">
        <v>0.003467155750108031</v>
      </c>
      <c r="S512" s="214">
        <v>0.0016335539815200602</v>
      </c>
    </row>
    <row r="513">
      <c r="A513" s="208">
        <v>42866.0</v>
      </c>
      <c r="B513" s="220">
        <v>0.021582592819156025</v>
      </c>
      <c r="C513" s="220">
        <v>0.012</v>
      </c>
      <c r="D513" s="220">
        <v>0.03358259281915603</v>
      </c>
      <c r="E513" s="220">
        <v>5.468744933845512E-4</v>
      </c>
      <c r="F513" s="210">
        <v>24.162822393367605</v>
      </c>
      <c r="G513" s="209">
        <v>7418.980365824601</v>
      </c>
      <c r="H513" s="134">
        <v>11591.095000000008</v>
      </c>
      <c r="I513" s="210">
        <v>0.0</v>
      </c>
      <c r="J513" s="215">
        <v>4.182</v>
      </c>
      <c r="K513" s="221">
        <v>41.775</v>
      </c>
      <c r="L513" s="221">
        <v>178.77</v>
      </c>
      <c r="M513" s="221">
        <v>7.71</v>
      </c>
      <c r="N513" s="221">
        <v>108.31</v>
      </c>
      <c r="O513" s="213">
        <v>-8.729417865042481E-5</v>
      </c>
      <c r="P513" s="214">
        <v>6.15859480265657E-4</v>
      </c>
      <c r="Q513" s="214">
        <v>-0.0023083954795216264</v>
      </c>
      <c r="R513" s="214">
        <v>0.00565151573263319</v>
      </c>
      <c r="S513" s="214">
        <v>4.5335950077829423E-4</v>
      </c>
    </row>
    <row r="514">
      <c r="A514" s="208">
        <v>42865.0</v>
      </c>
      <c r="B514" s="220">
        <v>0.021473217920479116</v>
      </c>
      <c r="C514" s="220">
        <v>0.012</v>
      </c>
      <c r="D514" s="220">
        <v>0.033473217920479116</v>
      </c>
      <c r="E514" s="220">
        <v>5.468744933845512E-4</v>
      </c>
      <c r="F514" s="210">
        <v>24.162822393367605</v>
      </c>
      <c r="G514" s="209">
        <v>7394.817543431233</v>
      </c>
      <c r="H514" s="134">
        <v>11591.095000000008</v>
      </c>
      <c r="I514" s="210">
        <v>0.0</v>
      </c>
      <c r="J514" s="215">
        <v>4.202</v>
      </c>
      <c r="K514" s="221">
        <v>41.94</v>
      </c>
      <c r="L514" s="221">
        <v>180.78</v>
      </c>
      <c r="M514" s="221">
        <v>7.68</v>
      </c>
      <c r="N514" s="221">
        <v>108.04</v>
      </c>
      <c r="O514" s="213">
        <v>0.0023037156548632773</v>
      </c>
      <c r="P514" s="214">
        <v>0.004738393643437977</v>
      </c>
      <c r="Q514" s="214">
        <v>0.003106103597504702</v>
      </c>
      <c r="R514" s="214">
        <v>0.0030352376576936826</v>
      </c>
      <c r="S514" s="214">
        <v>0.0016256164247548572</v>
      </c>
    </row>
    <row r="515">
      <c r="A515" s="208">
        <v>42864.0</v>
      </c>
      <c r="B515" s="220">
        <v>0.021363843021802206</v>
      </c>
      <c r="C515" s="220">
        <v>0.012</v>
      </c>
      <c r="D515" s="220">
        <v>0.0333638430218022</v>
      </c>
      <c r="E515" s="220">
        <v>-0.01404307411194139</v>
      </c>
      <c r="F515" s="210">
        <v>-620.4719907921135</v>
      </c>
      <c r="G515" s="209">
        <v>7370.654721037866</v>
      </c>
      <c r="H515" s="134">
        <v>11591.095000000008</v>
      </c>
      <c r="I515" s="210">
        <v>0.0</v>
      </c>
      <c r="J515" s="215">
        <v>4.182</v>
      </c>
      <c r="K515" s="221">
        <v>41.913</v>
      </c>
      <c r="L515" s="221">
        <v>180.21</v>
      </c>
      <c r="M515" s="221">
        <v>7.63</v>
      </c>
      <c r="N515" s="221">
        <v>107.59</v>
      </c>
      <c r="O515" s="213">
        <v>5.574123965965683E-4</v>
      </c>
      <c r="P515" s="214">
        <v>0.003282246361423343</v>
      </c>
      <c r="Q515" s="214">
        <v>6.778457269174624E-4</v>
      </c>
      <c r="R515" s="214">
        <v>8.650987688047692E-4</v>
      </c>
      <c r="S515" s="214">
        <v>-0.0011579773006818634</v>
      </c>
    </row>
    <row r="516">
      <c r="A516" s="208">
        <v>42863.0</v>
      </c>
      <c r="B516" s="220">
        <v>0.02417245784419049</v>
      </c>
      <c r="C516" s="220">
        <v>0.012</v>
      </c>
      <c r="D516" s="220">
        <v>0.036172457844190486</v>
      </c>
      <c r="E516" s="220">
        <v>-0.01404307411194139</v>
      </c>
      <c r="F516" s="210">
        <v>-620.4719907921108</v>
      </c>
      <c r="G516" s="209">
        <v>7991.126711829979</v>
      </c>
      <c r="H516" s="210">
        <v>8182.690000000004</v>
      </c>
      <c r="I516" s="210">
        <v>0.0</v>
      </c>
      <c r="J516" s="215">
        <v>4.183</v>
      </c>
      <c r="K516" s="221">
        <v>41.697</v>
      </c>
      <c r="L516" s="221">
        <v>180.0</v>
      </c>
      <c r="M516" s="221">
        <v>7.58</v>
      </c>
      <c r="N516" s="221">
        <v>108.16</v>
      </c>
      <c r="O516" s="213">
        <v>-0.004153300085660505</v>
      </c>
      <c r="P516" s="214">
        <v>0.0014840809706354225</v>
      </c>
      <c r="Q516" s="214">
        <v>-0.0019903942574345246</v>
      </c>
      <c r="R516" s="214">
        <v>-0.007013523149769441</v>
      </c>
      <c r="S516" s="214">
        <v>-0.005505389245379762</v>
      </c>
    </row>
    <row r="517">
      <c r="A517" s="208">
        <v>42860.0</v>
      </c>
      <c r="B517" s="220">
        <v>0.026981072666578766</v>
      </c>
      <c r="C517" s="220">
        <v>0.012</v>
      </c>
      <c r="D517" s="220">
        <v>0.03898107266657876</v>
      </c>
      <c r="E517" s="220">
        <v>-0.01404307411194139</v>
      </c>
      <c r="F517" s="210">
        <v>-620.4719907921099</v>
      </c>
      <c r="G517" s="209">
        <v>8611.59870262209</v>
      </c>
      <c r="H517" s="210">
        <v>8182.690000000004</v>
      </c>
      <c r="I517" s="210">
        <v>0.0</v>
      </c>
      <c r="J517" s="215">
        <v>4.173</v>
      </c>
      <c r="K517" s="221">
        <v>41.346</v>
      </c>
      <c r="L517" s="221">
        <v>179.1</v>
      </c>
      <c r="M517" s="221">
        <v>7.61</v>
      </c>
      <c r="N517" s="221">
        <v>107.51</v>
      </c>
      <c r="O517" s="213">
        <v>-0.002116646224522197</v>
      </c>
      <c r="P517" s="214">
        <v>-0.002140956032298839</v>
      </c>
      <c r="Q517" s="214">
        <v>-0.0037675154444524552</v>
      </c>
      <c r="R517" s="214">
        <v>-0.008278241264214467</v>
      </c>
      <c r="S517" s="214">
        <v>-0.009661283719288575</v>
      </c>
    </row>
    <row r="518">
      <c r="A518" s="208">
        <v>42859.0</v>
      </c>
      <c r="B518" s="220">
        <v>0.029789687488967043</v>
      </c>
      <c r="C518" s="220">
        <v>0.012</v>
      </c>
      <c r="D518" s="220">
        <v>0.04178968748896704</v>
      </c>
      <c r="E518" s="220">
        <v>-0.01404307411194139</v>
      </c>
      <c r="F518" s="210">
        <v>-620.4719907921099</v>
      </c>
      <c r="G518" s="209">
        <v>9232.0706934142</v>
      </c>
      <c r="H518" s="210">
        <v>8182.690000000004</v>
      </c>
      <c r="I518" s="210">
        <v>0.0</v>
      </c>
      <c r="J518" s="215">
        <v>4.175</v>
      </c>
      <c r="K518" s="221">
        <v>41.5</v>
      </c>
      <c r="L518" s="221">
        <v>179.84</v>
      </c>
      <c r="M518" s="221">
        <v>7.61</v>
      </c>
      <c r="N518" s="221">
        <v>107.96</v>
      </c>
      <c r="O518" s="213">
        <v>-0.0034651846813619582</v>
      </c>
      <c r="P518" s="214">
        <v>-5.148965550978435E-4</v>
      </c>
      <c r="Q518" s="214">
        <v>-0.002574288677267426</v>
      </c>
      <c r="R518" s="214">
        <v>-0.0065688395548127625</v>
      </c>
      <c r="S518" s="214">
        <v>-0.012122067079899379</v>
      </c>
    </row>
    <row r="519">
      <c r="A519" s="208">
        <v>42858.0</v>
      </c>
      <c r="B519" s="220">
        <v>0.03259830231135532</v>
      </c>
      <c r="C519" s="220">
        <v>0.012</v>
      </c>
      <c r="D519" s="220">
        <v>0.044598302311355316</v>
      </c>
      <c r="E519" s="220">
        <v>-0.01404307411194139</v>
      </c>
      <c r="F519" s="210">
        <v>-620.4719907921099</v>
      </c>
      <c r="G519" s="209">
        <v>9852.54268420631</v>
      </c>
      <c r="H519" s="210">
        <v>8182.690000000004</v>
      </c>
      <c r="I519" s="210">
        <v>0.0</v>
      </c>
      <c r="J519" s="215">
        <v>4.235</v>
      </c>
      <c r="K519" s="221">
        <v>41.51</v>
      </c>
      <c r="L519" s="221">
        <v>181.07</v>
      </c>
      <c r="M519" s="221">
        <v>7.74</v>
      </c>
      <c r="N519" s="221">
        <v>109.94</v>
      </c>
      <c r="O519" s="213">
        <v>-3.343198108184768E-4</v>
      </c>
      <c r="P519" s="214">
        <v>-0.0018300136300766212</v>
      </c>
      <c r="Q519" s="214">
        <v>-0.0015635899632800616</v>
      </c>
      <c r="R519" s="214">
        <v>-4.450243541588665E-4</v>
      </c>
      <c r="S519" s="214">
        <v>-0.0062171553788030005</v>
      </c>
    </row>
    <row r="520">
      <c r="A520" s="208">
        <v>42857.0</v>
      </c>
      <c r="B520" s="30">
        <v>0.035406917133743596</v>
      </c>
      <c r="C520" s="30">
        <v>0.012</v>
      </c>
      <c r="D520" s="164">
        <v>0.04740691713374359</v>
      </c>
      <c r="E520" s="164">
        <v>-1.994398679431436E-4</v>
      </c>
      <c r="F520" s="210">
        <v>3631.20423011157</v>
      </c>
      <c r="G520" s="209">
        <v>10473.01467499842</v>
      </c>
      <c r="H520" s="210">
        <v>8182.690000000004</v>
      </c>
      <c r="I520" s="210">
        <v>0.0</v>
      </c>
      <c r="J520" s="215">
        <v>4.199</v>
      </c>
      <c r="K520" s="221">
        <v>41.612</v>
      </c>
      <c r="L520" s="221">
        <v>181.13</v>
      </c>
      <c r="M520" s="221">
        <v>7.8</v>
      </c>
      <c r="N520" s="221">
        <v>110.65</v>
      </c>
      <c r="O520" s="213">
        <v>-0.00230286603723003</v>
      </c>
      <c r="P520" s="214">
        <v>-0.0023206915850813026</v>
      </c>
      <c r="Q520" s="214">
        <v>-3.72074170574684E-4</v>
      </c>
      <c r="R520" s="214">
        <v>-0.0013019052410472298</v>
      </c>
      <c r="S520" s="214">
        <v>-0.0033501803188135484</v>
      </c>
    </row>
    <row r="521">
      <c r="A521" s="208">
        <v>42853.0</v>
      </c>
      <c r="B521" s="30">
        <v>0.018969988190681228</v>
      </c>
      <c r="C521" s="30">
        <v>0.012</v>
      </c>
      <c r="D521" s="164">
        <v>0.030969988190681228</v>
      </c>
      <c r="E521" s="164">
        <v>8.180781288390192E-4</v>
      </c>
      <c r="F521" s="210">
        <v>-3675.2639747656167</v>
      </c>
      <c r="G521" s="209">
        <v>6841.81044488685</v>
      </c>
      <c r="H521" s="210">
        <v>2470.88</v>
      </c>
      <c r="I521" s="210">
        <v>0.0</v>
      </c>
      <c r="J521" s="215">
        <v>4.218</v>
      </c>
      <c r="K521" s="221">
        <v>41.564</v>
      </c>
      <c r="L521" s="221">
        <v>181.23</v>
      </c>
      <c r="M521" s="221">
        <v>7.76</v>
      </c>
      <c r="N521" s="221">
        <v>111.93</v>
      </c>
      <c r="O521" s="213">
        <v>1.515033824685356E-4</v>
      </c>
      <c r="P521" s="214">
        <v>5.006970607368544E-4</v>
      </c>
      <c r="Q521" s="214">
        <v>0.0012825709845419493</v>
      </c>
      <c r="R521" s="214">
        <v>0.0012458237434633073</v>
      </c>
      <c r="S521" s="214">
        <v>0.0013707707907824052</v>
      </c>
    </row>
    <row r="522">
      <c r="A522" s="208">
        <v>42852.0</v>
      </c>
      <c r="B522" s="220">
        <v>0.03560635700168673</v>
      </c>
      <c r="C522" s="220">
        <v>0.012</v>
      </c>
      <c r="D522" s="220">
        <v>0.047606357001686736</v>
      </c>
      <c r="E522" s="220">
        <v>0.016636368811005508</v>
      </c>
      <c r="F522" s="210">
        <v>385.5991699043825</v>
      </c>
      <c r="G522" s="209">
        <v>10517.074419652467</v>
      </c>
      <c r="H522" s="134">
        <v>2470.88</v>
      </c>
      <c r="I522" s="210">
        <v>0.0</v>
      </c>
      <c r="J522" s="215">
        <v>4.239</v>
      </c>
      <c r="K522" s="221">
        <v>41.738</v>
      </c>
      <c r="L522" s="221">
        <v>181.92</v>
      </c>
      <c r="M522" s="221">
        <v>7.75</v>
      </c>
      <c r="N522" s="221">
        <v>112.0</v>
      </c>
      <c r="O522" s="213">
        <v>-0.002537455925386197</v>
      </c>
      <c r="P522" s="214">
        <v>0.0020648141841999035</v>
      </c>
      <c r="Q522" s="214">
        <v>-4.025877548523571E-4</v>
      </c>
      <c r="R522" s="214">
        <v>-0.0013398312891449808</v>
      </c>
      <c r="S522" s="214">
        <v>-0.0024876296153056496</v>
      </c>
    </row>
    <row r="523">
      <c r="A523" s="208">
        <v>42851.0</v>
      </c>
      <c r="B523" s="220">
        <v>0.03386091230770228</v>
      </c>
      <c r="C523" s="220">
        <v>0.012</v>
      </c>
      <c r="D523" s="220">
        <v>0.04586091230770228</v>
      </c>
      <c r="E523" s="220">
        <v>0.016636368811005508</v>
      </c>
      <c r="F523" s="210">
        <v>385.5991699043807</v>
      </c>
      <c r="G523" s="209">
        <v>10131.475249748084</v>
      </c>
      <c r="H523" s="210">
        <v>8461.055</v>
      </c>
      <c r="I523" s="210">
        <v>0.0</v>
      </c>
      <c r="J523" s="215">
        <v>4.228</v>
      </c>
      <c r="K523" s="221">
        <v>41.902</v>
      </c>
      <c r="L523" s="221">
        <v>181.33</v>
      </c>
      <c r="M523" s="221">
        <v>7.83</v>
      </c>
      <c r="N523" s="221">
        <v>111.76</v>
      </c>
      <c r="O523" s="213">
        <v>-0.011441150489693111</v>
      </c>
      <c r="P523" s="214">
        <v>9.475824709866965E-4</v>
      </c>
      <c r="Q523" s="214">
        <v>-0.008017443569566277</v>
      </c>
      <c r="R523" s="214">
        <v>-0.003897257278032954</v>
      </c>
      <c r="S523" s="214">
        <v>-0.010883087594650879</v>
      </c>
    </row>
    <row r="524">
      <c r="A524" s="208">
        <v>42850.0</v>
      </c>
      <c r="B524" s="220">
        <v>0.03211546761371783</v>
      </c>
      <c r="C524" s="220">
        <v>0.012</v>
      </c>
      <c r="D524" s="220">
        <v>0.044115467613717825</v>
      </c>
      <c r="E524" s="220">
        <v>0.016636368811005508</v>
      </c>
      <c r="F524" s="210">
        <v>385.5991699043807</v>
      </c>
      <c r="G524" s="209">
        <v>9745.876079843703</v>
      </c>
      <c r="H524" s="210">
        <v>8461.055</v>
      </c>
      <c r="I524" s="210">
        <v>0.0</v>
      </c>
      <c r="J524" s="215">
        <v>4.216</v>
      </c>
      <c r="K524" s="221">
        <v>41.499</v>
      </c>
      <c r="L524" s="221">
        <v>180.53</v>
      </c>
      <c r="M524" s="221">
        <v>7.73</v>
      </c>
      <c r="N524" s="221">
        <v>111.47</v>
      </c>
      <c r="O524" s="213">
        <v>-0.008653037421690213</v>
      </c>
      <c r="P524" s="214">
        <v>4.223978282576664E-4</v>
      </c>
      <c r="Q524" s="214">
        <v>-0.006454492153612564</v>
      </c>
      <c r="R524" s="214">
        <v>-0.00941701423457153</v>
      </c>
      <c r="S524" s="214">
        <v>-0.008860283254885193</v>
      </c>
    </row>
    <row r="525">
      <c r="A525" s="208">
        <v>42849.0</v>
      </c>
      <c r="B525" s="220">
        <v>0.030370022919733373</v>
      </c>
      <c r="C525" s="220">
        <v>0.012</v>
      </c>
      <c r="D525" s="220">
        <v>0.04237002291973337</v>
      </c>
      <c r="E525" s="220">
        <v>0.016636368811005508</v>
      </c>
      <c r="F525" s="210">
        <v>385.5991699043807</v>
      </c>
      <c r="G525" s="209">
        <v>9360.276909939323</v>
      </c>
      <c r="H525" s="210">
        <v>8461.055</v>
      </c>
      <c r="I525" s="210">
        <v>0.0</v>
      </c>
      <c r="J525" s="215">
        <v>4.271</v>
      </c>
      <c r="K525" s="221">
        <v>41.478</v>
      </c>
      <c r="L525" s="221">
        <v>182.13</v>
      </c>
      <c r="M525" s="221">
        <v>7.78</v>
      </c>
      <c r="N525" s="221">
        <v>112.83</v>
      </c>
      <c r="O525" s="213">
        <v>-0.007079090296690627</v>
      </c>
      <c r="P525" s="214">
        <v>-0.0017409403952410862</v>
      </c>
      <c r="Q525" s="214">
        <v>-0.006000091995561618</v>
      </c>
      <c r="R525" s="214">
        <v>-0.011034497372228355</v>
      </c>
      <c r="S525" s="214">
        <v>-0.006249913734715173</v>
      </c>
    </row>
    <row r="526">
      <c r="A526" s="208">
        <v>42846.0</v>
      </c>
      <c r="B526" s="220">
        <v>0.02862457822574892</v>
      </c>
      <c r="C526" s="220">
        <v>0.012</v>
      </c>
      <c r="D526" s="220">
        <v>0.04062457822574892</v>
      </c>
      <c r="E526" s="220">
        <v>0.016636368811005508</v>
      </c>
      <c r="F526" s="210">
        <v>385.5991699043807</v>
      </c>
      <c r="G526" s="209">
        <v>8974.677740034942</v>
      </c>
      <c r="H526" s="210">
        <v>8461.055</v>
      </c>
      <c r="I526" s="210">
        <v>0.0</v>
      </c>
      <c r="J526" s="215">
        <v>4.374</v>
      </c>
      <c r="K526" s="221">
        <v>41.78</v>
      </c>
      <c r="L526" s="221">
        <v>185.7</v>
      </c>
      <c r="M526" s="221">
        <v>7.92</v>
      </c>
      <c r="N526" s="221">
        <v>115.43</v>
      </c>
      <c r="O526" s="213">
        <v>-7.983861856455757E-4</v>
      </c>
      <c r="P526" s="214">
        <v>0.0018213587444816381</v>
      </c>
      <c r="Q526" s="214">
        <v>-4.0126338088578944E-4</v>
      </c>
      <c r="R526" s="214">
        <v>-0.005036211168286601</v>
      </c>
      <c r="S526" s="214">
        <v>-0.0023101492831073176</v>
      </c>
    </row>
    <row r="527">
      <c r="A527" s="208">
        <v>42845.0</v>
      </c>
      <c r="B527" s="220">
        <v>0.02687913353176447</v>
      </c>
      <c r="C527" s="220">
        <v>0.012</v>
      </c>
      <c r="D527" s="220">
        <v>0.03887913353176447</v>
      </c>
      <c r="E527" s="220">
        <v>0.016636368811005508</v>
      </c>
      <c r="F527" s="210">
        <v>385.5991699043807</v>
      </c>
      <c r="G527" s="209">
        <v>8589.078570130561</v>
      </c>
      <c r="H527" s="210">
        <v>8461.055</v>
      </c>
      <c r="I527" s="210">
        <v>0.0</v>
      </c>
      <c r="J527" s="215">
        <v>4.325</v>
      </c>
      <c r="K527" s="221">
        <v>41.444</v>
      </c>
      <c r="L527" s="221">
        <v>184.01</v>
      </c>
      <c r="M527" s="221">
        <v>7.95</v>
      </c>
      <c r="N527" s="221">
        <v>114.43</v>
      </c>
      <c r="O527" s="213">
        <v>-0.0034680961617596187</v>
      </c>
      <c r="P527" s="214">
        <v>-0.0040202001095389255</v>
      </c>
      <c r="Q527" s="214">
        <v>-0.004152022972464753</v>
      </c>
      <c r="R527" s="214">
        <v>-0.010407084076472875</v>
      </c>
      <c r="S527" s="214">
        <v>-0.005169221085732441</v>
      </c>
    </row>
    <row r="528">
      <c r="A528" s="208">
        <v>42844.0</v>
      </c>
      <c r="B528" s="220">
        <v>0.025133688837780017</v>
      </c>
      <c r="C528" s="220">
        <v>0.012</v>
      </c>
      <c r="D528" s="220">
        <v>0.03713368883778002</v>
      </c>
      <c r="E528" s="220">
        <v>0.016636368811005508</v>
      </c>
      <c r="F528" s="210">
        <v>385.5991699043807</v>
      </c>
      <c r="G528" s="209">
        <v>8203.47940022618</v>
      </c>
      <c r="H528" s="210">
        <v>8461.055</v>
      </c>
      <c r="I528" s="210">
        <v>0.0</v>
      </c>
      <c r="J528" s="215">
        <v>4.361</v>
      </c>
      <c r="K528" s="221">
        <v>41.692</v>
      </c>
      <c r="L528" s="221">
        <v>185.39</v>
      </c>
      <c r="M528" s="221">
        <v>8.04</v>
      </c>
      <c r="N528" s="221">
        <v>114.93</v>
      </c>
      <c r="O528" s="213">
        <v>-8.3308482584273E-5</v>
      </c>
      <c r="P528" s="214">
        <v>-0.0022957421879431874</v>
      </c>
      <c r="Q528" s="214">
        <v>-0.0012227669608873744</v>
      </c>
      <c r="R528" s="214">
        <v>-0.005820491040731272</v>
      </c>
      <c r="S528" s="214">
        <v>-0.0018196020607542291</v>
      </c>
    </row>
    <row r="529">
      <c r="A529" s="208">
        <v>42843.0</v>
      </c>
      <c r="B529" s="220">
        <v>0.023388244143795565</v>
      </c>
      <c r="C529" s="220">
        <v>0.012</v>
      </c>
      <c r="D529" s="220">
        <v>0.035388244143795565</v>
      </c>
      <c r="E529" s="220">
        <v>0.016636368811005508</v>
      </c>
      <c r="F529" s="210">
        <v>385.5991699043807</v>
      </c>
      <c r="G529" s="209">
        <v>7817.8802303218</v>
      </c>
      <c r="H529" s="210">
        <v>8461.055</v>
      </c>
      <c r="I529" s="210">
        <v>0.0</v>
      </c>
      <c r="J529" s="215">
        <v>4.384</v>
      </c>
      <c r="K529" s="221">
        <v>41.55</v>
      </c>
      <c r="L529" s="221">
        <v>185.91</v>
      </c>
      <c r="M529" s="221">
        <v>8.04</v>
      </c>
      <c r="N529" s="221">
        <v>116.22</v>
      </c>
      <c r="O529" s="213">
        <v>0.0028209612728582467</v>
      </c>
      <c r="P529" s="214">
        <v>-0.0026369851862580638</v>
      </c>
      <c r="Q529" s="214">
        <v>6.616624303676932E-4</v>
      </c>
      <c r="R529" s="214">
        <v>-0.004190499190690551</v>
      </c>
      <c r="S529" s="214">
        <v>0.0029026221381006265</v>
      </c>
    </row>
    <row r="530">
      <c r="A530" s="208">
        <v>42838.0</v>
      </c>
      <c r="B530" s="220">
        <v>0.021642799449811113</v>
      </c>
      <c r="C530" s="220">
        <v>0.012</v>
      </c>
      <c r="D530" s="220">
        <v>0.03364279944981111</v>
      </c>
      <c r="E530" s="220">
        <v>0.016636368811005508</v>
      </c>
      <c r="F530" s="210">
        <v>385.5991699043807</v>
      </c>
      <c r="G530" s="209">
        <v>7432.281060417419</v>
      </c>
      <c r="H530" s="210">
        <v>8461.055</v>
      </c>
      <c r="I530" s="210">
        <v>0.0</v>
      </c>
      <c r="J530" s="215">
        <v>4.37</v>
      </c>
      <c r="K530" s="221">
        <v>41.944</v>
      </c>
      <c r="L530" s="221">
        <v>186.31</v>
      </c>
      <c r="M530" s="221">
        <v>8.2</v>
      </c>
      <c r="N530" s="221">
        <v>116.21</v>
      </c>
      <c r="O530" s="213">
        <v>0.0037501965258531778</v>
      </c>
      <c r="P530" s="214">
        <v>-0.002325681902314377</v>
      </c>
      <c r="Q530" s="214">
        <v>0.0021334096113408605</v>
      </c>
      <c r="R530" s="214">
        <v>0.0012144987516207924</v>
      </c>
      <c r="S530" s="214">
        <v>0.007040245909611387</v>
      </c>
    </row>
    <row r="531">
      <c r="A531" s="208">
        <v>42837.0</v>
      </c>
      <c r="B531" s="220">
        <v>0.01989735475582666</v>
      </c>
      <c r="C531" s="220">
        <v>0.012</v>
      </c>
      <c r="D531" s="220">
        <v>0.03189735475582666</v>
      </c>
      <c r="E531" s="220">
        <v>0.016636368811005508</v>
      </c>
      <c r="F531" s="210">
        <v>385.5991699043807</v>
      </c>
      <c r="G531" s="209">
        <v>7046.6818905130385</v>
      </c>
      <c r="H531" s="210">
        <v>8461.055</v>
      </c>
      <c r="I531" s="210">
        <v>0.0</v>
      </c>
      <c r="J531" s="215">
        <v>4.362</v>
      </c>
      <c r="K531" s="221">
        <v>41.978</v>
      </c>
      <c r="L531" s="221">
        <v>186.07</v>
      </c>
      <c r="M531" s="221">
        <v>8.18</v>
      </c>
      <c r="N531" s="221">
        <v>115.55</v>
      </c>
      <c r="O531" s="213">
        <v>0.0029856900471956216</v>
      </c>
      <c r="P531" s="214">
        <v>-0.0015188133814019917</v>
      </c>
      <c r="Q531" s="214">
        <v>0.0012718656200366718</v>
      </c>
      <c r="R531" s="214">
        <v>8.094873575655489E-4</v>
      </c>
      <c r="S531" s="214">
        <v>0.002480923509027918</v>
      </c>
    </row>
    <row r="532">
      <c r="A532" s="208">
        <v>42836.0</v>
      </c>
      <c r="B532" s="30">
        <v>0.01815191006184221</v>
      </c>
      <c r="C532" s="30">
        <v>0.012</v>
      </c>
      <c r="D532" s="164">
        <v>0.03015191006184221</v>
      </c>
      <c r="E532" s="164">
        <v>4.2582717469073425E-4</v>
      </c>
      <c r="F532" s="210">
        <v>94.07264844848578</v>
      </c>
      <c r="G532" s="209">
        <v>6661.082720608658</v>
      </c>
      <c r="H532" s="210">
        <v>8461.055</v>
      </c>
      <c r="I532" s="210">
        <v>0.0</v>
      </c>
      <c r="J532" s="215">
        <v>4.347</v>
      </c>
      <c r="K532" s="221">
        <v>41.878</v>
      </c>
      <c r="L532" s="221">
        <v>185.54</v>
      </c>
      <c r="M532" s="221">
        <v>8.14</v>
      </c>
      <c r="N532" s="221">
        <v>115.21</v>
      </c>
      <c r="O532" s="213">
        <v>0.005694774231966811</v>
      </c>
      <c r="P532" s="214">
        <v>-0.0017437281511959075</v>
      </c>
      <c r="Q532" s="214">
        <v>0.0022106196791242816</v>
      </c>
      <c r="R532" s="214">
        <v>8.134824356293979E-4</v>
      </c>
      <c r="S532" s="214">
        <v>0.0064995257958722075</v>
      </c>
    </row>
    <row r="533">
      <c r="A533" s="208">
        <v>42835.0</v>
      </c>
      <c r="B533" s="30">
        <v>0.017726082887151474</v>
      </c>
      <c r="C533" s="30">
        <v>0.012</v>
      </c>
      <c r="D533" s="164">
        <v>0.029726082887151475</v>
      </c>
      <c r="E533" s="164">
        <v>-2.3056632132145705E-6</v>
      </c>
      <c r="F533" s="210">
        <v>-0.16978706995814719</v>
      </c>
      <c r="G533" s="209">
        <v>6567.010072160172</v>
      </c>
      <c r="H533" s="210">
        <v>8461.055</v>
      </c>
      <c r="I533" s="210">
        <v>0.0</v>
      </c>
      <c r="J533" s="215">
        <v>4.321</v>
      </c>
      <c r="K533" s="221">
        <v>42.236</v>
      </c>
      <c r="L533" s="221">
        <v>185.12</v>
      </c>
      <c r="M533" s="221">
        <v>8.17</v>
      </c>
      <c r="N533" s="221">
        <v>113.77</v>
      </c>
      <c r="O533" s="213">
        <v>0.0029989792475512513</v>
      </c>
      <c r="P533" s="214">
        <v>-8.194236156030173E-5</v>
      </c>
      <c r="Q533" s="214">
        <v>0.0017273474842191365</v>
      </c>
      <c r="R533" s="214">
        <v>0.0020419836641306643</v>
      </c>
      <c r="S533" s="214">
        <v>0.003307016821620712</v>
      </c>
    </row>
    <row r="534">
      <c r="A534" s="208">
        <v>42832.0</v>
      </c>
      <c r="B534" s="220">
        <v>0.017726851441555877</v>
      </c>
      <c r="C534" s="220">
        <v>0.012</v>
      </c>
      <c r="D534" s="220">
        <v>0.029726851441555877</v>
      </c>
      <c r="E534" s="220">
        <v>-2.3056632132145705E-6</v>
      </c>
      <c r="F534" s="210">
        <v>-0.1697870699572377</v>
      </c>
      <c r="G534" s="209">
        <v>6567.17985923013</v>
      </c>
      <c r="H534" s="210">
        <v>8461.055</v>
      </c>
      <c r="I534" s="210">
        <v>0.0</v>
      </c>
      <c r="J534" s="215">
        <v>4.323</v>
      </c>
      <c r="K534" s="221">
        <v>42.168</v>
      </c>
      <c r="L534" s="221">
        <v>185.36</v>
      </c>
      <c r="M534" s="221">
        <v>8.16</v>
      </c>
      <c r="N534" s="221">
        <v>114.68</v>
      </c>
      <c r="O534" s="213">
        <v>0.0026861930590882377</v>
      </c>
      <c r="P534" s="214">
        <v>0.0014013057565300802</v>
      </c>
      <c r="Q534" s="214">
        <v>0.0021232991963199277</v>
      </c>
      <c r="R534" s="214">
        <v>0.003686532084098008</v>
      </c>
      <c r="S534" s="214">
        <v>0.0038719391431886554</v>
      </c>
    </row>
    <row r="535">
      <c r="A535" s="208">
        <v>42831.0</v>
      </c>
      <c r="B535" s="220">
        <v>0.017727619995960283</v>
      </c>
      <c r="C535" s="220">
        <v>0.012</v>
      </c>
      <c r="D535" s="220">
        <v>0.029727619995960283</v>
      </c>
      <c r="E535" s="220">
        <v>-2.3056632132145705E-6</v>
      </c>
      <c r="F535" s="210">
        <v>-0.1697870699572377</v>
      </c>
      <c r="G535" s="209">
        <v>6567.349646300087</v>
      </c>
      <c r="H535" s="210">
        <v>8461.055</v>
      </c>
      <c r="I535" s="210">
        <v>0.0</v>
      </c>
      <c r="J535" s="215">
        <v>4.273</v>
      </c>
      <c r="K535" s="221">
        <v>42.096</v>
      </c>
      <c r="L535" s="221">
        <v>184.31</v>
      </c>
      <c r="M535" s="221">
        <v>8.12</v>
      </c>
      <c r="N535" s="221">
        <v>112.96</v>
      </c>
      <c r="O535" s="213">
        <v>-0.0028016169942766864</v>
      </c>
      <c r="P535" s="214">
        <v>0.0017212543724588099</v>
      </c>
      <c r="Q535" s="214">
        <v>-3.2596368052117963E-4</v>
      </c>
      <c r="R535" s="214">
        <v>0.0024655976136554645</v>
      </c>
      <c r="S535" s="214">
        <v>-4.510487308704292E-4</v>
      </c>
    </row>
    <row r="536">
      <c r="A536" s="208">
        <v>42830.0</v>
      </c>
      <c r="B536" s="30">
        <v>0.01772838855036469</v>
      </c>
      <c r="C536" s="30">
        <v>0.012</v>
      </c>
      <c r="D536" s="164">
        <v>0.02972838855036469</v>
      </c>
      <c r="E536" s="164">
        <v>6.484677787168408E-5</v>
      </c>
      <c r="F536" s="210">
        <v>0.682180191788575</v>
      </c>
      <c r="G536" s="209">
        <v>6567.519433370045</v>
      </c>
      <c r="H536" s="210">
        <v>8461.055</v>
      </c>
      <c r="I536" s="210">
        <v>0.0</v>
      </c>
      <c r="J536" s="215">
        <v>4.282</v>
      </c>
      <c r="K536" s="221">
        <v>42.246</v>
      </c>
      <c r="L536" s="221">
        <v>184.16</v>
      </c>
      <c r="M536" s="221">
        <v>8.12</v>
      </c>
      <c r="N536" s="221">
        <v>112.63</v>
      </c>
      <c r="O536" s="213">
        <v>0.0034702036096797193</v>
      </c>
      <c r="P536" s="214">
        <v>0.001476282502621958</v>
      </c>
      <c r="Q536" s="214">
        <v>0.0024020134594814704</v>
      </c>
      <c r="R536" s="214">
        <v>0.003292727473043433</v>
      </c>
      <c r="S536" s="214">
        <v>0.0014926691596335306</v>
      </c>
    </row>
    <row r="537">
      <c r="A537" s="208">
        <v>42829.0</v>
      </c>
      <c r="B537" s="220">
        <v>0.017725300608561242</v>
      </c>
      <c r="C537" s="220">
        <v>0.012</v>
      </c>
      <c r="D537" s="220">
        <v>0.029725300608561243</v>
      </c>
      <c r="E537" s="220">
        <v>6.484677787168408E-5</v>
      </c>
      <c r="F537" s="210">
        <v>0.6821801917949415</v>
      </c>
      <c r="G537" s="209">
        <v>6566.837253178256</v>
      </c>
      <c r="H537" s="210">
        <v>8461.055</v>
      </c>
      <c r="I537" s="210">
        <v>0.0</v>
      </c>
      <c r="J537" s="215">
        <v>4.288</v>
      </c>
      <c r="K537" s="221">
        <v>41.99</v>
      </c>
      <c r="L537" s="221">
        <v>184.18</v>
      </c>
      <c r="M537" s="221">
        <v>8.07</v>
      </c>
      <c r="N537" s="221">
        <v>113.34</v>
      </c>
      <c r="O537" s="213">
        <v>0.00377993103888589</v>
      </c>
      <c r="P537" s="214">
        <v>3.915838493070793E-4</v>
      </c>
      <c r="Q537" s="214">
        <v>0.003477430623663643</v>
      </c>
      <c r="R537" s="214">
        <v>4.1099492069840426E-4</v>
      </c>
      <c r="S537" s="214">
        <v>0.0038912452340435313</v>
      </c>
    </row>
    <row r="538">
      <c r="A538" s="208">
        <v>42828.0</v>
      </c>
      <c r="B538" s="220">
        <v>0.01772221266675783</v>
      </c>
      <c r="C538" s="220">
        <v>0.012</v>
      </c>
      <c r="D538" s="220">
        <v>0.02972221266675783</v>
      </c>
      <c r="E538" s="220">
        <v>6.484677787168408E-5</v>
      </c>
      <c r="F538" s="210">
        <v>0.6821801917949415</v>
      </c>
      <c r="G538" s="209">
        <v>6566.155072986461</v>
      </c>
      <c r="H538" s="210">
        <v>8461.055</v>
      </c>
      <c r="I538" s="210">
        <v>0.0</v>
      </c>
      <c r="J538" s="215">
        <v>4.309</v>
      </c>
      <c r="K538" s="221">
        <v>41.878</v>
      </c>
      <c r="L538" s="221">
        <v>184.49</v>
      </c>
      <c r="M538" s="221">
        <v>8.06</v>
      </c>
      <c r="N538" s="221">
        <v>113.11</v>
      </c>
      <c r="O538" s="213">
        <v>0.005333758827285188</v>
      </c>
      <c r="P538" s="214">
        <v>0.0019265811874641752</v>
      </c>
      <c r="Q538" s="214">
        <v>0.004733453848287716</v>
      </c>
      <c r="R538" s="214">
        <v>0.0020657671115061524</v>
      </c>
      <c r="S538" s="214">
        <v>0.003214814435855177</v>
      </c>
    </row>
    <row r="539">
      <c r="A539" s="208">
        <v>42825.0</v>
      </c>
      <c r="B539" s="220">
        <v>0.01771912472495442</v>
      </c>
      <c r="C539" s="220">
        <v>0.012</v>
      </c>
      <c r="D539" s="220">
        <v>0.02971912472495442</v>
      </c>
      <c r="E539" s="220">
        <v>6.484677787168408E-5</v>
      </c>
      <c r="F539" s="210">
        <v>0.6821801917949415</v>
      </c>
      <c r="G539" s="209">
        <v>6565.472892794666</v>
      </c>
      <c r="H539" s="210">
        <v>8461.055</v>
      </c>
      <c r="I539" s="210">
        <v>0.0</v>
      </c>
      <c r="J539" s="215">
        <v>4.237</v>
      </c>
      <c r="K539" s="221">
        <v>42.058</v>
      </c>
      <c r="L539" s="221">
        <v>182.83</v>
      </c>
      <c r="M539" s="221">
        <v>8.04</v>
      </c>
      <c r="N539" s="221">
        <v>112.12</v>
      </c>
      <c r="O539" s="213">
        <v>0.002436977043947334</v>
      </c>
      <c r="P539" s="214">
        <v>0.007562508792553861</v>
      </c>
      <c r="Q539" s="214">
        <v>0.004648203866038665</v>
      </c>
      <c r="R539" s="214">
        <v>0.005816248571302474</v>
      </c>
      <c r="S539" s="214">
        <v>0.0022909921140468934</v>
      </c>
    </row>
    <row r="540">
      <c r="A540" s="208">
        <v>42824.0</v>
      </c>
      <c r="B540" s="220">
        <v>0.017716036783151007</v>
      </c>
      <c r="C540" s="220">
        <v>0.012</v>
      </c>
      <c r="D540" s="220">
        <v>0.029716036783151007</v>
      </c>
      <c r="E540" s="220">
        <v>6.484677787168408E-5</v>
      </c>
      <c r="F540" s="210">
        <v>0.6821801917949415</v>
      </c>
      <c r="G540" s="209">
        <v>6564.790712602871</v>
      </c>
      <c r="H540" s="210">
        <v>8461.055</v>
      </c>
      <c r="I540" s="210">
        <v>0.0</v>
      </c>
      <c r="J540" s="215">
        <v>4.239</v>
      </c>
      <c r="K540" s="221">
        <v>41.94</v>
      </c>
      <c r="L540" s="221">
        <v>182.26</v>
      </c>
      <c r="M540" s="221">
        <v>8.06</v>
      </c>
      <c r="N540" s="221">
        <v>112.02</v>
      </c>
      <c r="O540" s="213">
        <v>0.0033868397008625837</v>
      </c>
      <c r="P540" s="214">
        <v>0.009238173720597579</v>
      </c>
      <c r="Q540" s="214">
        <v>0.0029249040559207184</v>
      </c>
      <c r="R540" s="214">
        <v>0.010020963393814494</v>
      </c>
      <c r="S540" s="214">
        <v>0.0033407953296769786</v>
      </c>
    </row>
    <row r="541">
      <c r="A541" s="208">
        <v>42823.0</v>
      </c>
      <c r="B541" s="220">
        <v>0.017712948841347595</v>
      </c>
      <c r="C541" s="220">
        <v>0.012</v>
      </c>
      <c r="D541" s="220">
        <v>0.029712948841347595</v>
      </c>
      <c r="E541" s="220">
        <v>6.484677787168408E-5</v>
      </c>
      <c r="F541" s="210">
        <v>0.6821801917949415</v>
      </c>
      <c r="G541" s="209">
        <v>6564.108532411076</v>
      </c>
      <c r="H541" s="210">
        <v>8461.055</v>
      </c>
      <c r="I541" s="210">
        <v>0.0</v>
      </c>
      <c r="J541" s="215">
        <v>4.24</v>
      </c>
      <c r="K541" s="221">
        <v>41.635</v>
      </c>
      <c r="L541" s="221">
        <v>181.88</v>
      </c>
      <c r="M541" s="221">
        <v>8.01</v>
      </c>
      <c r="N541" s="221">
        <v>112.02</v>
      </c>
      <c r="O541" s="213">
        <v>0.002353304278089848</v>
      </c>
      <c r="P541" s="214">
        <v>0.0027442513447634522</v>
      </c>
      <c r="Q541" s="214">
        <v>0.0018978106092587543</v>
      </c>
      <c r="R541" s="214">
        <v>0.004543079069300367</v>
      </c>
      <c r="S541" s="214">
        <v>0.0021685680979366406</v>
      </c>
    </row>
    <row r="542">
      <c r="A542" s="208">
        <v>42822.0</v>
      </c>
      <c r="B542" s="220">
        <v>0.017709860899544183</v>
      </c>
      <c r="C542" s="220">
        <v>0.012</v>
      </c>
      <c r="D542" s="220">
        <v>0.029709860899544183</v>
      </c>
      <c r="E542" s="220">
        <v>6.484677787168408E-5</v>
      </c>
      <c r="F542" s="210">
        <v>0.6821801917949415</v>
      </c>
      <c r="G542" s="209">
        <v>6563.426352219281</v>
      </c>
      <c r="H542" s="210">
        <v>8461.055</v>
      </c>
      <c r="I542" s="210">
        <v>0.0</v>
      </c>
      <c r="J542" s="215">
        <v>4.206</v>
      </c>
      <c r="K542" s="221">
        <v>41.11</v>
      </c>
      <c r="L542" s="221">
        <v>180.29</v>
      </c>
      <c r="M542" s="221">
        <v>7.9</v>
      </c>
      <c r="N542" s="221">
        <v>111.35</v>
      </c>
      <c r="O542" s="213">
        <v>3.929373768813231E-4</v>
      </c>
      <c r="P542" s="214">
        <v>-0.0033159083173829687</v>
      </c>
      <c r="Q542" s="214">
        <v>-0.0011636586290753037</v>
      </c>
      <c r="R542" s="214">
        <v>-8.784141064240488E-4</v>
      </c>
      <c r="S542" s="214">
        <v>0.0012531404902147065</v>
      </c>
    </row>
    <row r="543">
      <c r="A543" s="208">
        <v>42821.0</v>
      </c>
      <c r="B543" s="220">
        <v>0.01770677295774077</v>
      </c>
      <c r="C543" s="220">
        <v>0.012</v>
      </c>
      <c r="D543" s="220">
        <v>0.02970677295774077</v>
      </c>
      <c r="E543" s="220">
        <v>6.484677787168408E-5</v>
      </c>
      <c r="F543" s="210">
        <v>0.6821801917949415</v>
      </c>
      <c r="G543" s="209">
        <v>6562.7441720274865</v>
      </c>
      <c r="H543" s="210">
        <v>8461.055</v>
      </c>
      <c r="I543" s="210">
        <v>0.0</v>
      </c>
      <c r="J543" s="215">
        <v>4.196</v>
      </c>
      <c r="K543" s="221">
        <v>40.788</v>
      </c>
      <c r="L543" s="221">
        <v>180.66</v>
      </c>
      <c r="M543" s="221">
        <v>7.82</v>
      </c>
      <c r="N543" s="221">
        <v>110.9</v>
      </c>
      <c r="O543" s="213">
        <v>-7.169659969692432E-4</v>
      </c>
      <c r="P543" s="214">
        <v>-0.005139944460195093</v>
      </c>
      <c r="Q543" s="214">
        <v>-6.269703746587899E-4</v>
      </c>
      <c r="R543" s="214">
        <v>-0.0038330661117089715</v>
      </c>
      <c r="S543" s="214">
        <v>-0.001205775490746186</v>
      </c>
    </row>
    <row r="544">
      <c r="A544" s="208">
        <v>42818.0</v>
      </c>
      <c r="B544" s="220">
        <v>0.01770368501593736</v>
      </c>
      <c r="C544" s="220">
        <v>0.012</v>
      </c>
      <c r="D544" s="220">
        <v>0.02970368501593736</v>
      </c>
      <c r="E544" s="220">
        <v>6.484677787168408E-5</v>
      </c>
      <c r="F544" s="210">
        <v>0.6821801917949415</v>
      </c>
      <c r="G544" s="209">
        <v>6562.0619918356915</v>
      </c>
      <c r="H544" s="210">
        <v>8461.055</v>
      </c>
      <c r="I544" s="210">
        <v>0.0</v>
      </c>
      <c r="J544" s="215">
        <v>4.21</v>
      </c>
      <c r="K544" s="221">
        <v>41.286</v>
      </c>
      <c r="L544" s="221">
        <v>180.84</v>
      </c>
      <c r="M544" s="221">
        <v>7.9</v>
      </c>
      <c r="N544" s="221">
        <v>111.29</v>
      </c>
      <c r="O544" s="213">
        <v>0.00277332560815687</v>
      </c>
      <c r="P544" s="214">
        <v>-0.001987595495767769</v>
      </c>
      <c r="Q544" s="214">
        <v>0.0010495282586519366</v>
      </c>
      <c r="R544" s="214">
        <v>-0.0012658214377716896</v>
      </c>
      <c r="S544" s="214">
        <v>0.0016735496745071317</v>
      </c>
    </row>
    <row r="545">
      <c r="A545" s="208">
        <v>42817.0</v>
      </c>
      <c r="B545" s="220">
        <v>0.017700597074133947</v>
      </c>
      <c r="C545" s="220">
        <v>0.012</v>
      </c>
      <c r="D545" s="220">
        <v>0.029700597074133948</v>
      </c>
      <c r="E545" s="220">
        <v>6.484677787168408E-5</v>
      </c>
      <c r="F545" s="210">
        <v>0.6821801917949415</v>
      </c>
      <c r="G545" s="209">
        <v>6561.379811643897</v>
      </c>
      <c r="H545" s="210">
        <v>8461.055</v>
      </c>
      <c r="I545" s="210">
        <v>0.0</v>
      </c>
      <c r="J545" s="215">
        <v>4.201</v>
      </c>
      <c r="K545" s="221">
        <v>41.516</v>
      </c>
      <c r="L545" s="221">
        <v>180.92</v>
      </c>
      <c r="M545" s="221">
        <v>7.92</v>
      </c>
      <c r="N545" s="221">
        <v>110.93</v>
      </c>
      <c r="O545" s="213">
        <v>0.0023800978119676852</v>
      </c>
      <c r="P545" s="214">
        <v>-0.005275257697259228</v>
      </c>
      <c r="Q545" s="214">
        <v>-4.912592298511598E-6</v>
      </c>
      <c r="R545" s="214">
        <v>-0.0037846970423497384</v>
      </c>
      <c r="S545" s="214">
        <v>0.0016187963210393768</v>
      </c>
    </row>
    <row r="546">
      <c r="A546" s="208">
        <v>42816.0</v>
      </c>
      <c r="B546" s="220">
        <v>0.017697509132330536</v>
      </c>
      <c r="C546" s="220">
        <v>0.012</v>
      </c>
      <c r="D546" s="220">
        <v>0.029697509132330536</v>
      </c>
      <c r="E546" s="220">
        <v>6.484677787168408E-5</v>
      </c>
      <c r="F546" s="210">
        <v>0.6821801917949415</v>
      </c>
      <c r="G546" s="209">
        <v>6560.697631452102</v>
      </c>
      <c r="H546" s="210">
        <v>8461.055</v>
      </c>
      <c r="I546" s="210">
        <v>0.0</v>
      </c>
      <c r="J546" s="215">
        <v>4.205</v>
      </c>
      <c r="K546" s="221">
        <v>41.418</v>
      </c>
      <c r="L546" s="221">
        <v>181.0</v>
      </c>
      <c r="M546" s="221">
        <v>7.91</v>
      </c>
      <c r="N546" s="221">
        <v>111.3</v>
      </c>
      <c r="O546" s="213">
        <v>0.00381631897176408</v>
      </c>
      <c r="P546" s="214">
        <v>-0.006749746682731613</v>
      </c>
      <c r="Q546" s="214">
        <v>7.504857421402426E-4</v>
      </c>
      <c r="R546" s="214">
        <v>-0.003373279496100704</v>
      </c>
      <c r="S546" s="214">
        <v>0.0038478595337354906</v>
      </c>
    </row>
    <row r="547">
      <c r="A547" s="208">
        <v>42815.0</v>
      </c>
      <c r="B547" s="220">
        <v>0.017694421190527124</v>
      </c>
      <c r="C547" s="220">
        <v>0.012</v>
      </c>
      <c r="D547" s="220">
        <v>0.029694421190527124</v>
      </c>
      <c r="E547" s="220">
        <v>6.484677787168408E-5</v>
      </c>
      <c r="F547" s="210">
        <v>0.6821801917949415</v>
      </c>
      <c r="G547" s="209">
        <v>6560.015451260307</v>
      </c>
      <c r="H547" s="210">
        <v>8461.055</v>
      </c>
      <c r="I547" s="210">
        <v>0.0</v>
      </c>
      <c r="J547" s="215">
        <v>4.175</v>
      </c>
      <c r="K547" s="221">
        <v>41.532</v>
      </c>
      <c r="L547" s="221">
        <v>180.27</v>
      </c>
      <c r="M547" s="221">
        <v>7.93</v>
      </c>
      <c r="N547" s="221">
        <v>110.73</v>
      </c>
      <c r="O547" s="213">
        <v>0.003362662445817658</v>
      </c>
      <c r="P547" s="214">
        <v>-0.006116227648994406</v>
      </c>
      <c r="Q547" s="214">
        <v>-2.062789529143997E-4</v>
      </c>
      <c r="R547" s="214">
        <v>-0.002113276342137279</v>
      </c>
      <c r="S547" s="214">
        <v>0.00189838142692067</v>
      </c>
    </row>
    <row r="548">
      <c r="A548" s="208">
        <v>42814.0</v>
      </c>
      <c r="B548" s="220">
        <v>0.017691333248723712</v>
      </c>
      <c r="C548" s="220">
        <v>0.012</v>
      </c>
      <c r="D548" s="220">
        <v>0.029691333248723712</v>
      </c>
      <c r="E548" s="220">
        <v>6.484677787168408E-5</v>
      </c>
      <c r="F548" s="210">
        <v>0.6821801917949415</v>
      </c>
      <c r="G548" s="209">
        <v>6559.333271068512</v>
      </c>
      <c r="H548" s="210">
        <v>8461.055</v>
      </c>
      <c r="I548" s="210">
        <v>0.0</v>
      </c>
      <c r="J548" s="215">
        <v>4.171</v>
      </c>
      <c r="K548" s="221">
        <v>42.173</v>
      </c>
      <c r="L548" s="221">
        <v>180.92</v>
      </c>
      <c r="M548" s="221">
        <v>8.01</v>
      </c>
      <c r="N548" s="221">
        <v>110.39</v>
      </c>
      <c r="O548" s="213">
        <v>-2.6341711536000584E-4</v>
      </c>
      <c r="P548" s="214">
        <v>-0.0033752948099314097</v>
      </c>
      <c r="Q548" s="214">
        <v>-6.675336609727559E-4</v>
      </c>
      <c r="R548" s="214">
        <v>-0.0012567845451794863</v>
      </c>
      <c r="S548" s="214">
        <v>0.00535564583840246</v>
      </c>
    </row>
    <row r="549">
      <c r="A549" s="208">
        <v>42811.0</v>
      </c>
      <c r="B549" s="220">
        <v>0.0176882453069203</v>
      </c>
      <c r="C549" s="220">
        <v>0.012</v>
      </c>
      <c r="D549" s="220">
        <v>0.0296882453069203</v>
      </c>
      <c r="E549" s="220">
        <v>6.484677787168408E-5</v>
      </c>
      <c r="F549" s="210">
        <v>0.6821801917949415</v>
      </c>
      <c r="G549" s="209">
        <v>6558.651090876717</v>
      </c>
      <c r="H549" s="210">
        <v>8461.055</v>
      </c>
      <c r="I549" s="210">
        <v>0.0</v>
      </c>
      <c r="J549" s="215">
        <v>4.157</v>
      </c>
      <c r="K549" s="221">
        <v>42.26</v>
      </c>
      <c r="L549" s="221">
        <v>180.59</v>
      </c>
      <c r="M549" s="221">
        <v>7.99</v>
      </c>
      <c r="N549" s="221">
        <v>110.02</v>
      </c>
      <c r="O549" s="213">
        <v>7.73951553567335E-4</v>
      </c>
      <c r="P549" s="214">
        <v>-5.672000501918036E-4</v>
      </c>
      <c r="Q549" s="214">
        <v>-5.216389930933207E-4</v>
      </c>
      <c r="R549" s="214">
        <v>0.0012276720731024076</v>
      </c>
      <c r="S549" s="214">
        <v>0.0031029379349802135</v>
      </c>
    </row>
    <row r="550">
      <c r="A550" s="208">
        <v>42810.0</v>
      </c>
      <c r="B550" s="220">
        <v>0.017685157365116888</v>
      </c>
      <c r="C550" s="220">
        <v>0.012</v>
      </c>
      <c r="D550" s="220">
        <v>0.02968515736511689</v>
      </c>
      <c r="E550" s="220">
        <v>6.484677787168408E-5</v>
      </c>
      <c r="F550" s="210">
        <v>0.6821801917949415</v>
      </c>
      <c r="G550" s="209">
        <v>6557.968910684922</v>
      </c>
      <c r="H550" s="210">
        <v>8461.055</v>
      </c>
      <c r="I550" s="210">
        <v>0.0</v>
      </c>
      <c r="J550" s="215">
        <v>4.133</v>
      </c>
      <c r="K550" s="221">
        <v>42.296</v>
      </c>
      <c r="L550" s="221">
        <v>180.38</v>
      </c>
      <c r="M550" s="221">
        <v>7.98</v>
      </c>
      <c r="N550" s="221">
        <v>110.1</v>
      </c>
      <c r="O550" s="213">
        <v>9.393509541578323E-4</v>
      </c>
      <c r="P550" s="214">
        <v>-6.927246516832408E-4</v>
      </c>
      <c r="Q550" s="214">
        <v>2.1493866042561946E-4</v>
      </c>
      <c r="R550" s="214">
        <v>-0.0012833184238126478</v>
      </c>
      <c r="S550" s="214">
        <v>0.0037734919468604966</v>
      </c>
    </row>
    <row r="551">
      <c r="A551" s="208">
        <v>42809.0</v>
      </c>
      <c r="B551" s="220">
        <v>0.017682069423313476</v>
      </c>
      <c r="C551" s="220">
        <v>0.012</v>
      </c>
      <c r="D551" s="220">
        <v>0.029682069423313476</v>
      </c>
      <c r="E551" s="220">
        <v>6.484677787168408E-5</v>
      </c>
      <c r="F551" s="210">
        <v>0.6821801917949415</v>
      </c>
      <c r="G551" s="209">
        <v>6557.286730493127</v>
      </c>
      <c r="H551" s="210">
        <v>8461.055</v>
      </c>
      <c r="I551" s="210">
        <v>0.0</v>
      </c>
      <c r="J551" s="215">
        <v>4.174</v>
      </c>
      <c r="K551" s="221">
        <v>42.601</v>
      </c>
      <c r="L551" s="221">
        <v>181.28</v>
      </c>
      <c r="M551" s="221">
        <v>8.04</v>
      </c>
      <c r="N551" s="221">
        <v>108.62</v>
      </c>
      <c r="O551" s="213">
        <v>0.004003409689237365</v>
      </c>
      <c r="P551" s="214">
        <v>0.0017660247639960842</v>
      </c>
      <c r="Q551" s="214">
        <v>0.0018596024127799742</v>
      </c>
      <c r="R551" s="214">
        <v>0.0020552402074721274</v>
      </c>
      <c r="S551" s="214">
        <v>0.0011301077987934487</v>
      </c>
    </row>
    <row r="552">
      <c r="A552" s="208">
        <v>42808.0</v>
      </c>
      <c r="B552" s="220">
        <v>0.017678981481510064</v>
      </c>
      <c r="C552" s="220">
        <v>0.012</v>
      </c>
      <c r="D552" s="220">
        <v>0.029678981481510065</v>
      </c>
      <c r="E552" s="220">
        <v>6.484677787168408E-5</v>
      </c>
      <c r="F552" s="210">
        <v>0.6821801917949415</v>
      </c>
      <c r="G552" s="209">
        <v>6556.604550301332</v>
      </c>
      <c r="H552" s="210">
        <v>8461.055</v>
      </c>
      <c r="I552" s="210">
        <v>0.0</v>
      </c>
      <c r="J552" s="215">
        <v>4.147</v>
      </c>
      <c r="K552" s="221">
        <v>42.33</v>
      </c>
      <c r="L552" s="221">
        <v>180.87</v>
      </c>
      <c r="M552" s="221">
        <v>7.96</v>
      </c>
      <c r="N552" s="221">
        <v>108.99</v>
      </c>
      <c r="O552" s="213">
        <v>-0.00203252380883423</v>
      </c>
      <c r="P552" s="214">
        <v>-0.0023839247677050666</v>
      </c>
      <c r="Q552" s="214">
        <v>-0.0019452748794997292</v>
      </c>
      <c r="R552" s="214">
        <v>-0.005850579048355509</v>
      </c>
      <c r="S552" s="214">
        <v>-0.001460378289608914</v>
      </c>
    </row>
    <row r="553">
      <c r="A553" s="208">
        <v>42807.0</v>
      </c>
      <c r="B553" s="220">
        <v>0.017675893539706652</v>
      </c>
      <c r="C553" s="220">
        <v>0.012</v>
      </c>
      <c r="D553" s="220">
        <v>0.029675893539706653</v>
      </c>
      <c r="E553" s="220">
        <v>6.484677787168408E-5</v>
      </c>
      <c r="F553" s="210">
        <v>0.6821801917949415</v>
      </c>
      <c r="G553" s="209">
        <v>6555.922370109537</v>
      </c>
      <c r="H553" s="210">
        <v>8461.055</v>
      </c>
      <c r="I553" s="210">
        <v>0.0</v>
      </c>
      <c r="J553" s="215">
        <v>4.121</v>
      </c>
      <c r="K553" s="221">
        <v>42.382</v>
      </c>
      <c r="L553" s="221">
        <v>180.26</v>
      </c>
      <c r="M553" s="221">
        <v>8.01</v>
      </c>
      <c r="N553" s="221">
        <v>108.85</v>
      </c>
      <c r="O553" s="213">
        <v>-0.005800240316657194</v>
      </c>
      <c r="P553" s="214">
        <v>-0.0033270735156631557</v>
      </c>
      <c r="Q553" s="214">
        <v>-0.004315439819123412</v>
      </c>
      <c r="R553" s="214">
        <v>-0.009106570941980086</v>
      </c>
      <c r="S553" s="214">
        <v>-0.004202943991272856</v>
      </c>
    </row>
    <row r="554">
      <c r="A554" s="208">
        <v>42804.0</v>
      </c>
      <c r="B554" s="220">
        <v>0.01767280559790324</v>
      </c>
      <c r="C554" s="220">
        <v>0.012</v>
      </c>
      <c r="D554" s="220">
        <v>0.02967280559790324</v>
      </c>
      <c r="E554" s="220">
        <v>6.484677787168408E-5</v>
      </c>
      <c r="F554" s="210">
        <v>0.6821801917949415</v>
      </c>
      <c r="G554" s="209">
        <v>6555.240189917742</v>
      </c>
      <c r="H554" s="210">
        <v>8461.055</v>
      </c>
      <c r="I554" s="210">
        <v>0.0</v>
      </c>
      <c r="J554" s="215">
        <v>4.124</v>
      </c>
      <c r="K554" s="221">
        <v>42.375</v>
      </c>
      <c r="L554" s="221">
        <v>180.27</v>
      </c>
      <c r="M554" s="221">
        <v>7.99</v>
      </c>
      <c r="N554" s="221">
        <v>108.25</v>
      </c>
      <c r="O554" s="213">
        <v>-0.007306527425131011</v>
      </c>
      <c r="P554" s="214">
        <v>-0.0024554669630739343</v>
      </c>
      <c r="Q554" s="214">
        <v>-0.00482633829942077</v>
      </c>
      <c r="R554" s="214">
        <v>-0.010343886185329628</v>
      </c>
      <c r="S554" s="214">
        <v>-0.007794402518518965</v>
      </c>
    </row>
    <row r="555">
      <c r="A555" s="208">
        <v>42803.0</v>
      </c>
      <c r="B555" s="220">
        <v>0.01766971765609983</v>
      </c>
      <c r="C555" s="220">
        <v>0.012</v>
      </c>
      <c r="D555" s="220">
        <v>0.02966971765609983</v>
      </c>
      <c r="E555" s="220">
        <v>6.484677787168408E-5</v>
      </c>
      <c r="F555" s="210">
        <v>0.6821801917949415</v>
      </c>
      <c r="G555" s="209">
        <v>6554.558009725947</v>
      </c>
      <c r="H555" s="210">
        <v>8461.055</v>
      </c>
      <c r="I555" s="210">
        <v>0.0</v>
      </c>
      <c r="J555" s="215">
        <v>4.172</v>
      </c>
      <c r="K555" s="221">
        <v>42.633</v>
      </c>
      <c r="L555" s="221">
        <v>181.92</v>
      </c>
      <c r="M555" s="221">
        <v>8.1</v>
      </c>
      <c r="N555" s="221">
        <v>109.46</v>
      </c>
      <c r="O555" s="213">
        <v>-0.003980377495641878</v>
      </c>
      <c r="P555" s="214">
        <v>-2.5417530816359185E-4</v>
      </c>
      <c r="Q555" s="214">
        <v>-0.0018664886710043997</v>
      </c>
      <c r="R555" s="214">
        <v>-0.008991062469600871</v>
      </c>
      <c r="S555" s="214">
        <v>-0.00653536682597015</v>
      </c>
    </row>
    <row r="556">
      <c r="A556" s="208">
        <v>42802.0</v>
      </c>
      <c r="B556" s="220">
        <v>0.017666629714296417</v>
      </c>
      <c r="C556" s="220">
        <v>0.012</v>
      </c>
      <c r="D556" s="220">
        <v>0.029666629714296417</v>
      </c>
      <c r="E556" s="220">
        <v>6.484677787168408E-5</v>
      </c>
      <c r="F556" s="210">
        <v>0.6821801917949415</v>
      </c>
      <c r="G556" s="209">
        <v>6553.875829534152</v>
      </c>
      <c r="H556" s="210">
        <v>8461.055</v>
      </c>
      <c r="I556" s="210">
        <v>0.0</v>
      </c>
      <c r="J556" s="215">
        <v>4.193</v>
      </c>
      <c r="K556" s="221">
        <v>42.806</v>
      </c>
      <c r="L556" s="221">
        <v>182.6</v>
      </c>
      <c r="M556" s="221">
        <v>8.23</v>
      </c>
      <c r="N556" s="221">
        <v>110.22</v>
      </c>
      <c r="O556" s="213">
        <v>-0.0035657495268791215</v>
      </c>
      <c r="P556" s="214">
        <v>-0.0011906974187014807</v>
      </c>
      <c r="Q556" s="214">
        <v>-0.0012946934286523308</v>
      </c>
      <c r="R556" s="214">
        <v>-0.0036412682309177047</v>
      </c>
      <c r="S556" s="214">
        <v>-0.0041911117364616945</v>
      </c>
    </row>
    <row r="557">
      <c r="A557" s="208">
        <v>42801.0</v>
      </c>
      <c r="B557" s="30">
        <v>0.017663541772493005</v>
      </c>
      <c r="C557" s="30">
        <v>0.012</v>
      </c>
      <c r="D557" s="164">
        <v>0.029663541772493005</v>
      </c>
      <c r="E557" s="164">
        <v>-0.009114718993693285</v>
      </c>
      <c r="F557" s="210">
        <v>-183.05457889601803</v>
      </c>
      <c r="G557" s="209">
        <v>6553.193649342357</v>
      </c>
      <c r="H557" s="210">
        <v>8461.055</v>
      </c>
      <c r="I557" s="210">
        <v>0.0</v>
      </c>
      <c r="J557" s="215">
        <v>4.215</v>
      </c>
      <c r="K557" s="221">
        <v>42.687</v>
      </c>
      <c r="L557" s="221">
        <v>182.89</v>
      </c>
      <c r="M557" s="221">
        <v>8.24</v>
      </c>
      <c r="N557" s="221">
        <v>110.8</v>
      </c>
      <c r="O557" s="213">
        <v>-0.0032325650217105797</v>
      </c>
      <c r="P557" s="214">
        <v>-0.003909807228169582</v>
      </c>
      <c r="Q557" s="214">
        <v>-0.0019472717544131897</v>
      </c>
      <c r="R557" s="214">
        <v>-0.006441374159820749</v>
      </c>
      <c r="S557" s="214">
        <v>-0.0073051861563609615</v>
      </c>
    </row>
    <row r="558">
      <c r="A558" s="208">
        <v>42800.0</v>
      </c>
      <c r="B558" s="220">
        <v>0.01849215259010148</v>
      </c>
      <c r="C558" s="220">
        <v>0.012</v>
      </c>
      <c r="D558" s="220">
        <v>0.030492152590101476</v>
      </c>
      <c r="E558" s="220">
        <v>-0.009114718993693285</v>
      </c>
      <c r="F558" s="210">
        <v>-183.05457889602258</v>
      </c>
      <c r="G558" s="209">
        <v>6736.248228238375</v>
      </c>
      <c r="H558" s="210">
        <v>8804.175000000001</v>
      </c>
      <c r="I558" s="210">
        <v>0.0</v>
      </c>
      <c r="J558" s="215">
        <v>4.222</v>
      </c>
      <c r="K558" s="221">
        <v>42.665</v>
      </c>
      <c r="L558" s="221">
        <v>182.94</v>
      </c>
      <c r="M558" s="221">
        <v>8.32</v>
      </c>
      <c r="N558" s="221">
        <v>111.62</v>
      </c>
      <c r="O558" s="213">
        <v>-0.0015041745021137458</v>
      </c>
      <c r="P558" s="214">
        <v>-0.004073882343388198</v>
      </c>
      <c r="Q558" s="214">
        <v>-0.0014031452675649092</v>
      </c>
      <c r="R558" s="214">
        <v>-0.00439560439560438</v>
      </c>
      <c r="S558" s="214">
        <v>-0.005309254913770471</v>
      </c>
    </row>
    <row r="559">
      <c r="A559" s="208">
        <v>42797.0</v>
      </c>
      <c r="B559" s="220">
        <v>0.01932076340770996</v>
      </c>
      <c r="C559" s="220">
        <v>0.012</v>
      </c>
      <c r="D559" s="220">
        <v>0.03132076340770996</v>
      </c>
      <c r="E559" s="220">
        <v>-0.009114718993693285</v>
      </c>
      <c r="F559" s="210">
        <v>-183.05457889602258</v>
      </c>
      <c r="G559" s="209">
        <v>6919.302807134398</v>
      </c>
      <c r="H559" s="210">
        <v>8804.175000000001</v>
      </c>
      <c r="I559" s="210">
        <v>0.0</v>
      </c>
      <c r="J559" s="215">
        <v>4.238</v>
      </c>
      <c r="K559" s="221">
        <v>42.958</v>
      </c>
      <c r="L559" s="221">
        <v>183.31</v>
      </c>
      <c r="M559" s="221">
        <v>8.32</v>
      </c>
      <c r="N559" s="221">
        <v>111.61</v>
      </c>
      <c r="O559" s="213">
        <v>-0.005585601540573859</v>
      </c>
      <c r="P559" s="214">
        <v>0.00379552335080513</v>
      </c>
      <c r="Q559" s="214">
        <v>-0.0020353784227102136</v>
      </c>
      <c r="R559" s="214">
        <v>-8.36885534394464E-4</v>
      </c>
      <c r="S559" s="214">
        <v>-0.006955814201333954</v>
      </c>
    </row>
    <row r="560">
      <c r="A560" s="208">
        <v>42796.0</v>
      </c>
      <c r="B560" s="220">
        <v>0.020149374225318442</v>
      </c>
      <c r="C560" s="220">
        <v>0.012</v>
      </c>
      <c r="D560" s="220">
        <v>0.03214937422531844</v>
      </c>
      <c r="E560" s="220">
        <v>-0.009114718993693285</v>
      </c>
      <c r="F560" s="210">
        <v>-183.05457889602258</v>
      </c>
      <c r="G560" s="209">
        <v>7102.3573860304205</v>
      </c>
      <c r="H560" s="210">
        <v>8804.175000000001</v>
      </c>
      <c r="I560" s="210">
        <v>0.0</v>
      </c>
      <c r="J560" s="215">
        <v>4.256</v>
      </c>
      <c r="K560" s="221">
        <v>43.189</v>
      </c>
      <c r="L560" s="221">
        <v>183.96</v>
      </c>
      <c r="M560" s="221">
        <v>8.4</v>
      </c>
      <c r="N560" s="221">
        <v>113.24</v>
      </c>
      <c r="O560" s="213">
        <v>-0.004247196857478985</v>
      </c>
      <c r="P560" s="214">
        <v>0.005642919000243496</v>
      </c>
      <c r="Q560" s="214">
        <v>-0.0010341468541952281</v>
      </c>
      <c r="R560" s="214">
        <v>0.003966963693915175</v>
      </c>
      <c r="S560" s="214">
        <v>-0.0036965649483386245</v>
      </c>
    </row>
    <row r="561">
      <c r="A561" s="208">
        <v>42795.0</v>
      </c>
      <c r="B561" s="220">
        <v>0.020977985042926924</v>
      </c>
      <c r="C561" s="220">
        <v>0.012</v>
      </c>
      <c r="D561" s="220">
        <v>0.03297798504292692</v>
      </c>
      <c r="E561" s="220">
        <v>-0.009114718993693285</v>
      </c>
      <c r="F561" s="210">
        <v>-183.05457889602258</v>
      </c>
      <c r="G561" s="209">
        <v>7285.411964926443</v>
      </c>
      <c r="H561" s="210">
        <v>8804.175000000001</v>
      </c>
      <c r="I561" s="210">
        <v>0.0</v>
      </c>
      <c r="J561" s="215">
        <v>4.241</v>
      </c>
      <c r="K561" s="221">
        <v>43.188</v>
      </c>
      <c r="L561" s="221">
        <v>183.71</v>
      </c>
      <c r="M561" s="221">
        <v>8.43</v>
      </c>
      <c r="N561" s="221">
        <v>113.4</v>
      </c>
      <c r="O561" s="213">
        <v>-0.006814120256463774</v>
      </c>
      <c r="P561" s="214">
        <v>0.005713709943497698</v>
      </c>
      <c r="Q561" s="214">
        <v>-0.0033477266242749604</v>
      </c>
      <c r="R561" s="214">
        <v>0.00355101418158014</v>
      </c>
      <c r="S561" s="214">
        <v>-0.0027597955461542423</v>
      </c>
    </row>
    <row r="562">
      <c r="A562" s="208">
        <v>42794.0</v>
      </c>
      <c r="B562" s="220">
        <v>0.021806595860535405</v>
      </c>
      <c r="C562" s="220">
        <v>0.012</v>
      </c>
      <c r="D562" s="220">
        <v>0.0338065958605354</v>
      </c>
      <c r="E562" s="220">
        <v>-0.009114718993693285</v>
      </c>
      <c r="F562" s="210">
        <v>-183.05457889602258</v>
      </c>
      <c r="G562" s="209">
        <v>7468.466543822466</v>
      </c>
      <c r="H562" s="210">
        <v>8804.175000000001</v>
      </c>
      <c r="I562" s="210">
        <v>0.0</v>
      </c>
      <c r="J562" s="215">
        <v>4.309</v>
      </c>
      <c r="K562" s="221">
        <v>42.465</v>
      </c>
      <c r="L562" s="221">
        <v>184.43</v>
      </c>
      <c r="M562" s="221">
        <v>8.34</v>
      </c>
      <c r="N562" s="221">
        <v>113.95</v>
      </c>
      <c r="O562" s="213">
        <v>0.0025354603057881806</v>
      </c>
      <c r="P562" s="214">
        <v>-2.4347560604750149E-4</v>
      </c>
      <c r="Q562" s="214">
        <v>-1.3717377893366725E-4</v>
      </c>
      <c r="R562" s="214">
        <v>-8.070651912205351E-4</v>
      </c>
      <c r="S562" s="214">
        <v>0.001480654231970746</v>
      </c>
    </row>
    <row r="563">
      <c r="A563" s="208">
        <v>42793.0</v>
      </c>
      <c r="B563" s="220">
        <v>0.022635206678143886</v>
      </c>
      <c r="C563" s="220">
        <v>0.012</v>
      </c>
      <c r="D563" s="220">
        <v>0.03463520667814388</v>
      </c>
      <c r="E563" s="220">
        <v>-0.009114718993693285</v>
      </c>
      <c r="F563" s="210">
        <v>-183.05457889602258</v>
      </c>
      <c r="G563" s="209">
        <v>7651.521122718488</v>
      </c>
      <c r="H563" s="210">
        <v>8804.175000000001</v>
      </c>
      <c r="I563" s="210">
        <v>0.0</v>
      </c>
      <c r="J563" s="215">
        <v>4.31</v>
      </c>
      <c r="K563" s="221">
        <v>42.458</v>
      </c>
      <c r="L563" s="221">
        <v>184.53</v>
      </c>
      <c r="M563" s="221">
        <v>8.3</v>
      </c>
      <c r="N563" s="221">
        <v>114.5</v>
      </c>
      <c r="O563" s="213">
        <v>0.002456908825478147</v>
      </c>
      <c r="P563" s="214">
        <v>-0.0017495397853480494</v>
      </c>
      <c r="Q563" s="214">
        <v>-2.093725959533277E-4</v>
      </c>
      <c r="R563" s="214">
        <v>-0.004000682546140426</v>
      </c>
      <c r="S563" s="214">
        <v>0.005499043965258428</v>
      </c>
    </row>
    <row r="564">
      <c r="A564" s="208">
        <v>42790.0</v>
      </c>
      <c r="B564" s="220">
        <v>0.023463817495752368</v>
      </c>
      <c r="C564" s="220">
        <v>0.012</v>
      </c>
      <c r="D564" s="220">
        <v>0.035463817495752364</v>
      </c>
      <c r="E564" s="220">
        <v>-0.009114718993693285</v>
      </c>
      <c r="F564" s="210">
        <v>-183.05457889602258</v>
      </c>
      <c r="G564" s="209">
        <v>7834.575701614511</v>
      </c>
      <c r="H564" s="210">
        <v>8804.175000000001</v>
      </c>
      <c r="I564" s="210">
        <v>0.0</v>
      </c>
      <c r="J564" s="215">
        <v>4.328</v>
      </c>
      <c r="K564" s="221">
        <v>42.448</v>
      </c>
      <c r="L564" s="221">
        <v>185.56</v>
      </c>
      <c r="M564" s="221">
        <v>8.34</v>
      </c>
      <c r="N564" s="221">
        <v>114.34</v>
      </c>
      <c r="O564" s="213">
        <v>0.0030698398920656253</v>
      </c>
      <c r="P564" s="214">
        <v>-0.0014609845538462451</v>
      </c>
      <c r="Q564" s="214">
        <v>0.001597050700379669</v>
      </c>
      <c r="R564" s="214">
        <v>-0.004378383827456182</v>
      </c>
      <c r="S564" s="214">
        <v>0.00429329920185284</v>
      </c>
    </row>
    <row r="565">
      <c r="A565" s="208">
        <v>42789.0</v>
      </c>
      <c r="B565" s="220">
        <v>0.02429242831336085</v>
      </c>
      <c r="C565" s="220">
        <v>0.012</v>
      </c>
      <c r="D565" s="220">
        <v>0.036292428313360846</v>
      </c>
      <c r="E565" s="220">
        <v>-0.009114718993693285</v>
      </c>
      <c r="F565" s="210">
        <v>-183.05457889602258</v>
      </c>
      <c r="G565" s="209">
        <v>8017.630280510533</v>
      </c>
      <c r="H565" s="210">
        <v>8804.175000000001</v>
      </c>
      <c r="I565" s="210">
        <v>0.0</v>
      </c>
      <c r="J565" s="215">
        <v>4.276</v>
      </c>
      <c r="K565" s="221">
        <v>42.496</v>
      </c>
      <c r="L565" s="221">
        <v>184.5</v>
      </c>
      <c r="M565" s="221">
        <v>8.36</v>
      </c>
      <c r="N565" s="221">
        <v>113.44</v>
      </c>
      <c r="O565" s="213">
        <v>0.0019411545295987913</v>
      </c>
      <c r="P565" s="214">
        <v>0.002051160118876997</v>
      </c>
      <c r="Q565" s="214">
        <v>0.0022921357527119954</v>
      </c>
      <c r="R565" s="214">
        <v>-0.0016066367280943201</v>
      </c>
      <c r="S565" s="214">
        <v>0.0036777555200120013</v>
      </c>
    </row>
    <row r="566">
      <c r="A566" s="208">
        <v>42788.0</v>
      </c>
      <c r="B566" s="220">
        <v>0.02512103913096933</v>
      </c>
      <c r="C566" s="220">
        <v>0.012</v>
      </c>
      <c r="D566" s="220">
        <v>0.03712103913096933</v>
      </c>
      <c r="E566" s="220">
        <v>-0.009114718993693285</v>
      </c>
      <c r="F566" s="210">
        <v>-183.05457889602258</v>
      </c>
      <c r="G566" s="209">
        <v>8200.684859406556</v>
      </c>
      <c r="H566" s="210">
        <v>8804.175000000001</v>
      </c>
      <c r="I566" s="210">
        <v>0.0</v>
      </c>
      <c r="J566" s="215">
        <v>4.278</v>
      </c>
      <c r="K566" s="221">
        <v>42.681</v>
      </c>
      <c r="L566" s="221">
        <v>184.64</v>
      </c>
      <c r="M566" s="221">
        <v>8.4</v>
      </c>
      <c r="N566" s="221">
        <v>112.62</v>
      </c>
      <c r="O566" s="213">
        <v>0.0013913471767259544</v>
      </c>
      <c r="P566" s="214">
        <v>0.005483350339102411</v>
      </c>
      <c r="Q566" s="214">
        <v>0.0023631508964532255</v>
      </c>
      <c r="R566" s="214">
        <v>0.0011787357941203485</v>
      </c>
      <c r="S566" s="214">
        <v>0.0012385470746371456</v>
      </c>
    </row>
    <row r="567">
      <c r="A567" s="208">
        <v>42787.0</v>
      </c>
      <c r="B567" s="220">
        <v>0.025949649948577812</v>
      </c>
      <c r="C567" s="220">
        <v>0.012</v>
      </c>
      <c r="D567" s="220">
        <v>0.03794964994857781</v>
      </c>
      <c r="E567" s="220">
        <v>-0.009114718993693285</v>
      </c>
      <c r="F567" s="210">
        <v>-183.05457889602258</v>
      </c>
      <c r="G567" s="209">
        <v>8383.739438302578</v>
      </c>
      <c r="H567" s="210">
        <v>8804.175000000001</v>
      </c>
      <c r="I567" s="210">
        <v>0.0</v>
      </c>
      <c r="J567" s="215">
        <v>4.288</v>
      </c>
      <c r="K567" s="221">
        <v>42.634</v>
      </c>
      <c r="L567" s="221">
        <v>184.67</v>
      </c>
      <c r="M567" s="221">
        <v>8.45</v>
      </c>
      <c r="N567" s="221">
        <v>112.87</v>
      </c>
      <c r="O567" s="213">
        <v>0.004830934364806971</v>
      </c>
      <c r="P567" s="214">
        <v>0.006291392941528177</v>
      </c>
      <c r="Q567" s="214">
        <v>0.004908264722849258</v>
      </c>
      <c r="R567" s="214">
        <v>0.00196811964802035</v>
      </c>
      <c r="S567" s="214">
        <v>0.00275092871801641</v>
      </c>
    </row>
    <row r="568">
      <c r="A568" s="208">
        <v>42786.0</v>
      </c>
      <c r="B568" s="30">
        <v>0.026778260766186293</v>
      </c>
      <c r="C568" s="30">
        <v>0.012</v>
      </c>
      <c r="D568" s="164">
        <v>0.03877826076618629</v>
      </c>
      <c r="E568" s="164">
        <v>7.017862405224451E-5</v>
      </c>
      <c r="F568" s="210">
        <v>2.583946970917168</v>
      </c>
      <c r="G568" s="209">
        <v>8566.794017198601</v>
      </c>
      <c r="H568" s="210">
        <v>8804.175000000001</v>
      </c>
      <c r="I568" s="210">
        <v>0.0</v>
      </c>
      <c r="J568" s="215">
        <v>4.251</v>
      </c>
      <c r="K568" s="221">
        <v>42.233</v>
      </c>
      <c r="L568" s="221">
        <v>183.23</v>
      </c>
      <c r="M568" s="221">
        <v>8.4</v>
      </c>
      <c r="N568" s="221">
        <v>112.19</v>
      </c>
      <c r="O568" s="213">
        <v>0.0024279513503948635</v>
      </c>
      <c r="P568" s="214">
        <v>7.498438901480942E-4</v>
      </c>
      <c r="Q568" s="214">
        <v>0.0012465290822770332</v>
      </c>
      <c r="R568" s="214">
        <v>-0.0031788701143539897</v>
      </c>
      <c r="S568" s="214">
        <v>0.0012191643978390527</v>
      </c>
    </row>
    <row r="569">
      <c r="A569" s="208">
        <v>42783.0</v>
      </c>
      <c r="B569" s="220">
        <v>0.026766564328844247</v>
      </c>
      <c r="C569" s="220">
        <v>0.012</v>
      </c>
      <c r="D569" s="220">
        <v>0.03876656432884426</v>
      </c>
      <c r="E569" s="220">
        <v>7.017862405224451E-5</v>
      </c>
      <c r="F569" s="210">
        <v>2.583946970920806</v>
      </c>
      <c r="G569" s="209">
        <v>8564.210070227684</v>
      </c>
      <c r="H569" s="210">
        <v>8804.175000000001</v>
      </c>
      <c r="I569" s="210">
        <v>0.0</v>
      </c>
      <c r="J569" s="215">
        <v>4.26</v>
      </c>
      <c r="K569" s="221">
        <v>41.982</v>
      </c>
      <c r="L569" s="221">
        <v>183.33</v>
      </c>
      <c r="M569" s="221">
        <v>8.37</v>
      </c>
      <c r="N569" s="221">
        <v>112.2</v>
      </c>
      <c r="O569" s="213">
        <v>0.002264789295411407</v>
      </c>
      <c r="P569" s="214">
        <v>7.781371335856176E-4</v>
      </c>
      <c r="Q569" s="214">
        <v>5.884512620947246E-4</v>
      </c>
      <c r="R569" s="214">
        <v>-0.003583182782817662</v>
      </c>
      <c r="S569" s="214">
        <v>0.0017558240711658124</v>
      </c>
    </row>
    <row r="570">
      <c r="A570" s="208">
        <v>42782.0</v>
      </c>
      <c r="B570" s="220">
        <v>0.026754867891502207</v>
      </c>
      <c r="C570" s="220">
        <v>0.012</v>
      </c>
      <c r="D570" s="220">
        <v>0.03875486789150222</v>
      </c>
      <c r="E570" s="220">
        <v>7.017862405224451E-5</v>
      </c>
      <c r="F570" s="210">
        <v>2.583946970920806</v>
      </c>
      <c r="G570" s="209">
        <v>8561.626123256763</v>
      </c>
      <c r="H570" s="210">
        <v>8804.175000000001</v>
      </c>
      <c r="I570" s="210">
        <v>0.0</v>
      </c>
      <c r="J570" s="215">
        <v>4.226</v>
      </c>
      <c r="K570" s="221">
        <v>41.834</v>
      </c>
      <c r="L570" s="221">
        <v>181.96</v>
      </c>
      <c r="M570" s="221">
        <v>8.4</v>
      </c>
      <c r="N570" s="221">
        <v>111.94</v>
      </c>
      <c r="O570" s="213">
        <v>-0.0022076399648846743</v>
      </c>
      <c r="P570" s="214">
        <v>5.899300441242575E-4</v>
      </c>
      <c r="Q570" s="214">
        <v>-0.0022121570351053186</v>
      </c>
      <c r="R570" s="214">
        <v>-0.0023884396525906126</v>
      </c>
      <c r="S570" s="214">
        <v>0.0027454821108457614</v>
      </c>
    </row>
    <row r="571">
      <c r="A571" s="208">
        <v>42781.0</v>
      </c>
      <c r="B571" s="220">
        <v>0.026743171454160167</v>
      </c>
      <c r="C571" s="220">
        <v>0.012</v>
      </c>
      <c r="D571" s="220">
        <v>0.038743171454160175</v>
      </c>
      <c r="E571" s="220">
        <v>7.017862405224451E-5</v>
      </c>
      <c r="F571" s="210">
        <v>2.583946970920806</v>
      </c>
      <c r="G571" s="209">
        <v>8559.042176285842</v>
      </c>
      <c r="H571" s="210">
        <v>8804.175000000001</v>
      </c>
      <c r="I571" s="210">
        <v>0.0</v>
      </c>
      <c r="J571" s="215">
        <v>4.22</v>
      </c>
      <c r="K571" s="221">
        <v>42.136</v>
      </c>
      <c r="L571" s="221">
        <v>182.54</v>
      </c>
      <c r="M571" s="221">
        <v>8.48</v>
      </c>
      <c r="N571" s="221">
        <v>111.78</v>
      </c>
      <c r="O571" s="213">
        <v>-0.0032294041009450027</v>
      </c>
      <c r="P571" s="214">
        <v>0.006476637224839228</v>
      </c>
      <c r="Q571" s="214">
        <v>-8.038898668563851E-4</v>
      </c>
      <c r="R571" s="214">
        <v>-1.8585426052227423E-6</v>
      </c>
      <c r="S571" s="214">
        <v>4.3753456437752486E-4</v>
      </c>
    </row>
    <row r="572">
      <c r="A572" s="208">
        <v>42780.0</v>
      </c>
      <c r="B572" s="220">
        <v>0.026731475016818128</v>
      </c>
      <c r="C572" s="220">
        <v>0.012</v>
      </c>
      <c r="D572" s="220">
        <v>0.03873147501681813</v>
      </c>
      <c r="E572" s="220">
        <v>7.017862405224451E-5</v>
      </c>
      <c r="F572" s="210">
        <v>2.583946970920806</v>
      </c>
      <c r="G572" s="209">
        <v>8556.458229314921</v>
      </c>
      <c r="H572" s="210">
        <v>8804.175000000001</v>
      </c>
      <c r="I572" s="210">
        <v>0.0</v>
      </c>
      <c r="J572" s="215">
        <v>4.231</v>
      </c>
      <c r="K572" s="221">
        <v>41.882</v>
      </c>
      <c r="L572" s="221">
        <v>183.0</v>
      </c>
      <c r="M572" s="221">
        <v>8.46</v>
      </c>
      <c r="N572" s="221">
        <v>111.61</v>
      </c>
      <c r="O572" s="213">
        <v>-0.0020476101528955994</v>
      </c>
      <c r="P572" s="214">
        <v>0.005370744262113221</v>
      </c>
      <c r="Q572" s="214">
        <v>-1.8542109229580106E-5</v>
      </c>
      <c r="R572" s="214">
        <v>0.003142795545445128</v>
      </c>
      <c r="S572" s="214">
        <v>8.562634803720437E-4</v>
      </c>
    </row>
    <row r="573">
      <c r="A573" s="208">
        <v>42779.0</v>
      </c>
      <c r="B573" s="220">
        <v>0.026719778579476088</v>
      </c>
      <c r="C573" s="220">
        <v>0.012</v>
      </c>
      <c r="D573" s="220">
        <v>0.03871977857947609</v>
      </c>
      <c r="E573" s="220">
        <v>7.017862405224451E-5</v>
      </c>
      <c r="F573" s="210">
        <v>2.583946970918987</v>
      </c>
      <c r="G573" s="209">
        <v>8553.874282344</v>
      </c>
      <c r="H573" s="210">
        <v>8804.175000000001</v>
      </c>
      <c r="I573" s="210">
        <v>0.0</v>
      </c>
      <c r="J573" s="215">
        <v>4.254</v>
      </c>
      <c r="K573" s="221">
        <v>41.758</v>
      </c>
      <c r="L573" s="221">
        <v>183.17</v>
      </c>
      <c r="M573" s="221">
        <v>8.46</v>
      </c>
      <c r="N573" s="221">
        <v>111.02</v>
      </c>
      <c r="O573" s="213">
        <v>-0.001410123836615577</v>
      </c>
      <c r="P573" s="214">
        <v>0.007942851273355811</v>
      </c>
      <c r="Q573" s="214">
        <v>2.0004210222971755E-4</v>
      </c>
      <c r="R573" s="214">
        <v>0.004733885442024244</v>
      </c>
      <c r="S573" s="214">
        <v>-0.001804135918493784</v>
      </c>
    </row>
    <row r="574">
      <c r="A574" s="208">
        <v>42776.0</v>
      </c>
      <c r="B574" s="30">
        <v>0.02670808214213405</v>
      </c>
      <c r="C574" s="30">
        <v>0.012</v>
      </c>
      <c r="D574" s="164">
        <v>0.038708082142134045</v>
      </c>
      <c r="E574" s="164">
        <v>0.011948226836911068</v>
      </c>
      <c r="F574" s="210">
        <v>329.94645762915206</v>
      </c>
      <c r="G574" s="209">
        <v>8551.290335373082</v>
      </c>
      <c r="H574" s="210">
        <v>8804.175000000001</v>
      </c>
      <c r="I574" s="210">
        <v>0.0</v>
      </c>
      <c r="J574" s="215">
        <v>4.261</v>
      </c>
      <c r="K574" s="221">
        <v>41.322</v>
      </c>
      <c r="L574" s="221">
        <v>182.98</v>
      </c>
      <c r="M574" s="221">
        <v>8.48</v>
      </c>
      <c r="N574" s="221">
        <v>111.63</v>
      </c>
      <c r="O574" s="213">
        <v>0.0016352584341355891</v>
      </c>
      <c r="P574" s="214">
        <v>0.003890164001040919</v>
      </c>
      <c r="Q574" s="214">
        <v>5.644291914431351E-4</v>
      </c>
      <c r="R574" s="214">
        <v>0.007520308785618861</v>
      </c>
      <c r="S574" s="214">
        <v>0.0014608007813112038</v>
      </c>
    </row>
    <row r="575">
      <c r="A575" s="208">
        <v>42775.0</v>
      </c>
      <c r="B575" s="220">
        <v>0.025227053787520173</v>
      </c>
      <c r="C575" s="220">
        <v>0.011987500000000003</v>
      </c>
      <c r="D575" s="220">
        <v>0.03721455378752016</v>
      </c>
      <c r="E575" s="222">
        <v>0.011948226836911068</v>
      </c>
      <c r="F575" s="210">
        <v>329.94645762915115</v>
      </c>
      <c r="G575" s="209">
        <v>8221.34387774393</v>
      </c>
      <c r="H575" s="210">
        <v>8804.175000000001</v>
      </c>
      <c r="I575" s="210">
        <v>0.0</v>
      </c>
      <c r="J575" s="215">
        <v>4.257</v>
      </c>
      <c r="K575" s="221">
        <v>41.21</v>
      </c>
      <c r="L575" s="221">
        <v>183.01</v>
      </c>
      <c r="M575" s="221">
        <v>8.38</v>
      </c>
      <c r="N575" s="221">
        <v>111.32</v>
      </c>
      <c r="O575" s="213">
        <v>0.005567625861984189</v>
      </c>
      <c r="P575" s="214">
        <v>0.0045456196223991885</v>
      </c>
      <c r="Q575" s="214">
        <v>0.0031555300377290596</v>
      </c>
      <c r="R575" s="214">
        <v>0.0035894911755559957</v>
      </c>
      <c r="S575" s="214">
        <v>0.0034443672899770275</v>
      </c>
    </row>
    <row r="576">
      <c r="A576" s="208">
        <v>42774.0</v>
      </c>
      <c r="B576" s="220">
        <v>0.023746025432906288</v>
      </c>
      <c r="C576" s="220">
        <v>0.011975000000000003</v>
      </c>
      <c r="D576" s="220">
        <v>0.03572102543290628</v>
      </c>
      <c r="E576" s="222">
        <v>0.011948226836911068</v>
      </c>
      <c r="F576" s="210">
        <v>329.94645762915206</v>
      </c>
      <c r="G576" s="209">
        <v>7891.3974201147785</v>
      </c>
      <c r="H576" s="210">
        <v>8804.175000000001</v>
      </c>
      <c r="I576" s="210">
        <v>0.0</v>
      </c>
      <c r="J576" s="215">
        <v>4.272</v>
      </c>
      <c r="K576" s="221">
        <v>40.77</v>
      </c>
      <c r="L576" s="221">
        <v>183.06</v>
      </c>
      <c r="M576" s="221">
        <v>8.34</v>
      </c>
      <c r="N576" s="221">
        <v>111.62</v>
      </c>
      <c r="O576" s="213">
        <v>0.008255141694090584</v>
      </c>
      <c r="P576" s="214">
        <v>0.002397061710346963</v>
      </c>
      <c r="Q576" s="214">
        <v>0.0049014982420398185</v>
      </c>
      <c r="R576" s="214">
        <v>0.004008855641662756</v>
      </c>
      <c r="S576" s="214">
        <v>0.00827599364453909</v>
      </c>
    </row>
    <row r="577">
      <c r="A577" s="208">
        <v>42773.0</v>
      </c>
      <c r="B577" s="220">
        <v>0.022264997078292402</v>
      </c>
      <c r="C577" s="220">
        <v>0.011962500000000003</v>
      </c>
      <c r="D577" s="220">
        <v>0.034227497078292396</v>
      </c>
      <c r="E577" s="222">
        <v>0.011948226836911068</v>
      </c>
      <c r="F577" s="210">
        <v>329.94645762915206</v>
      </c>
      <c r="G577" s="209">
        <v>7561.450962485626</v>
      </c>
      <c r="H577" s="210">
        <v>8804.175000000001</v>
      </c>
      <c r="I577" s="210">
        <v>0.0</v>
      </c>
      <c r="J577" s="215">
        <v>4.24</v>
      </c>
      <c r="K577" s="221">
        <v>40.84</v>
      </c>
      <c r="L577" s="221">
        <v>182.67</v>
      </c>
      <c r="M577" s="221">
        <v>8.29</v>
      </c>
      <c r="N577" s="221">
        <v>111.14</v>
      </c>
      <c r="O577" s="213">
        <v>0.0067181859988607595</v>
      </c>
      <c r="P577" s="214">
        <v>0.005645795015846389</v>
      </c>
      <c r="Q577" s="214">
        <v>0.0054294754815872315</v>
      </c>
      <c r="R577" s="214">
        <v>3.923313853396356E-4</v>
      </c>
      <c r="S577" s="214">
        <v>0.008067261020502703</v>
      </c>
    </row>
    <row r="578">
      <c r="A578" s="208">
        <v>42772.0</v>
      </c>
      <c r="B578" s="220">
        <v>0.020783968723678516</v>
      </c>
      <c r="C578" s="220">
        <v>0.011950000000000002</v>
      </c>
      <c r="D578" s="220">
        <v>0.032733968723678515</v>
      </c>
      <c r="E578" s="222">
        <v>0.011948226836911068</v>
      </c>
      <c r="F578" s="210">
        <v>329.94645762915206</v>
      </c>
      <c r="G578" s="209">
        <v>7231.504504856474</v>
      </c>
      <c r="H578" s="210">
        <v>8804.175000000001</v>
      </c>
      <c r="I578" s="210">
        <v>0.0</v>
      </c>
      <c r="J578" s="215">
        <v>4.186</v>
      </c>
      <c r="K578" s="221">
        <v>40.649</v>
      </c>
      <c r="L578" s="221">
        <v>181.28</v>
      </c>
      <c r="M578" s="221">
        <v>8.29</v>
      </c>
      <c r="N578" s="221">
        <v>110.17</v>
      </c>
      <c r="O578" s="213">
        <v>0.0019113305772651874</v>
      </c>
      <c r="P578" s="214">
        <v>0.003140462195353725</v>
      </c>
      <c r="Q578" s="214">
        <v>0.0024478637674835158</v>
      </c>
      <c r="R578" s="214">
        <v>3.923313853396356E-4</v>
      </c>
      <c r="S578" s="214">
        <v>0.0073091498414033325</v>
      </c>
    </row>
    <row r="579">
      <c r="A579" s="208">
        <v>42769.0</v>
      </c>
      <c r="B579" s="220">
        <v>0.01930294036906463</v>
      </c>
      <c r="C579" s="220">
        <v>0.011937500000000002</v>
      </c>
      <c r="D579" s="220">
        <v>0.03124044036906463</v>
      </c>
      <c r="E579" s="222">
        <v>0.011948226836911068</v>
      </c>
      <c r="F579" s="210">
        <v>329.94645762915206</v>
      </c>
      <c r="G579" s="209">
        <v>6901.558047227322</v>
      </c>
      <c r="H579" s="210">
        <v>8804.175000000001</v>
      </c>
      <c r="I579" s="210">
        <v>0.0</v>
      </c>
      <c r="J579" s="215">
        <v>4.167</v>
      </c>
      <c r="K579" s="221">
        <v>40.477</v>
      </c>
      <c r="L579" s="221">
        <v>180.38</v>
      </c>
      <c r="M579" s="221">
        <v>8.24</v>
      </c>
      <c r="N579" s="221">
        <v>108.87</v>
      </c>
      <c r="O579" s="213">
        <v>-4.8263590169391374E-4</v>
      </c>
      <c r="P579" s="214">
        <v>0.00439562044029936</v>
      </c>
      <c r="Q579" s="214">
        <v>7.744416039440946E-4</v>
      </c>
      <c r="R579" s="214">
        <v>7.973359598517268E-4</v>
      </c>
      <c r="S579" s="214">
        <v>0.0021695620442208443</v>
      </c>
    </row>
    <row r="580">
      <c r="A580" s="208">
        <v>42768.0</v>
      </c>
      <c r="B580" s="220">
        <v>0.017821912014450745</v>
      </c>
      <c r="C580" s="220">
        <v>0.011925000000000002</v>
      </c>
      <c r="D580" s="220">
        <v>0.029746912014450747</v>
      </c>
      <c r="E580" s="222">
        <v>0.011948226836911068</v>
      </c>
      <c r="F580" s="210">
        <v>329.94645762915206</v>
      </c>
      <c r="G580" s="209">
        <v>6571.61158959817</v>
      </c>
      <c r="H580" s="210">
        <v>8804.175000000001</v>
      </c>
      <c r="I580" s="210">
        <v>0.0</v>
      </c>
      <c r="J580" s="215">
        <v>4.155</v>
      </c>
      <c r="K580" s="221">
        <v>40.152</v>
      </c>
      <c r="L580" s="221">
        <v>179.71</v>
      </c>
      <c r="M580" s="221">
        <v>8.28</v>
      </c>
      <c r="N580" s="221">
        <v>108.47</v>
      </c>
      <c r="O580" s="213">
        <v>-0.003359645137072912</v>
      </c>
      <c r="P580" s="214">
        <v>-0.0019526038163367732</v>
      </c>
      <c r="Q580" s="214">
        <v>-0.002834582549727571</v>
      </c>
      <c r="R580" s="214">
        <v>0.002009943933142836</v>
      </c>
      <c r="S580" s="214">
        <v>0.0023008755790466795</v>
      </c>
    </row>
    <row r="581">
      <c r="A581" s="208">
        <v>42767.0</v>
      </c>
      <c r="B581" s="220">
        <v>0.01634088365983686</v>
      </c>
      <c r="C581" s="220">
        <v>0.011912500000000001</v>
      </c>
      <c r="D581" s="220">
        <v>0.028253383659836862</v>
      </c>
      <c r="E581" s="222">
        <v>0.011948226836911068</v>
      </c>
      <c r="F581" s="210">
        <v>329.94645762915206</v>
      </c>
      <c r="G581" s="209">
        <v>6241.665131969018</v>
      </c>
      <c r="H581" s="210">
        <v>8804.175000000001</v>
      </c>
      <c r="I581" s="210">
        <v>0.0</v>
      </c>
      <c r="J581" s="215">
        <v>4.162</v>
      </c>
      <c r="K581" s="221">
        <v>40.266</v>
      </c>
      <c r="L581" s="221">
        <v>179.95</v>
      </c>
      <c r="M581" s="221">
        <v>8.28</v>
      </c>
      <c r="N581" s="221">
        <v>107.77</v>
      </c>
      <c r="O581" s="213">
        <v>-0.0020832764512859203</v>
      </c>
      <c r="P581" s="214">
        <v>-0.0044233950789524705</v>
      </c>
      <c r="Q581" s="214">
        <v>-0.0016721399469717586</v>
      </c>
      <c r="R581" s="214">
        <v>-8.252120004335062E-4</v>
      </c>
      <c r="S581" s="214">
        <v>0.0025015193714081154</v>
      </c>
    </row>
    <row r="582">
      <c r="A582" s="208">
        <v>42766.0</v>
      </c>
      <c r="B582" s="30">
        <v>0.014859855305222975</v>
      </c>
      <c r="C582" s="30">
        <v>0.0119</v>
      </c>
      <c r="D582" s="164">
        <v>0.026759855305222978</v>
      </c>
      <c r="E582" s="164">
        <v>0.006180681136144374</v>
      </c>
      <c r="F582" s="210">
        <v>26.258081566816145</v>
      </c>
      <c r="G582" s="209">
        <v>5911.718674339866</v>
      </c>
      <c r="H582" s="210">
        <v>8804.175000000001</v>
      </c>
      <c r="I582" s="210">
        <v>0.0</v>
      </c>
      <c r="J582" s="215">
        <v>4.173</v>
      </c>
      <c r="K582" s="221">
        <v>39.944</v>
      </c>
      <c r="L582" s="221">
        <v>179.96</v>
      </c>
      <c r="M582" s="221">
        <v>8.22</v>
      </c>
      <c r="N582" s="221">
        <v>108.16</v>
      </c>
      <c r="O582" s="213">
        <v>-1.6758742207560276E-4</v>
      </c>
      <c r="P582" s="214">
        <v>-0.00852698111132466</v>
      </c>
      <c r="Q582" s="214">
        <v>-0.001358712587479068</v>
      </c>
      <c r="R582" s="214">
        <v>-0.006453522343254026</v>
      </c>
      <c r="S582" s="214">
        <v>0.0033649847090396388</v>
      </c>
    </row>
    <row r="583">
      <c r="A583" s="208">
        <v>42765.0</v>
      </c>
      <c r="B583" s="220">
        <v>0.014760226821835587</v>
      </c>
      <c r="C583" s="220">
        <v>0.011880769230769252</v>
      </c>
      <c r="D583" s="220">
        <v>0.026640996052604837</v>
      </c>
      <c r="E583" s="222">
        <v>0.006180681136144374</v>
      </c>
      <c r="F583" s="210">
        <v>26.258081566820692</v>
      </c>
      <c r="G583" s="209">
        <v>5885.46059277305</v>
      </c>
      <c r="H583" s="210">
        <v>8804.175000000001</v>
      </c>
      <c r="I583" s="210">
        <v>0.0</v>
      </c>
      <c r="J583" s="215">
        <v>4.197</v>
      </c>
      <c r="K583" s="221">
        <v>40.384</v>
      </c>
      <c r="L583" s="221">
        <v>181.24</v>
      </c>
      <c r="M583" s="221">
        <v>8.23</v>
      </c>
      <c r="N583" s="221">
        <v>107.72</v>
      </c>
      <c r="O583" s="213">
        <v>0.0030269437169403446</v>
      </c>
      <c r="P583" s="214">
        <v>-0.0017719178660314434</v>
      </c>
      <c r="Q583" s="214">
        <v>0.002561800012273278</v>
      </c>
      <c r="R583" s="214">
        <v>-0.004456917442619668</v>
      </c>
      <c r="S583" s="214">
        <v>7.014131253331168E-4</v>
      </c>
    </row>
    <row r="584">
      <c r="A584" s="208">
        <v>42762.0</v>
      </c>
      <c r="B584" s="220">
        <v>0.014660598338448195</v>
      </c>
      <c r="C584" s="220">
        <v>0.011861538461538482</v>
      </c>
      <c r="D584" s="220">
        <v>0.026522136799986676</v>
      </c>
      <c r="E584" s="222">
        <v>0.006180681136144374</v>
      </c>
      <c r="F584" s="210">
        <v>26.258081566820692</v>
      </c>
      <c r="G584" s="209">
        <v>5859.202511206229</v>
      </c>
      <c r="H584" s="210">
        <v>8804.175000000001</v>
      </c>
      <c r="I584" s="210">
        <v>0.0</v>
      </c>
      <c r="J584" s="215">
        <v>4.188</v>
      </c>
      <c r="K584" s="221">
        <v>40.798</v>
      </c>
      <c r="L584" s="221">
        <v>180.85</v>
      </c>
      <c r="M584" s="221">
        <v>8.3</v>
      </c>
      <c r="N584" s="221">
        <v>106.96</v>
      </c>
      <c r="O584" s="213">
        <v>-0.0011341938340519626</v>
      </c>
      <c r="P584" s="214">
        <v>0.00506113287412413</v>
      </c>
      <c r="Q584" s="214">
        <v>4.54471797234494E-4</v>
      </c>
      <c r="R584" s="214">
        <v>-0.002820802276429409</v>
      </c>
      <c r="S584" s="214">
        <v>-0.004937490569321135</v>
      </c>
    </row>
    <row r="585">
      <c r="A585" s="208">
        <v>42761.0</v>
      </c>
      <c r="B585" s="220">
        <v>0.014560969855060803</v>
      </c>
      <c r="C585" s="220">
        <v>0.011842307692307713</v>
      </c>
      <c r="D585" s="220">
        <v>0.026403277547368514</v>
      </c>
      <c r="E585" s="222">
        <v>0.006180681136144374</v>
      </c>
      <c r="F585" s="210">
        <v>26.258081566820692</v>
      </c>
      <c r="G585" s="209">
        <v>5832.944429639409</v>
      </c>
      <c r="H585" s="210">
        <v>8804.175000000001</v>
      </c>
      <c r="I585" s="210">
        <v>0.0</v>
      </c>
      <c r="J585" s="215">
        <v>4.175</v>
      </c>
      <c r="K585" s="221">
        <v>40.974</v>
      </c>
      <c r="L585" s="221">
        <v>180.69</v>
      </c>
      <c r="M585" s="221">
        <v>8.38</v>
      </c>
      <c r="N585" s="221">
        <v>107.07</v>
      </c>
      <c r="O585" s="213">
        <v>-0.004628042596356556</v>
      </c>
      <c r="P585" s="214">
        <v>0.007718654407123826</v>
      </c>
      <c r="Q585" s="214">
        <v>-8.924806247447478E-4</v>
      </c>
      <c r="R585" s="214">
        <v>3.920491291931061E-4</v>
      </c>
      <c r="S585" s="214">
        <v>-0.006130074046288773</v>
      </c>
    </row>
    <row r="586">
      <c r="A586" s="208">
        <v>42760.0</v>
      </c>
      <c r="B586" s="220">
        <v>0.014461341371673412</v>
      </c>
      <c r="C586" s="220">
        <v>0.011823076923076943</v>
      </c>
      <c r="D586" s="220">
        <v>0.026284418294750353</v>
      </c>
      <c r="E586" s="222">
        <v>0.006180681136144374</v>
      </c>
      <c r="F586" s="210">
        <v>26.258081566820692</v>
      </c>
      <c r="G586" s="209">
        <v>5806.686348072588</v>
      </c>
      <c r="H586" s="210">
        <v>8804.175000000001</v>
      </c>
      <c r="I586" s="210">
        <v>0.0</v>
      </c>
      <c r="J586" s="215">
        <v>4.159</v>
      </c>
      <c r="K586" s="221">
        <v>40.595</v>
      </c>
      <c r="L586" s="221">
        <v>179.85</v>
      </c>
      <c r="M586" s="221">
        <v>8.34</v>
      </c>
      <c r="N586" s="221">
        <v>107.49</v>
      </c>
      <c r="O586" s="213">
        <v>-0.0029131261028612077</v>
      </c>
      <c r="P586" s="214">
        <v>7.218625205764514E-4</v>
      </c>
      <c r="Q586" s="214">
        <v>-0.0019453249994999904</v>
      </c>
      <c r="R586" s="214">
        <v>-0.0015972884774618408</v>
      </c>
      <c r="S586" s="214">
        <v>-0.003233033295931461</v>
      </c>
    </row>
    <row r="587">
      <c r="A587" s="208">
        <v>42759.0</v>
      </c>
      <c r="B587" s="220">
        <v>0.01436171288828602</v>
      </c>
      <c r="C587" s="220">
        <v>0.011803846153846173</v>
      </c>
      <c r="D587" s="220">
        <v>0.02616555904213219</v>
      </c>
      <c r="E587" s="222">
        <v>0.006180681136144374</v>
      </c>
      <c r="F587" s="210">
        <v>26.258081566820692</v>
      </c>
      <c r="G587" s="209">
        <v>5780.428266505767</v>
      </c>
      <c r="H587" s="210">
        <v>8804.175000000001</v>
      </c>
      <c r="I587" s="210">
        <v>0.0</v>
      </c>
      <c r="J587" s="215">
        <v>4.202</v>
      </c>
      <c r="K587" s="221">
        <v>40.179</v>
      </c>
      <c r="L587" s="221">
        <v>180.6</v>
      </c>
      <c r="M587" s="221">
        <v>8.37</v>
      </c>
      <c r="N587" s="221">
        <v>108.55</v>
      </c>
      <c r="O587" s="213">
        <v>-0.002565712129326251</v>
      </c>
      <c r="P587" s="214">
        <v>-0.0032454063898361696</v>
      </c>
      <c r="Q587" s="214">
        <v>-0.0026558858086503565</v>
      </c>
      <c r="R587" s="214">
        <v>-0.0011937926583653151</v>
      </c>
      <c r="S587" s="214">
        <v>-5.908887652260978E-4</v>
      </c>
    </row>
    <row r="588">
      <c r="A588" s="208">
        <v>42758.0</v>
      </c>
      <c r="B588" s="220">
        <v>0.014262084404898628</v>
      </c>
      <c r="C588" s="220">
        <v>0.011784615384615404</v>
      </c>
      <c r="D588" s="220">
        <v>0.02604669978951403</v>
      </c>
      <c r="E588" s="222">
        <v>0.006180681136144374</v>
      </c>
      <c r="F588" s="210">
        <v>26.258081566820692</v>
      </c>
      <c r="G588" s="209">
        <v>5754.1701849389465</v>
      </c>
      <c r="H588" s="210">
        <v>8804.175000000001</v>
      </c>
      <c r="I588" s="210">
        <v>0.0</v>
      </c>
      <c r="J588" s="215">
        <v>4.233</v>
      </c>
      <c r="K588" s="221">
        <v>40.032</v>
      </c>
      <c r="L588" s="221">
        <v>181.17</v>
      </c>
      <c r="M588" s="221">
        <v>8.37</v>
      </c>
      <c r="N588" s="221">
        <v>109.05</v>
      </c>
      <c r="O588" s="213">
        <v>-0.0023896707139533144</v>
      </c>
      <c r="P588" s="214">
        <v>-0.002903822625386354</v>
      </c>
      <c r="Q588" s="214">
        <v>-0.002446142802537595</v>
      </c>
      <c r="R588" s="214">
        <v>-7.969672615399196E-4</v>
      </c>
      <c r="S588" s="214">
        <v>-0.0010786725530641528</v>
      </c>
    </row>
    <row r="589">
      <c r="A589" s="208">
        <v>42755.0</v>
      </c>
      <c r="B589" s="220">
        <v>0.014162455921511236</v>
      </c>
      <c r="C589" s="220">
        <v>0.011765384615384634</v>
      </c>
      <c r="D589" s="220">
        <v>0.02592784053689587</v>
      </c>
      <c r="E589" s="222">
        <v>0.006180681136144374</v>
      </c>
      <c r="F589" s="210">
        <v>26.258081566820692</v>
      </c>
      <c r="G589" s="209">
        <v>5727.912103372126</v>
      </c>
      <c r="H589" s="210">
        <v>8804.175000000001</v>
      </c>
      <c r="I589" s="210">
        <v>0.0</v>
      </c>
      <c r="J589" s="215">
        <v>4.195</v>
      </c>
      <c r="K589" s="221">
        <v>40.502</v>
      </c>
      <c r="L589" s="221">
        <v>180.9</v>
      </c>
      <c r="M589" s="221">
        <v>8.38</v>
      </c>
      <c r="N589" s="221">
        <v>108.53</v>
      </c>
      <c r="O589" s="213">
        <v>-0.007102260638442696</v>
      </c>
      <c r="P589" s="214">
        <v>0.002008582261703159</v>
      </c>
      <c r="Q589" s="214">
        <v>-0.0031986215536688642</v>
      </c>
      <c r="R589" s="214">
        <v>-3.9871955146416244E-4</v>
      </c>
      <c r="S589" s="214">
        <v>-0.002332996011909394</v>
      </c>
    </row>
    <row r="590">
      <c r="A590" s="208">
        <v>42754.0</v>
      </c>
      <c r="B590" s="220">
        <v>0.014062827438123844</v>
      </c>
      <c r="C590" s="220">
        <v>0.011746153846153864</v>
      </c>
      <c r="D590" s="220">
        <v>0.025808981284277707</v>
      </c>
      <c r="E590" s="222">
        <v>0.006180681136144374</v>
      </c>
      <c r="F590" s="210">
        <v>26.258081566820692</v>
      </c>
      <c r="G590" s="209">
        <v>5701.654021805305</v>
      </c>
      <c r="H590" s="210">
        <v>8804.175000000001</v>
      </c>
      <c r="I590" s="210">
        <v>0.0</v>
      </c>
      <c r="J590" s="215">
        <v>4.234</v>
      </c>
      <c r="K590" s="221">
        <v>40.569</v>
      </c>
      <c r="L590" s="221">
        <v>182.04</v>
      </c>
      <c r="M590" s="221">
        <v>8.4</v>
      </c>
      <c r="N590" s="221">
        <v>108.74</v>
      </c>
      <c r="O590" s="213">
        <v>-0.00555914820207648</v>
      </c>
      <c r="P590" s="214">
        <v>-0.0013067309215020935</v>
      </c>
      <c r="Q590" s="214">
        <v>-0.0034523717833934153</v>
      </c>
      <c r="R590" s="214">
        <v>-0.001589666458557959</v>
      </c>
      <c r="S590" s="214">
        <v>-0.0014440139118844602</v>
      </c>
    </row>
    <row r="591">
      <c r="A591" s="208">
        <v>42753.0</v>
      </c>
      <c r="B591" s="220">
        <v>0.013963198954736453</v>
      </c>
      <c r="C591" s="220">
        <v>0.011726923076923095</v>
      </c>
      <c r="D591" s="220">
        <v>0.025690122031659546</v>
      </c>
      <c r="E591" s="222">
        <v>0.006180681136144374</v>
      </c>
      <c r="F591" s="210">
        <v>26.258081566820692</v>
      </c>
      <c r="G591" s="209">
        <v>5675.395940238484</v>
      </c>
      <c r="H591" s="210">
        <v>8804.175000000001</v>
      </c>
      <c r="I591" s="210">
        <v>0.0</v>
      </c>
      <c r="J591" s="215">
        <v>4.263</v>
      </c>
      <c r="K591" s="221">
        <v>40.379</v>
      </c>
      <c r="L591" s="221">
        <v>182.5</v>
      </c>
      <c r="M591" s="221">
        <v>8.39</v>
      </c>
      <c r="N591" s="221">
        <v>109.4</v>
      </c>
      <c r="O591" s="213">
        <v>-2.4010658920214922E-5</v>
      </c>
      <c r="P591" s="214">
        <v>-0.0031379615915557713</v>
      </c>
      <c r="Q591" s="214">
        <v>-8.340280775733788E-4</v>
      </c>
      <c r="R591" s="214">
        <v>-0.0011966024399014952</v>
      </c>
      <c r="S591" s="214">
        <v>0.0036008619423051704</v>
      </c>
    </row>
    <row r="592">
      <c r="A592" s="208">
        <v>42752.0</v>
      </c>
      <c r="B592" s="220">
        <v>0.013863570471349061</v>
      </c>
      <c r="C592" s="220">
        <v>0.011707692307692325</v>
      </c>
      <c r="D592" s="220">
        <v>0.025571262779041384</v>
      </c>
      <c r="E592" s="222">
        <v>0.006180681136144374</v>
      </c>
      <c r="F592" s="210">
        <v>26.258081566820692</v>
      </c>
      <c r="G592" s="209">
        <v>5649.137858671664</v>
      </c>
      <c r="H592" s="210">
        <v>8804.175000000001</v>
      </c>
      <c r="I592" s="210">
        <v>0.0</v>
      </c>
      <c r="J592" s="215">
        <v>4.285</v>
      </c>
      <c r="K592" s="221">
        <v>40.258</v>
      </c>
      <c r="L592" s="221">
        <v>182.64</v>
      </c>
      <c r="M592" s="221">
        <v>8.39</v>
      </c>
      <c r="N592" s="221">
        <v>109.29</v>
      </c>
      <c r="O592" s="213">
        <v>-0.0031516985156720967</v>
      </c>
      <c r="P592" s="214">
        <v>-1.6215082318978466E-4</v>
      </c>
      <c r="Q592" s="214">
        <v>-0.0017261749200997063</v>
      </c>
      <c r="R592" s="214">
        <v>0.0015745772908981603</v>
      </c>
      <c r="S592" s="214">
        <v>0.0024340612020341545</v>
      </c>
    </row>
    <row r="593">
      <c r="A593" s="208">
        <v>42751.0</v>
      </c>
      <c r="B593" s="220">
        <v>0.013763941987961669</v>
      </c>
      <c r="C593" s="220">
        <v>0.011688461538461556</v>
      </c>
      <c r="D593" s="220">
        <v>0.025452403526423223</v>
      </c>
      <c r="E593" s="222">
        <v>0.006180681136144374</v>
      </c>
      <c r="F593" s="210">
        <v>26.258081566820692</v>
      </c>
      <c r="G593" s="209">
        <v>5622.879777104843</v>
      </c>
      <c r="H593" s="210">
        <v>8804.175000000001</v>
      </c>
      <c r="I593" s="210">
        <v>0.0</v>
      </c>
      <c r="J593" s="215">
        <v>4.305</v>
      </c>
      <c r="K593" s="221">
        <v>40.725</v>
      </c>
      <c r="L593" s="221">
        <v>183.93</v>
      </c>
      <c r="M593" s="221">
        <v>8.44</v>
      </c>
      <c r="N593" s="221">
        <v>109.21</v>
      </c>
      <c r="O593" s="213">
        <v>-0.004447521422572838</v>
      </c>
      <c r="P593" s="214">
        <v>-0.0021886837120137135</v>
      </c>
      <c r="Q593" s="214">
        <v>-0.0034027568091810068</v>
      </c>
      <c r="R593" s="214">
        <v>0.0023634643558623583</v>
      </c>
      <c r="S593" s="214">
        <v>0.0019749884701399565</v>
      </c>
    </row>
    <row r="594">
      <c r="A594" s="208">
        <v>42748.0</v>
      </c>
      <c r="B594" s="220">
        <v>0.013664313504574277</v>
      </c>
      <c r="C594" s="220">
        <v>0.011669230769230786</v>
      </c>
      <c r="D594" s="220">
        <v>0.02533354427380506</v>
      </c>
      <c r="E594" s="222">
        <v>0.006180681136144374</v>
      </c>
      <c r="F594" s="210">
        <v>26.258081566820692</v>
      </c>
      <c r="G594" s="209">
        <v>5596.621695538022</v>
      </c>
      <c r="H594" s="210">
        <v>8804.175000000001</v>
      </c>
      <c r="I594" s="210">
        <v>0.0</v>
      </c>
      <c r="J594" s="215">
        <v>4.263</v>
      </c>
      <c r="K594" s="221">
        <v>40.758</v>
      </c>
      <c r="L594" s="221">
        <v>182.95</v>
      </c>
      <c r="M594" s="221">
        <v>8.42</v>
      </c>
      <c r="N594" s="221">
        <v>108.22</v>
      </c>
      <c r="O594" s="213">
        <v>-0.004260764396818217</v>
      </c>
      <c r="P594" s="214">
        <v>-0.0010157880203083651</v>
      </c>
      <c r="Q594" s="214">
        <v>-0.002613312196871146</v>
      </c>
      <c r="R594" s="214">
        <v>0.003960209785249247</v>
      </c>
      <c r="S594" s="214">
        <v>2.7360157979772204E-4</v>
      </c>
    </row>
    <row r="595">
      <c r="A595" s="208">
        <v>42747.0</v>
      </c>
      <c r="B595" s="220">
        <v>0.013564685021186886</v>
      </c>
      <c r="C595" s="220">
        <v>0.011650000000000016</v>
      </c>
      <c r="D595" s="220">
        <v>0.0252146850211869</v>
      </c>
      <c r="E595" s="222">
        <v>0.006180681136144374</v>
      </c>
      <c r="F595" s="210">
        <v>26.258081566820692</v>
      </c>
      <c r="G595" s="209">
        <v>5570.363613971202</v>
      </c>
      <c r="H595" s="210">
        <v>8804.175000000001</v>
      </c>
      <c r="I595" s="210">
        <v>0.0</v>
      </c>
      <c r="J595" s="215">
        <v>4.325</v>
      </c>
      <c r="K595" s="221">
        <v>40.272</v>
      </c>
      <c r="L595" s="221">
        <v>183.58</v>
      </c>
      <c r="M595" s="221">
        <v>8.35</v>
      </c>
      <c r="N595" s="221">
        <v>108.49</v>
      </c>
      <c r="O595" s="213">
        <v>0.001204864699068627</v>
      </c>
      <c r="P595" s="214">
        <v>-0.004949691122902851</v>
      </c>
      <c r="Q595" s="214">
        <v>-0.001103865865006437</v>
      </c>
      <c r="R595" s="214">
        <v>0.0031922351826546938</v>
      </c>
      <c r="S595" s="214">
        <v>0.0023691515579153943</v>
      </c>
    </row>
    <row r="596">
      <c r="A596" s="208">
        <v>42746.0</v>
      </c>
      <c r="B596" s="220">
        <v>0.013465056537799494</v>
      </c>
      <c r="C596" s="220">
        <v>0.011630769230769247</v>
      </c>
      <c r="D596" s="220">
        <v>0.02509582576856874</v>
      </c>
      <c r="E596" s="222">
        <v>0.006180681136144374</v>
      </c>
      <c r="F596" s="210">
        <v>26.258081566820692</v>
      </c>
      <c r="G596" s="209">
        <v>5544.105532404381</v>
      </c>
      <c r="H596" s="210">
        <v>8804.175000000001</v>
      </c>
      <c r="I596" s="210">
        <v>0.0</v>
      </c>
      <c r="J596" s="215">
        <v>4.362</v>
      </c>
      <c r="K596" s="221">
        <v>40.984</v>
      </c>
      <c r="L596" s="221">
        <v>185.8</v>
      </c>
      <c r="M596" s="221">
        <v>8.38</v>
      </c>
      <c r="N596" s="221">
        <v>108.56</v>
      </c>
      <c r="O596" s="213">
        <v>0.00513950702809185</v>
      </c>
      <c r="P596" s="214">
        <v>3.0737347040329005E-4</v>
      </c>
      <c r="Q596" s="214">
        <v>0.0034519517023417303</v>
      </c>
      <c r="R596" s="214">
        <v>0.0011653337255930207</v>
      </c>
      <c r="S596" s="214">
        <v>0.005028834625177965</v>
      </c>
    </row>
    <row r="597">
      <c r="A597" s="208">
        <v>42745.0</v>
      </c>
      <c r="B597" s="220">
        <v>0.013365428054412102</v>
      </c>
      <c r="C597" s="220">
        <v>0.011611538461538477</v>
      </c>
      <c r="D597" s="220">
        <v>0.024976966515950577</v>
      </c>
      <c r="E597" s="222">
        <v>0.006180681136144374</v>
      </c>
      <c r="F597" s="210">
        <v>26.258081566820692</v>
      </c>
      <c r="G597" s="209">
        <v>5517.84745083756</v>
      </c>
      <c r="H597" s="210">
        <v>8804.175000000001</v>
      </c>
      <c r="I597" s="210">
        <v>0.0</v>
      </c>
      <c r="J597" s="215">
        <v>4.317</v>
      </c>
      <c r="K597" s="221">
        <v>40.873</v>
      </c>
      <c r="L597" s="221">
        <v>184.37</v>
      </c>
      <c r="M597" s="221">
        <v>8.32</v>
      </c>
      <c r="N597" s="221">
        <v>108.13</v>
      </c>
      <c r="O597" s="213">
        <v>8.470116224854607E-4</v>
      </c>
      <c r="P597" s="214">
        <v>0.002253863304265654</v>
      </c>
      <c r="Q597" s="214">
        <v>8.502135755981133E-4</v>
      </c>
      <c r="R597" s="214">
        <v>7.74706864756188E-4</v>
      </c>
      <c r="S597" s="214">
        <v>0.0016510994635745568</v>
      </c>
    </row>
    <row r="598">
      <c r="A598" s="208">
        <v>42744.0</v>
      </c>
      <c r="B598" s="220">
        <v>0.01326579957102471</v>
      </c>
      <c r="C598" s="220">
        <v>0.011592307692307707</v>
      </c>
      <c r="D598" s="220">
        <v>0.024858107263332416</v>
      </c>
      <c r="E598" s="222">
        <v>0.006180681136144374</v>
      </c>
      <c r="F598" s="210">
        <v>26.258081566820692</v>
      </c>
      <c r="G598" s="209">
        <v>5491.58936927074</v>
      </c>
      <c r="H598" s="210">
        <v>8804.175000000001</v>
      </c>
      <c r="I598" s="210">
        <v>0.0</v>
      </c>
      <c r="J598" s="215">
        <v>4.309</v>
      </c>
      <c r="K598" s="221">
        <v>40.868</v>
      </c>
      <c r="L598" s="221">
        <v>184.17</v>
      </c>
      <c r="M598" s="221">
        <v>8.27</v>
      </c>
      <c r="N598" s="221">
        <v>107.72</v>
      </c>
      <c r="O598" s="213">
        <v>0.0013904691643875644</v>
      </c>
      <c r="P598" s="214">
        <v>-0.0021962148196049323</v>
      </c>
      <c r="Q598" s="214">
        <v>-8.708126264415453E-4</v>
      </c>
      <c r="R598" s="214">
        <v>-0.004039743243368643</v>
      </c>
      <c r="S598" s="214">
        <v>0.0024319884414041684</v>
      </c>
    </row>
    <row r="599">
      <c r="A599" s="208">
        <v>42741.0</v>
      </c>
      <c r="B599" s="220">
        <v>0.013166171087637318</v>
      </c>
      <c r="C599" s="220">
        <v>0.011573076923076938</v>
      </c>
      <c r="D599" s="220">
        <v>0.024739248010714254</v>
      </c>
      <c r="E599" s="222">
        <v>0.006180681136144374</v>
      </c>
      <c r="F599" s="210">
        <v>26.258081566820692</v>
      </c>
      <c r="G599" s="209">
        <v>5465.331287703919</v>
      </c>
      <c r="H599" s="210">
        <v>8804.175000000001</v>
      </c>
      <c r="I599" s="210">
        <v>0.0</v>
      </c>
      <c r="J599" s="215">
        <v>4.295</v>
      </c>
      <c r="K599" s="221">
        <v>40.946</v>
      </c>
      <c r="L599" s="221">
        <v>183.88</v>
      </c>
      <c r="M599" s="221">
        <v>8.35</v>
      </c>
      <c r="N599" s="221">
        <v>106.93</v>
      </c>
      <c r="O599" s="213">
        <v>-4.693550998506879E-4</v>
      </c>
      <c r="P599" s="214">
        <v>-9.522357380139882E-4</v>
      </c>
      <c r="Q599" s="214">
        <v>-0.0030925940569388466</v>
      </c>
      <c r="R599" s="214">
        <v>-0.0012134847059635339</v>
      </c>
      <c r="S599" s="214">
        <v>-0.0011036774943455157</v>
      </c>
    </row>
    <row r="600">
      <c r="A600" s="208">
        <v>42740.0</v>
      </c>
      <c r="B600" s="220">
        <v>0.013066542604249927</v>
      </c>
      <c r="C600" s="220">
        <v>0.011553846153846168</v>
      </c>
      <c r="D600" s="220">
        <v>0.024620388758096093</v>
      </c>
      <c r="E600" s="222">
        <v>0.006180681136144374</v>
      </c>
      <c r="F600" s="210">
        <v>26.258081566820692</v>
      </c>
      <c r="G600" s="209">
        <v>5439.073206137098</v>
      </c>
      <c r="H600" s="210">
        <v>8804.175000000001</v>
      </c>
      <c r="I600" s="210">
        <v>0.0</v>
      </c>
      <c r="J600" s="215">
        <v>4.306</v>
      </c>
      <c r="K600" s="221">
        <v>40.596</v>
      </c>
      <c r="L600" s="221">
        <v>183.9</v>
      </c>
      <c r="M600" s="221">
        <v>8.3</v>
      </c>
      <c r="N600" s="221">
        <v>107.59</v>
      </c>
      <c r="O600" s="213">
        <v>0.002011879241424319</v>
      </c>
      <c r="P600" s="214">
        <v>-0.0029247084877187892</v>
      </c>
      <c r="Q600" s="214">
        <v>-0.0021223801609608905</v>
      </c>
      <c r="R600" s="214">
        <v>-0.004800582586574527</v>
      </c>
      <c r="S600" s="214">
        <v>0.004526947324756114</v>
      </c>
    </row>
    <row r="601">
      <c r="A601" s="208">
        <v>42739.0</v>
      </c>
      <c r="B601" s="220">
        <v>0.012966914120862535</v>
      </c>
      <c r="C601" s="220">
        <v>0.011534615384615398</v>
      </c>
      <c r="D601" s="220">
        <v>0.02450152950547793</v>
      </c>
      <c r="E601" s="222">
        <v>0.006180681136144374</v>
      </c>
      <c r="F601" s="210">
        <v>26.258081566820692</v>
      </c>
      <c r="G601" s="209">
        <v>5412.8151245702775</v>
      </c>
      <c r="H601" s="210">
        <v>8804.175000000001</v>
      </c>
      <c r="I601" s="210">
        <v>0.0</v>
      </c>
      <c r="J601" s="215">
        <v>4.291</v>
      </c>
      <c r="K601" s="221">
        <v>41.133</v>
      </c>
      <c r="L601" s="221">
        <v>184.65</v>
      </c>
      <c r="M601" s="221">
        <v>8.37</v>
      </c>
      <c r="N601" s="221">
        <v>106.93</v>
      </c>
      <c r="O601" s="213">
        <v>0.004589026538610226</v>
      </c>
      <c r="P601" s="214">
        <v>0.005709257145951348</v>
      </c>
      <c r="Q601" s="214">
        <v>0.002352992427804068</v>
      </c>
      <c r="R601" s="214">
        <v>7.818421241447826E-4</v>
      </c>
      <c r="S601" s="214">
        <v>0.004303812875487238</v>
      </c>
    </row>
    <row r="602">
      <c r="A602" s="208">
        <v>42738.0</v>
      </c>
      <c r="B602" s="220">
        <v>0.012867285637475143</v>
      </c>
      <c r="C602" s="220">
        <v>0.011515384615384629</v>
      </c>
      <c r="D602" s="220">
        <v>0.02438267025285977</v>
      </c>
      <c r="E602" s="222">
        <v>0.006180681136144374</v>
      </c>
      <c r="F602" s="210">
        <v>26.258081566820692</v>
      </c>
      <c r="G602" s="209">
        <v>5386.557043003457</v>
      </c>
      <c r="H602" s="210">
        <v>8804.175000000001</v>
      </c>
      <c r="I602" s="210">
        <v>0.0</v>
      </c>
      <c r="J602" s="215">
        <v>4.301</v>
      </c>
      <c r="K602" s="221">
        <v>41.058</v>
      </c>
      <c r="L602" s="221">
        <v>185.59</v>
      </c>
      <c r="M602" s="221">
        <v>8.38</v>
      </c>
      <c r="N602" s="221">
        <v>107.28</v>
      </c>
      <c r="O602" s="213">
        <v>0.003948076862576366</v>
      </c>
      <c r="P602" s="214">
        <v>0.0024879665039957053</v>
      </c>
      <c r="Q602" s="214">
        <v>0.0018681576346562718</v>
      </c>
      <c r="R602" s="214">
        <v>7.80888237414216E-4</v>
      </c>
      <c r="S602" s="214">
        <v>0.003436871540508165</v>
      </c>
    </row>
    <row r="603">
      <c r="A603" s="208">
        <v>42737.0</v>
      </c>
      <c r="B603" s="220">
        <v>0.012767657154087751</v>
      </c>
      <c r="C603" s="220">
        <v>0.011496153846153859</v>
      </c>
      <c r="D603" s="220">
        <v>0.02426381100024161</v>
      </c>
      <c r="E603" s="222">
        <v>0.006180681136144374</v>
      </c>
      <c r="F603" s="210">
        <v>26.258081566820692</v>
      </c>
      <c r="G603" s="209">
        <v>5360.298961436636</v>
      </c>
      <c r="H603" s="210">
        <v>8804.175000000001</v>
      </c>
      <c r="I603" s="210">
        <v>0.0</v>
      </c>
      <c r="J603" s="215">
        <v>4.28</v>
      </c>
      <c r="K603" s="221">
        <v>40.95</v>
      </c>
      <c r="L603" s="221">
        <v>185.07</v>
      </c>
      <c r="M603" s="221">
        <v>8.42</v>
      </c>
      <c r="N603" s="221">
        <v>106.13</v>
      </c>
      <c r="O603" s="213">
        <v>0.0013009405376906609</v>
      </c>
      <c r="P603" s="214">
        <v>-0.003272517185771151</v>
      </c>
      <c r="Q603" s="214">
        <v>0.0010064509926563565</v>
      </c>
      <c r="R603" s="214">
        <v>-0.001615262695352837</v>
      </c>
      <c r="S603" s="214">
        <v>0.0016532502086031482</v>
      </c>
    </row>
    <row r="604">
      <c r="A604" s="208">
        <v>42734.0</v>
      </c>
      <c r="B604" s="220">
        <v>0.01266802867070036</v>
      </c>
      <c r="C604" s="220">
        <v>0.01147692307692309</v>
      </c>
      <c r="D604" s="220">
        <v>0.024144951747623447</v>
      </c>
      <c r="E604" s="222">
        <v>0.006180681136144374</v>
      </c>
      <c r="F604" s="210">
        <v>26.258081566820692</v>
      </c>
      <c r="G604" s="209">
        <v>5334.040879869815</v>
      </c>
      <c r="H604" s="210">
        <v>8804.175000000001</v>
      </c>
      <c r="I604" s="210">
        <v>0.0</v>
      </c>
      <c r="J604" s="215">
        <v>4.232</v>
      </c>
      <c r="K604" s="221">
        <v>40.431</v>
      </c>
      <c r="L604" s="221">
        <v>183.34</v>
      </c>
      <c r="M604" s="221">
        <v>8.35</v>
      </c>
      <c r="N604" s="221">
        <v>105.55</v>
      </c>
      <c r="O604" s="213">
        <v>0.0017850013872963515</v>
      </c>
      <c r="P604" s="214">
        <v>-0.006618397196302306</v>
      </c>
      <c r="Q604" s="214">
        <v>3.6567096406396143E-4</v>
      </c>
      <c r="R604" s="214">
        <v>-0.002416387264607985</v>
      </c>
      <c r="S604" s="214">
        <v>0.0026724940462064715</v>
      </c>
    </row>
    <row r="605">
      <c r="A605" s="208">
        <v>42733.0</v>
      </c>
      <c r="B605" s="220">
        <v>0.012568400187312968</v>
      </c>
      <c r="C605" s="220">
        <v>0.01145769230769232</v>
      </c>
      <c r="D605" s="220">
        <v>0.024026092495005286</v>
      </c>
      <c r="E605" s="222">
        <v>0.006180681136144374</v>
      </c>
      <c r="F605" s="210">
        <v>26.258081566820692</v>
      </c>
      <c r="G605" s="209">
        <v>5307.782798302995</v>
      </c>
      <c r="H605" s="210">
        <v>8804.175000000001</v>
      </c>
      <c r="I605" s="210">
        <v>0.0</v>
      </c>
      <c r="J605" s="215">
        <v>4.25</v>
      </c>
      <c r="K605" s="221">
        <v>40.748</v>
      </c>
      <c r="L605" s="221">
        <v>184.54</v>
      </c>
      <c r="M605" s="221">
        <v>8.36</v>
      </c>
      <c r="N605" s="221">
        <v>106.17</v>
      </c>
      <c r="O605" s="213">
        <v>5.893233888044266E-4</v>
      </c>
      <c r="P605" s="214">
        <v>-0.0028246925262459164</v>
      </c>
      <c r="Q605" s="214">
        <v>0.001182259370345699</v>
      </c>
      <c r="R605" s="214">
        <v>0.001549996258476627</v>
      </c>
      <c r="S605" s="214">
        <v>0.005394579705669034</v>
      </c>
    </row>
    <row r="606">
      <c r="A606" s="208">
        <v>42732.0</v>
      </c>
      <c r="B606" s="220">
        <v>0.012468771703925576</v>
      </c>
      <c r="C606" s="220">
        <v>0.01143846153846155</v>
      </c>
      <c r="D606" s="220">
        <v>0.023907233242387124</v>
      </c>
      <c r="E606" s="222">
        <v>0.006180681136144374</v>
      </c>
      <c r="F606" s="210">
        <v>26.258081566820692</v>
      </c>
      <c r="G606" s="209">
        <v>5281.524716736174</v>
      </c>
      <c r="H606" s="210">
        <v>8804.175000000001</v>
      </c>
      <c r="I606" s="210">
        <v>0.0</v>
      </c>
      <c r="J606" s="215">
        <v>4.263</v>
      </c>
      <c r="K606" s="221">
        <v>41.345</v>
      </c>
      <c r="L606" s="221">
        <v>184.5</v>
      </c>
      <c r="M606" s="221">
        <v>8.46</v>
      </c>
      <c r="N606" s="221">
        <v>105.6</v>
      </c>
      <c r="O606" s="213">
        <v>0.0027876205294429246</v>
      </c>
      <c r="P606" s="214">
        <v>0.002724189203530125</v>
      </c>
      <c r="Q606" s="214">
        <v>0.0017082238733105253</v>
      </c>
      <c r="R606" s="214">
        <v>0.00513659606218179</v>
      </c>
      <c r="S606" s="214">
        <v>0.00437084034604196</v>
      </c>
    </row>
    <row r="607">
      <c r="A607" s="208">
        <v>42731.0</v>
      </c>
      <c r="B607" s="220">
        <v>0.012369143220538184</v>
      </c>
      <c r="C607" s="220">
        <v>0.01141923076923078</v>
      </c>
      <c r="D607" s="220">
        <v>0.023788373989768963</v>
      </c>
      <c r="E607" s="222">
        <v>0.006180681136144374</v>
      </c>
      <c r="F607" s="210">
        <v>26.258081566820692</v>
      </c>
      <c r="G607" s="209">
        <v>5255.266635169353</v>
      </c>
      <c r="H607" s="210">
        <v>8804.175000000001</v>
      </c>
      <c r="I607" s="210">
        <v>0.0</v>
      </c>
      <c r="J607" s="215">
        <v>4.209</v>
      </c>
      <c r="K607" s="221">
        <v>41.236</v>
      </c>
      <c r="L607" s="221">
        <v>183.13</v>
      </c>
      <c r="M607" s="221">
        <v>8.41</v>
      </c>
      <c r="N607" s="221">
        <v>104.7</v>
      </c>
      <c r="O607" s="213">
        <v>-0.0017501906140383976</v>
      </c>
      <c r="P607" s="214">
        <v>-5.93143586490652E-4</v>
      </c>
      <c r="Q607" s="214">
        <v>-0.0015115088052657377</v>
      </c>
      <c r="R607" s="214">
        <v>0.001565900644534805</v>
      </c>
      <c r="S607" s="214">
        <v>6.343897723720682E-4</v>
      </c>
    </row>
    <row r="608">
      <c r="A608" s="208">
        <v>42727.0</v>
      </c>
      <c r="B608" s="220">
        <v>0.012269514737150792</v>
      </c>
      <c r="C608" s="220">
        <v>0.01140000000000001</v>
      </c>
      <c r="D608" s="220">
        <v>0.0236695147371508</v>
      </c>
      <c r="E608" s="222">
        <v>0.006180681136144374</v>
      </c>
      <c r="F608" s="210">
        <v>26.258081566820692</v>
      </c>
      <c r="G608" s="209">
        <v>5229.008553602533</v>
      </c>
      <c r="H608" s="210">
        <v>8804.175000000001</v>
      </c>
      <c r="I608" s="210">
        <v>0.0</v>
      </c>
      <c r="J608" s="215">
        <v>4.242</v>
      </c>
      <c r="K608" s="221">
        <v>41.09</v>
      </c>
      <c r="L608" s="221">
        <v>183.88</v>
      </c>
      <c r="M608" s="221">
        <v>8.32</v>
      </c>
      <c r="N608" s="221">
        <v>104.46</v>
      </c>
      <c r="O608" s="213">
        <v>4.6933885312690676E-4</v>
      </c>
      <c r="P608" s="214">
        <v>-0.0034517901995995506</v>
      </c>
      <c r="Q608" s="214">
        <v>-7.261945619618793E-4</v>
      </c>
      <c r="R608" s="214">
        <v>-0.0023995289918192033</v>
      </c>
      <c r="S608" s="214">
        <v>-3.8488151081121175E-4</v>
      </c>
    </row>
    <row r="609">
      <c r="A609" s="208">
        <v>42726.0</v>
      </c>
      <c r="B609" s="220">
        <v>0.0121698862537634</v>
      </c>
      <c r="C609" s="220">
        <v>0.011380769230769241</v>
      </c>
      <c r="D609" s="220">
        <v>0.02355065548453264</v>
      </c>
      <c r="E609" s="222">
        <v>0.006180681136144374</v>
      </c>
      <c r="F609" s="210">
        <v>26.258081566820692</v>
      </c>
      <c r="G609" s="209">
        <v>5202.750472035712</v>
      </c>
      <c r="H609" s="210">
        <v>8804.175000000001</v>
      </c>
      <c r="I609" s="210">
        <v>0.0</v>
      </c>
      <c r="J609" s="215">
        <v>4.227</v>
      </c>
      <c r="K609" s="221">
        <v>41.008</v>
      </c>
      <c r="L609" s="221">
        <v>183.55</v>
      </c>
      <c r="M609" s="221">
        <v>8.33</v>
      </c>
      <c r="N609" s="221">
        <v>104.22</v>
      </c>
      <c r="O609" s="213">
        <v>-3.945880899519268E-4</v>
      </c>
      <c r="P609" s="214">
        <v>-9.776447605119494E-4</v>
      </c>
      <c r="Q609" s="214">
        <v>-2.2101740306153714E-4</v>
      </c>
      <c r="R609" s="214">
        <v>-4.0779806959897097E-4</v>
      </c>
      <c r="S609" s="214">
        <v>-0.002935642343407041</v>
      </c>
    </row>
    <row r="610">
      <c r="A610" s="208">
        <v>42725.0</v>
      </c>
      <c r="B610" s="220">
        <v>0.012070257770376009</v>
      </c>
      <c r="C610" s="220">
        <v>0.011361538461538472</v>
      </c>
      <c r="D610" s="220">
        <v>0.02343179623191448</v>
      </c>
      <c r="E610" s="222">
        <v>0.006180681136144374</v>
      </c>
      <c r="F610" s="210">
        <v>26.258081566820692</v>
      </c>
      <c r="G610" s="209">
        <v>5176.492390468891</v>
      </c>
      <c r="H610" s="210">
        <v>8804.175000000001</v>
      </c>
      <c r="I610" s="210">
        <v>0.0</v>
      </c>
      <c r="J610" s="215">
        <v>4.231</v>
      </c>
      <c r="K610" s="221">
        <v>41.308</v>
      </c>
      <c r="L610" s="221">
        <v>183.96</v>
      </c>
      <c r="M610" s="221">
        <v>8.37</v>
      </c>
      <c r="N610" s="221">
        <v>104.5</v>
      </c>
      <c r="O610" s="213">
        <v>0.0019687335458430746</v>
      </c>
      <c r="P610" s="214">
        <v>0.001614905841718084</v>
      </c>
      <c r="Q610" s="214">
        <v>0.0011950513558606584</v>
      </c>
      <c r="R610" s="214">
        <v>-0.0012052393482687347</v>
      </c>
      <c r="S610" s="214">
        <v>-0.0017230632599868716</v>
      </c>
    </row>
    <row r="611">
      <c r="A611" s="208">
        <v>42724.0</v>
      </c>
      <c r="B611" s="220">
        <v>0.011970629286988617</v>
      </c>
      <c r="C611" s="220">
        <v>0.011342307692307702</v>
      </c>
      <c r="D611" s="220">
        <v>0.023312936979296317</v>
      </c>
      <c r="E611" s="222">
        <v>0.006180681136144374</v>
      </c>
      <c r="F611" s="210">
        <v>26.258081566820692</v>
      </c>
      <c r="G611" s="209">
        <v>5150.234308902071</v>
      </c>
      <c r="H611" s="210">
        <v>8804.175000000001</v>
      </c>
      <c r="I611" s="210">
        <v>0.0</v>
      </c>
      <c r="J611" s="215">
        <v>4.236</v>
      </c>
      <c r="K611" s="221">
        <v>41.516</v>
      </c>
      <c r="L611" s="221">
        <v>184.28</v>
      </c>
      <c r="M611" s="221">
        <v>8.38</v>
      </c>
      <c r="N611" s="221">
        <v>104.58</v>
      </c>
      <c r="O611" s="213">
        <v>0.0012531253794884807</v>
      </c>
      <c r="P611" s="214">
        <v>7.63309647025201E-4</v>
      </c>
      <c r="Q611" s="214">
        <v>0.0014111850607732013</v>
      </c>
      <c r="R611" s="214">
        <v>-4.101662413675822E-4</v>
      </c>
      <c r="S611" s="214">
        <v>9.121658499687454E-4</v>
      </c>
    </row>
    <row r="612">
      <c r="A612" s="208">
        <v>42723.0</v>
      </c>
      <c r="B612" s="220">
        <v>0.011871000803601225</v>
      </c>
      <c r="C612" s="220">
        <v>0.011323076923076932</v>
      </c>
      <c r="D612" s="220">
        <v>0.023194077726678156</v>
      </c>
      <c r="E612" s="222">
        <v>0.006180681136144374</v>
      </c>
      <c r="F612" s="210">
        <v>26.258081566820692</v>
      </c>
      <c r="G612" s="209">
        <v>5123.97622733525</v>
      </c>
      <c r="H612" s="210">
        <v>8804.175000000001</v>
      </c>
      <c r="I612" s="210">
        <v>0.0</v>
      </c>
      <c r="J612" s="215">
        <v>4.232</v>
      </c>
      <c r="K612" s="221">
        <v>41.125</v>
      </c>
      <c r="L612" s="221">
        <v>183.67</v>
      </c>
      <c r="M612" s="221">
        <v>8.34</v>
      </c>
      <c r="N612" s="221">
        <v>105.14</v>
      </c>
      <c r="O612" s="213">
        <v>-2.464710981566383E-4</v>
      </c>
      <c r="P612" s="214">
        <v>0.0045935522907836574</v>
      </c>
      <c r="Q612" s="214">
        <v>0.0034685546166774253</v>
      </c>
      <c r="R612" s="214">
        <v>7.79832459589939E-4</v>
      </c>
      <c r="S612" s="214">
        <v>-1.475486582275994E-4</v>
      </c>
    </row>
    <row r="613">
      <c r="A613" s="208">
        <v>42720.0</v>
      </c>
      <c r="B613" s="220">
        <v>0.011771372320213833</v>
      </c>
      <c r="C613" s="220">
        <v>0.011303846153846163</v>
      </c>
      <c r="D613" s="220">
        <v>0.023075218474059994</v>
      </c>
      <c r="E613" s="222">
        <v>0.006180681136144374</v>
      </c>
      <c r="F613" s="210">
        <v>26.258081566820692</v>
      </c>
      <c r="G613" s="209">
        <v>5097.718145768429</v>
      </c>
      <c r="H613" s="210">
        <v>8804.175000000001</v>
      </c>
      <c r="I613" s="210">
        <v>0.0</v>
      </c>
      <c r="J613" s="215">
        <v>4.206</v>
      </c>
      <c r="K613" s="221">
        <v>41.106</v>
      </c>
      <c r="L613" s="221">
        <v>183.3</v>
      </c>
      <c r="M613" s="221">
        <v>8.4</v>
      </c>
      <c r="N613" s="221">
        <v>105.04</v>
      </c>
      <c r="O613" s="213">
        <v>0.0010114249268815545</v>
      </c>
      <c r="P613" s="214">
        <v>0.0039792359355137474</v>
      </c>
      <c r="Q613" s="214">
        <v>0.0038240557565816236</v>
      </c>
      <c r="R613" s="214">
        <v>0.0027772729687211375</v>
      </c>
      <c r="S613" s="214">
        <v>8.664652718222884E-4</v>
      </c>
    </row>
    <row r="614">
      <c r="A614" s="208">
        <v>42719.0</v>
      </c>
      <c r="B614" s="220">
        <v>0.011671743836826442</v>
      </c>
      <c r="C614" s="220">
        <v>0.011284615384615393</v>
      </c>
      <c r="D614" s="220">
        <v>0.022956359221441833</v>
      </c>
      <c r="E614" s="222">
        <v>0.006180681136144374</v>
      </c>
      <c r="F614" s="210">
        <v>26.258081566820692</v>
      </c>
      <c r="G614" s="209">
        <v>5071.4600642016085</v>
      </c>
      <c r="H614" s="210">
        <v>8804.175000000001</v>
      </c>
      <c r="I614" s="210">
        <v>0.0</v>
      </c>
      <c r="J614" s="215">
        <v>4.22</v>
      </c>
      <c r="K614" s="221">
        <v>41.418</v>
      </c>
      <c r="L614" s="221">
        <v>183.5</v>
      </c>
      <c r="M614" s="221">
        <v>8.39</v>
      </c>
      <c r="N614" s="221">
        <v>104.29</v>
      </c>
      <c r="O614" s="213">
        <v>0.0022799461513920427</v>
      </c>
      <c r="P614" s="214">
        <v>0.0061809376843644515</v>
      </c>
      <c r="Q614" s="214">
        <v>0.0029552343333005084</v>
      </c>
      <c r="R614" s="214">
        <v>-2.051281225801116E-5</v>
      </c>
      <c r="S614" s="214">
        <v>-0.0035817998472263968</v>
      </c>
    </row>
    <row r="615">
      <c r="A615" s="208">
        <v>42718.0</v>
      </c>
      <c r="B615" s="220">
        <v>0.01157211535343905</v>
      </c>
      <c r="C615" s="220">
        <v>0.011265384615384623</v>
      </c>
      <c r="D615" s="220">
        <v>0.02283749996882367</v>
      </c>
      <c r="E615" s="222">
        <v>0.006180681136144374</v>
      </c>
      <c r="F615" s="210">
        <v>26.258081566820692</v>
      </c>
      <c r="G615" s="209">
        <v>5045.201982634788</v>
      </c>
      <c r="H615" s="210">
        <v>8804.175000000001</v>
      </c>
      <c r="I615" s="210">
        <v>0.0</v>
      </c>
      <c r="J615" s="215">
        <v>4.235</v>
      </c>
      <c r="K615" s="221">
        <v>40.552</v>
      </c>
      <c r="L615" s="221">
        <v>181.76</v>
      </c>
      <c r="M615" s="221">
        <v>8.32</v>
      </c>
      <c r="N615" s="221">
        <v>105.18</v>
      </c>
      <c r="O615" s="213">
        <v>-5.915308683104673E-4</v>
      </c>
      <c r="P615" s="214">
        <v>-0.0012560845275696824</v>
      </c>
      <c r="Q615" s="214">
        <v>-0.003028057522072025</v>
      </c>
      <c r="R615" s="214">
        <v>-0.0035961981519481157</v>
      </c>
      <c r="S615" s="214">
        <v>-0.0032669721478576497</v>
      </c>
    </row>
    <row r="616">
      <c r="A616" s="208">
        <v>42717.0</v>
      </c>
      <c r="B616" s="220">
        <v>0.011472486870051658</v>
      </c>
      <c r="C616" s="220">
        <v>0.011246153846153854</v>
      </c>
      <c r="D616" s="220">
        <v>0.02271864071620551</v>
      </c>
      <c r="E616" s="222">
        <v>0.006180681136144374</v>
      </c>
      <c r="F616" s="210">
        <v>26.258081566820692</v>
      </c>
      <c r="G616" s="209">
        <v>5018.943901067967</v>
      </c>
      <c r="H616" s="210">
        <v>8804.175000000001</v>
      </c>
      <c r="I616" s="210">
        <v>0.0</v>
      </c>
      <c r="J616" s="215">
        <v>4.193</v>
      </c>
      <c r="K616" s="221">
        <v>40.608</v>
      </c>
      <c r="L616" s="221">
        <v>181.2</v>
      </c>
      <c r="M616" s="221">
        <v>8.33</v>
      </c>
      <c r="N616" s="221">
        <v>104.76</v>
      </c>
      <c r="O616" s="213">
        <v>-0.004683108857278258</v>
      </c>
      <c r="P616" s="214">
        <v>0.0029302257887466876</v>
      </c>
      <c r="Q616" s="214">
        <v>-0.0028555544356546982</v>
      </c>
      <c r="R616" s="214">
        <v>0.0015606854420639287</v>
      </c>
      <c r="S616" s="214">
        <v>-0.0045038705856378</v>
      </c>
    </row>
    <row r="617">
      <c r="A617" s="208">
        <v>42716.0</v>
      </c>
      <c r="B617" s="220">
        <v>0.011372858386664266</v>
      </c>
      <c r="C617" s="220">
        <v>0.011226923076923084</v>
      </c>
      <c r="D617" s="220">
        <v>0.02259978146358735</v>
      </c>
      <c r="E617" s="222">
        <v>0.006180681136144374</v>
      </c>
      <c r="F617" s="210">
        <v>26.258081566820692</v>
      </c>
      <c r="G617" s="209">
        <v>4992.685819501146</v>
      </c>
      <c r="H617" s="210">
        <v>8804.175000000001</v>
      </c>
      <c r="I617" s="210">
        <v>0.0</v>
      </c>
      <c r="J617" s="215">
        <v>4.191</v>
      </c>
      <c r="K617" s="221">
        <v>40.648</v>
      </c>
      <c r="L617" s="221">
        <v>181.87</v>
      </c>
      <c r="M617" s="221">
        <v>8.39</v>
      </c>
      <c r="N617" s="221">
        <v>105.41</v>
      </c>
      <c r="O617" s="213">
        <v>-0.003039030944269827</v>
      </c>
      <c r="P617" s="214">
        <v>0.011473889226643866</v>
      </c>
      <c r="Q617" s="214">
        <v>0.0018243019003290801</v>
      </c>
      <c r="R617" s="214">
        <v>0.0059721001889036325</v>
      </c>
      <c r="S617" s="214">
        <v>-2.0673171849883154E-4</v>
      </c>
    </row>
    <row r="618">
      <c r="A618" s="208">
        <v>42713.0</v>
      </c>
      <c r="B618" s="220">
        <v>0.011273229903276874</v>
      </c>
      <c r="C618" s="220">
        <v>0.011207692307692314</v>
      </c>
      <c r="D618" s="220">
        <v>0.022480922210969187</v>
      </c>
      <c r="E618" s="222">
        <v>0.006180681136144374</v>
      </c>
      <c r="F618" s="210">
        <v>26.258081566820692</v>
      </c>
      <c r="G618" s="209">
        <v>4966.427737934326</v>
      </c>
      <c r="H618" s="210">
        <v>8804.175000000001</v>
      </c>
      <c r="I618" s="210">
        <v>0.0</v>
      </c>
      <c r="J618" s="215">
        <v>4.242</v>
      </c>
      <c r="K618" s="221">
        <v>40.705</v>
      </c>
      <c r="L618" s="221">
        <v>183.41</v>
      </c>
      <c r="M618" s="221">
        <v>8.41</v>
      </c>
      <c r="N618" s="221">
        <v>106.21</v>
      </c>
      <c r="O618" s="213">
        <v>0.0021207719618777285</v>
      </c>
      <c r="P618" s="214">
        <v>0.01286681828236865</v>
      </c>
      <c r="Q618" s="214">
        <v>0.005015440050269808</v>
      </c>
      <c r="R618" s="214">
        <v>0.004339512465037498</v>
      </c>
      <c r="S618" s="214">
        <v>0.0034608368310607243</v>
      </c>
    </row>
    <row r="619">
      <c r="A619" s="208">
        <v>42712.0</v>
      </c>
      <c r="B619" s="220">
        <v>0.011173601419889483</v>
      </c>
      <c r="C619" s="220">
        <v>0.011188461538461545</v>
      </c>
      <c r="D619" s="220">
        <v>0.022362062958351026</v>
      </c>
      <c r="E619" s="222">
        <v>0.006180681136144374</v>
      </c>
      <c r="F619" s="210">
        <v>26.258081566820692</v>
      </c>
      <c r="G619" s="209">
        <v>4940.169656367505</v>
      </c>
      <c r="H619" s="210">
        <v>8804.175000000001</v>
      </c>
      <c r="I619" s="210">
        <v>0.0</v>
      </c>
      <c r="J619" s="215">
        <v>4.252</v>
      </c>
      <c r="K619" s="221">
        <v>40.25</v>
      </c>
      <c r="L619" s="221">
        <v>182.75</v>
      </c>
      <c r="M619" s="221">
        <v>8.29</v>
      </c>
      <c r="N619" s="221">
        <v>106.18</v>
      </c>
      <c r="O619" s="213">
        <v>0.001799407847835388</v>
      </c>
      <c r="P619" s="214">
        <v>0.0085873811683439</v>
      </c>
      <c r="Q619" s="214">
        <v>0.0035207278131587825</v>
      </c>
      <c r="R619" s="214">
        <v>-4.167301033335402E-4</v>
      </c>
      <c r="S619" s="214">
        <v>0.004571770472663624</v>
      </c>
    </row>
    <row r="620">
      <c r="A620" s="208">
        <v>42711.0</v>
      </c>
      <c r="B620" s="220">
        <v>0.01107397293650209</v>
      </c>
      <c r="C620" s="220">
        <v>0.011169230769230775</v>
      </c>
      <c r="D620" s="220">
        <v>0.022243203705732864</v>
      </c>
      <c r="E620" s="222">
        <v>0.006180681136144374</v>
      </c>
      <c r="F620" s="210">
        <v>26.258081566820692</v>
      </c>
      <c r="G620" s="209">
        <v>4913.911574800684</v>
      </c>
      <c r="H620" s="210">
        <v>8804.175000000001</v>
      </c>
      <c r="I620" s="210">
        <v>0.0</v>
      </c>
      <c r="J620" s="215">
        <v>4.229</v>
      </c>
      <c r="K620" s="221">
        <v>39.258</v>
      </c>
      <c r="L620" s="221">
        <v>180.86</v>
      </c>
      <c r="M620" s="221">
        <v>8.24</v>
      </c>
      <c r="N620" s="221">
        <v>105.47</v>
      </c>
      <c r="O620" s="213">
        <v>-0.002053007061805001</v>
      </c>
      <c r="P620" s="214">
        <v>5.6756866423228E-4</v>
      </c>
      <c r="Q620" s="214">
        <v>-0.00173318942549557</v>
      </c>
      <c r="R620" s="214">
        <v>7.856669396029877E-4</v>
      </c>
      <c r="S620" s="214">
        <v>-0.001953912077431489</v>
      </c>
    </row>
    <row r="621">
      <c r="A621" s="208">
        <v>42710.0</v>
      </c>
      <c r="B621" s="220">
        <v>0.010974344453114699</v>
      </c>
      <c r="C621" s="220">
        <v>0.011150000000000005</v>
      </c>
      <c r="D621" s="220">
        <v>0.022124344453114703</v>
      </c>
      <c r="E621" s="222">
        <v>0.006180681136144374</v>
      </c>
      <c r="F621" s="210">
        <v>26.258081566820692</v>
      </c>
      <c r="G621" s="209">
        <v>4887.653493233864</v>
      </c>
      <c r="H621" s="210">
        <v>8804.175000000001</v>
      </c>
      <c r="I621" s="210">
        <v>0.0</v>
      </c>
      <c r="J621" s="215">
        <v>4.215</v>
      </c>
      <c r="K621" s="221">
        <v>39.149</v>
      </c>
      <c r="L621" s="221">
        <v>180.66</v>
      </c>
      <c r="M621" s="221">
        <v>8.3</v>
      </c>
      <c r="N621" s="221">
        <v>105.11</v>
      </c>
      <c r="O621" s="213">
        <v>-4.146265179375182E-4</v>
      </c>
      <c r="P621" s="214">
        <v>-0.002169573147423609</v>
      </c>
      <c r="Q621" s="214">
        <v>-0.0017167601589926917</v>
      </c>
      <c r="R621" s="214">
        <v>0.001185276385346749</v>
      </c>
      <c r="S621" s="214">
        <v>-0.0029974078939739948</v>
      </c>
    </row>
    <row r="622">
      <c r="A622" s="208">
        <v>42709.0</v>
      </c>
      <c r="B622" s="220">
        <v>0.010874715969727307</v>
      </c>
      <c r="C622" s="220">
        <v>0.011130769230769236</v>
      </c>
      <c r="D622" s="220">
        <v>0.02200548520049654</v>
      </c>
      <c r="E622" s="222">
        <v>0.006180681136144374</v>
      </c>
      <c r="F622" s="210">
        <v>26.258081566820692</v>
      </c>
      <c r="G622" s="209">
        <v>4861.395411667043</v>
      </c>
      <c r="H622" s="210">
        <v>8804.175000000001</v>
      </c>
      <c r="I622" s="210">
        <v>0.0</v>
      </c>
      <c r="J622" s="215">
        <v>4.229</v>
      </c>
      <c r="K622" s="221">
        <v>39.214</v>
      </c>
      <c r="L622" s="221">
        <v>180.82</v>
      </c>
      <c r="M622" s="221">
        <v>8.3</v>
      </c>
      <c r="N622" s="221">
        <v>104.73</v>
      </c>
      <c r="O622" s="213">
        <v>-0.004441750739526314</v>
      </c>
      <c r="P622" s="214">
        <v>-0.0048983707105992496</v>
      </c>
      <c r="Q622" s="214">
        <v>-0.004780762129312184</v>
      </c>
      <c r="R622" s="214">
        <v>0.003603656070957325</v>
      </c>
      <c r="S622" s="214">
        <v>-0.006497009794308377</v>
      </c>
    </row>
    <row r="623">
      <c r="A623" s="208">
        <v>42706.0</v>
      </c>
      <c r="B623" s="220">
        <v>0.010775087486339915</v>
      </c>
      <c r="C623" s="220">
        <v>0.011111538461538466</v>
      </c>
      <c r="D623" s="220">
        <v>0.02188662594787838</v>
      </c>
      <c r="E623" s="222">
        <v>0.006180681136144374</v>
      </c>
      <c r="F623" s="210">
        <v>26.258081566820692</v>
      </c>
      <c r="G623" s="209">
        <v>4835.137330100222</v>
      </c>
      <c r="H623" s="210">
        <v>8804.175000000001</v>
      </c>
      <c r="I623" s="210">
        <v>0.0</v>
      </c>
      <c r="J623" s="215">
        <v>4.255</v>
      </c>
      <c r="K623" s="221">
        <v>39.191</v>
      </c>
      <c r="L623" s="221">
        <v>181.8</v>
      </c>
      <c r="M623" s="221">
        <v>8.22</v>
      </c>
      <c r="N623" s="221">
        <v>106.08</v>
      </c>
      <c r="O623" s="213">
        <v>-0.005815201581212366</v>
      </c>
      <c r="P623" s="214">
        <v>-0.003929490965738358</v>
      </c>
      <c r="Q623" s="214">
        <v>-0.0030105237664018367</v>
      </c>
      <c r="R623" s="214">
        <v>0.006480938648282475</v>
      </c>
      <c r="S623" s="214">
        <v>-0.0052282794044209435</v>
      </c>
    </row>
    <row r="624">
      <c r="A624" s="208">
        <v>42705.0</v>
      </c>
      <c r="B624" s="220">
        <v>0.010675459002952524</v>
      </c>
      <c r="C624" s="220">
        <v>0.011092307692307696</v>
      </c>
      <c r="D624" s="220">
        <v>0.02176776669526022</v>
      </c>
      <c r="E624" s="222">
        <v>0.006180681136144374</v>
      </c>
      <c r="F624" s="210">
        <v>26.258081566820692</v>
      </c>
      <c r="G624" s="209">
        <v>4808.879248533402</v>
      </c>
      <c r="H624" s="210">
        <v>8804.175000000001</v>
      </c>
      <c r="I624" s="210">
        <v>0.0</v>
      </c>
      <c r="J624" s="215">
        <v>4.22</v>
      </c>
      <c r="K624" s="221">
        <v>39.404</v>
      </c>
      <c r="L624" s="221">
        <v>181.59</v>
      </c>
      <c r="M624" s="221">
        <v>8.27</v>
      </c>
      <c r="N624" s="221">
        <v>106.05</v>
      </c>
      <c r="O624" s="213">
        <v>-0.009558074889303084</v>
      </c>
      <c r="P624" s="214">
        <v>-0.0023111944633071126</v>
      </c>
      <c r="Q624" s="214">
        <v>-0.00454035075695088</v>
      </c>
      <c r="R624" s="214">
        <v>2.3721507467896105E-4</v>
      </c>
      <c r="S624" s="214">
        <v>-0.007054953140129753</v>
      </c>
    </row>
    <row r="625">
      <c r="A625" s="208">
        <v>42704.0</v>
      </c>
      <c r="B625" s="220">
        <v>0.010575830519565132</v>
      </c>
      <c r="C625" s="220">
        <v>0.011073076923076927</v>
      </c>
      <c r="D625" s="220">
        <v>0.021648907442642057</v>
      </c>
      <c r="E625" s="222">
        <v>0.006180681136144374</v>
      </c>
      <c r="F625" s="210">
        <v>26.258081566820692</v>
      </c>
      <c r="G625" s="209">
        <v>4782.621166966581</v>
      </c>
      <c r="H625" s="210">
        <v>8804.175000000001</v>
      </c>
      <c r="I625" s="210">
        <v>0.0</v>
      </c>
      <c r="J625" s="215">
        <v>4.285</v>
      </c>
      <c r="K625" s="221">
        <v>39.792</v>
      </c>
      <c r="L625" s="221">
        <v>183.42</v>
      </c>
      <c r="M625" s="221">
        <v>8.21</v>
      </c>
      <c r="N625" s="221">
        <v>106.78</v>
      </c>
      <c r="O625" s="213">
        <v>-0.001660090326165431</v>
      </c>
      <c r="P625" s="214">
        <v>6.265874600292672E-4</v>
      </c>
      <c r="Q625" s="214">
        <v>4.305707505731782E-4</v>
      </c>
      <c r="R625" s="214">
        <v>0.0026614504011748994</v>
      </c>
      <c r="S625" s="214">
        <v>-0.0012827658603336012</v>
      </c>
    </row>
    <row r="626">
      <c r="A626" s="208">
        <v>42703.0</v>
      </c>
      <c r="B626" s="220">
        <v>0.01047620203617774</v>
      </c>
      <c r="C626" s="220">
        <v>0.011053846153846157</v>
      </c>
      <c r="D626" s="220">
        <v>0.021530048190023895</v>
      </c>
      <c r="E626" s="222">
        <v>0.006180681136144374</v>
      </c>
      <c r="F626" s="210">
        <v>26.258081566820692</v>
      </c>
      <c r="G626" s="209">
        <v>4756.36308539976</v>
      </c>
      <c r="H626" s="210">
        <v>8804.175000000001</v>
      </c>
      <c r="I626" s="210">
        <v>0.0</v>
      </c>
      <c r="J626" s="215">
        <v>4.329</v>
      </c>
      <c r="K626" s="221">
        <v>39.653</v>
      </c>
      <c r="L626" s="221">
        <v>183.44</v>
      </c>
      <c r="M626" s="221">
        <v>8.06</v>
      </c>
      <c r="N626" s="221">
        <v>107.75</v>
      </c>
      <c r="O626" s="213">
        <v>0.0016852909975164643</v>
      </c>
      <c r="P626" s="214">
        <v>-0.0011336832272990833</v>
      </c>
      <c r="Q626" s="214">
        <v>-2.2457022087044956E-4</v>
      </c>
      <c r="R626" s="214">
        <v>-0.006704686857776032</v>
      </c>
      <c r="S626" s="214">
        <v>-0.0010226624851445247</v>
      </c>
    </row>
    <row r="627">
      <c r="A627" s="208">
        <v>42702.0</v>
      </c>
      <c r="B627" s="220">
        <v>0.010376573552790348</v>
      </c>
      <c r="C627" s="220">
        <v>0.011034615384615388</v>
      </c>
      <c r="D627" s="220">
        <v>0.021411188937405734</v>
      </c>
      <c r="E627" s="222">
        <v>0.006180681136144374</v>
      </c>
      <c r="F627" s="210">
        <v>26.258081566820692</v>
      </c>
      <c r="G627" s="209">
        <v>4730.1050038329395</v>
      </c>
      <c r="H627" s="210">
        <v>8804.175000000001</v>
      </c>
      <c r="I627" s="210">
        <v>0.0</v>
      </c>
      <c r="J627" s="215">
        <v>4.342</v>
      </c>
      <c r="K627" s="221">
        <v>39.676</v>
      </c>
      <c r="L627" s="221">
        <v>184.07</v>
      </c>
      <c r="M627" s="221">
        <v>8.26</v>
      </c>
      <c r="N627" s="221">
        <v>108.31</v>
      </c>
      <c r="O627" s="213">
        <v>0.004234159810606375</v>
      </c>
      <c r="P627" s="214">
        <v>1.6552176155615328E-4</v>
      </c>
      <c r="Q627" s="214">
        <v>8.112620662203603E-4</v>
      </c>
      <c r="R627" s="214">
        <v>0.002783156748268715</v>
      </c>
      <c r="S627" s="214">
        <v>5.863659502791293E-4</v>
      </c>
    </row>
    <row r="628">
      <c r="A628" s="208">
        <v>42699.0</v>
      </c>
      <c r="B628" s="220">
        <v>0.010276945069402956</v>
      </c>
      <c r="C628" s="220">
        <v>0.011015384615384618</v>
      </c>
      <c r="D628" s="220">
        <v>0.021292329684787573</v>
      </c>
      <c r="E628" s="222">
        <v>0.006180681136144374</v>
      </c>
      <c r="F628" s="210">
        <v>26.258081566820692</v>
      </c>
      <c r="G628" s="209">
        <v>4703.846922266119</v>
      </c>
      <c r="H628" s="210">
        <v>8804.175000000001</v>
      </c>
      <c r="I628" s="210">
        <v>0.0</v>
      </c>
      <c r="J628" s="215">
        <v>4.306</v>
      </c>
      <c r="K628" s="221">
        <v>39.717</v>
      </c>
      <c r="L628" s="221">
        <v>183.18</v>
      </c>
      <c r="M628" s="221">
        <v>8.14</v>
      </c>
      <c r="N628" s="221">
        <v>107.18</v>
      </c>
      <c r="O628" s="213">
        <v>-9.399315466120198E-4</v>
      </c>
      <c r="P628" s="214">
        <v>0.0027122514081334703</v>
      </c>
      <c r="Q628" s="214">
        <v>-0.0010727451176670844</v>
      </c>
      <c r="R628" s="214">
        <v>7.895445851650399E-4</v>
      </c>
      <c r="S628" s="214">
        <v>-0.007917051546503759</v>
      </c>
    </row>
    <row r="629">
      <c r="A629" s="208">
        <v>42698.0</v>
      </c>
      <c r="B629" s="220">
        <v>0.010177316586015565</v>
      </c>
      <c r="C629" s="220">
        <v>0.010996153846153848</v>
      </c>
      <c r="D629" s="220">
        <v>0.02117347043216941</v>
      </c>
      <c r="E629" s="222">
        <v>0.006180681136144374</v>
      </c>
      <c r="F629" s="210">
        <v>26.258081566820692</v>
      </c>
      <c r="G629" s="209">
        <v>4677.588840699298</v>
      </c>
      <c r="H629" s="210">
        <v>8804.175000000001</v>
      </c>
      <c r="I629" s="210">
        <v>0.0</v>
      </c>
      <c r="J629" s="215">
        <v>4.307</v>
      </c>
      <c r="K629" s="221">
        <v>39.788</v>
      </c>
      <c r="L629" s="221">
        <v>183.56</v>
      </c>
      <c r="M629" s="221">
        <v>8.22</v>
      </c>
      <c r="N629" s="221">
        <v>108.07</v>
      </c>
      <c r="O629" s="213">
        <v>-8.625201826237827E-4</v>
      </c>
      <c r="P629" s="214">
        <v>0.0036889025887108704</v>
      </c>
      <c r="Q629" s="214">
        <v>3.593046003650772E-5</v>
      </c>
      <c r="R629" s="214">
        <v>0.004886565923565733</v>
      </c>
      <c r="S629" s="214">
        <v>-0.005908492840071666</v>
      </c>
    </row>
    <row r="630">
      <c r="A630" s="208">
        <v>42697.0</v>
      </c>
      <c r="B630" s="220">
        <v>0.010077688102628173</v>
      </c>
      <c r="C630" s="220">
        <v>0.010976923076923079</v>
      </c>
      <c r="D630" s="220">
        <v>0.02105461117955125</v>
      </c>
      <c r="E630" s="222">
        <v>0.006180681136144374</v>
      </c>
      <c r="F630" s="210">
        <v>26.258081566820692</v>
      </c>
      <c r="G630" s="209">
        <v>4651.330759132477</v>
      </c>
      <c r="H630" s="210">
        <v>8804.175000000001</v>
      </c>
      <c r="I630" s="210">
        <v>0.0</v>
      </c>
      <c r="J630" s="215">
        <v>4.287</v>
      </c>
      <c r="K630" s="221">
        <v>39.656</v>
      </c>
      <c r="L630" s="221">
        <v>183.62</v>
      </c>
      <c r="M630" s="221">
        <v>8.19</v>
      </c>
      <c r="N630" s="221">
        <v>108.11</v>
      </c>
      <c r="O630" s="213">
        <v>-0.0018700143649458638</v>
      </c>
      <c r="P630" s="214">
        <v>0.0034640465484964134</v>
      </c>
      <c r="Q630" s="214">
        <v>-4.5443773830711187E-4</v>
      </c>
      <c r="R630" s="214">
        <v>0.010254383051317872</v>
      </c>
      <c r="S630" s="214">
        <v>-0.0053305292357916185</v>
      </c>
    </row>
    <row r="631">
      <c r="A631" s="208">
        <v>42696.0</v>
      </c>
      <c r="B631" s="220">
        <v>0.009978059619240781</v>
      </c>
      <c r="C631" s="220">
        <v>0.010957692307692309</v>
      </c>
      <c r="D631" s="220">
        <v>0.02093575192693309</v>
      </c>
      <c r="E631" s="222">
        <v>0.006180681136144374</v>
      </c>
      <c r="F631" s="210">
        <v>26.258081566820692</v>
      </c>
      <c r="G631" s="209">
        <v>4625.072677565657</v>
      </c>
      <c r="H631" s="210">
        <v>8804.175000000001</v>
      </c>
      <c r="I631" s="210">
        <v>0.0</v>
      </c>
      <c r="J631" s="215">
        <v>4.318</v>
      </c>
      <c r="K631" s="221">
        <v>39.394</v>
      </c>
      <c r="L631" s="221">
        <v>183.77</v>
      </c>
      <c r="M631" s="221">
        <v>8.12</v>
      </c>
      <c r="N631" s="221">
        <v>109.74</v>
      </c>
      <c r="O631" s="213">
        <v>-7.7409323793598E-4</v>
      </c>
      <c r="P631" s="214">
        <v>0.0032407943504343395</v>
      </c>
      <c r="Q631" s="214">
        <v>-2.1839374686531224E-4</v>
      </c>
      <c r="R631" s="214">
        <v>0.00866482604614375</v>
      </c>
      <c r="S631" s="214">
        <v>-0.002884293442708722</v>
      </c>
    </row>
    <row r="632">
      <c r="A632" s="208">
        <v>42695.0</v>
      </c>
      <c r="B632" s="220">
        <v>0.00987843113585339</v>
      </c>
      <c r="C632" s="220">
        <v>0.01093846153846154</v>
      </c>
      <c r="D632" s="220">
        <v>0.020816892674314927</v>
      </c>
      <c r="E632" s="222">
        <v>0.006180681136144374</v>
      </c>
      <c r="F632" s="210">
        <v>26.258081566820692</v>
      </c>
      <c r="G632" s="209">
        <v>4598.814595998836</v>
      </c>
      <c r="H632" s="210">
        <v>8804.175000000001</v>
      </c>
      <c r="I632" s="210">
        <v>0.0</v>
      </c>
      <c r="J632" s="215">
        <v>4.318</v>
      </c>
      <c r="K632" s="221">
        <v>39.349</v>
      </c>
      <c r="L632" s="221">
        <v>183.54</v>
      </c>
      <c r="M632" s="221">
        <v>8.1</v>
      </c>
      <c r="N632" s="221">
        <v>109.99</v>
      </c>
      <c r="O632" s="213">
        <v>-0.002237432732698793</v>
      </c>
      <c r="P632" s="214">
        <v>0.004457824673301913</v>
      </c>
      <c r="Q632" s="214">
        <v>-1.824124314678451E-4</v>
      </c>
      <c r="R632" s="214">
        <v>0.009108030486906967</v>
      </c>
      <c r="S632" s="214">
        <v>-0.0020345804114026236</v>
      </c>
    </row>
    <row r="633">
      <c r="A633" s="208">
        <v>42692.0</v>
      </c>
      <c r="B633" s="220">
        <v>0.009778802652465998</v>
      </c>
      <c r="C633" s="220">
        <v>0.01091923076923077</v>
      </c>
      <c r="D633" s="220">
        <v>0.020698033421696765</v>
      </c>
      <c r="E633" s="222">
        <v>0.006180681136144374</v>
      </c>
      <c r="F633" s="210">
        <v>26.258081566820692</v>
      </c>
      <c r="G633" s="209">
        <v>4572.556514432015</v>
      </c>
      <c r="H633" s="210">
        <v>8804.175000000001</v>
      </c>
      <c r="I633" s="210">
        <v>0.0</v>
      </c>
      <c r="J633" s="215">
        <v>4.311</v>
      </c>
      <c r="K633" s="221">
        <v>39.245</v>
      </c>
      <c r="L633" s="221">
        <v>183.87</v>
      </c>
      <c r="M633" s="221">
        <v>7.94</v>
      </c>
      <c r="N633" s="221">
        <v>109.84</v>
      </c>
      <c r="O633" s="213">
        <v>4.428055537984606E-4</v>
      </c>
      <c r="P633" s="214">
        <v>0.006349946930411392</v>
      </c>
      <c r="Q633" s="214">
        <v>0.001959785704957362</v>
      </c>
      <c r="R633" s="214">
        <v>0.0033696920356525903</v>
      </c>
      <c r="S633" s="214">
        <v>1.314726055591612E-4</v>
      </c>
    </row>
    <row r="634">
      <c r="A634" s="208">
        <v>42691.0</v>
      </c>
      <c r="B634" s="30">
        <v>0.009679174169078606</v>
      </c>
      <c r="C634" s="30">
        <v>0.0109</v>
      </c>
      <c r="D634" s="164">
        <v>0.020579174169078604</v>
      </c>
      <c r="E634" s="164">
        <v>6.585550552746372E-5</v>
      </c>
      <c r="F634" s="210">
        <v>7.274314778504049</v>
      </c>
      <c r="G634" s="209">
        <v>4546.298432865195</v>
      </c>
      <c r="H634" s="210">
        <v>8804.175000000001</v>
      </c>
      <c r="I634" s="210">
        <v>0.0</v>
      </c>
      <c r="J634" s="215">
        <v>4.328</v>
      </c>
      <c r="K634" s="221">
        <v>39.012</v>
      </c>
      <c r="L634" s="221">
        <v>183.89</v>
      </c>
      <c r="M634" s="221">
        <v>7.91</v>
      </c>
      <c r="N634" s="221">
        <v>110.69</v>
      </c>
      <c r="O634" s="213">
        <v>0.0018347017672233346</v>
      </c>
      <c r="P634" s="214">
        <v>0.005608957173171743</v>
      </c>
      <c r="Q634" s="214">
        <v>0.0010477783480586922</v>
      </c>
      <c r="R634" s="214">
        <v>0.005927040084953668</v>
      </c>
      <c r="S634" s="214">
        <v>0.003955782875351588</v>
      </c>
    </row>
    <row r="635">
      <c r="A635" s="208">
        <v>42690.0</v>
      </c>
      <c r="B635" s="220">
        <v>0.009646246416314872</v>
      </c>
      <c r="C635" s="220">
        <v>0.0109</v>
      </c>
      <c r="D635" s="220">
        <v>0.020546246416314872</v>
      </c>
      <c r="E635" s="220">
        <v>6.585550552746372E-5</v>
      </c>
      <c r="F635" s="210">
        <v>7.27431477850314</v>
      </c>
      <c r="G635" s="209">
        <v>4539.024118086691</v>
      </c>
      <c r="H635" s="210">
        <v>8804.175000000001</v>
      </c>
      <c r="I635" s="210">
        <v>0.0</v>
      </c>
      <c r="J635" s="215">
        <v>4.347</v>
      </c>
      <c r="K635" s="221">
        <v>38.825</v>
      </c>
      <c r="L635" s="221">
        <v>183.64</v>
      </c>
      <c r="M635" s="221">
        <v>7.88</v>
      </c>
      <c r="N635" s="221">
        <v>110.66</v>
      </c>
      <c r="O635" s="213">
        <v>0.005156777321465615</v>
      </c>
      <c r="P635" s="214">
        <v>0.008625459933740679</v>
      </c>
      <c r="Q635" s="214">
        <v>0.0021584442780371305</v>
      </c>
      <c r="R635" s="214">
        <v>0.006807819726795228</v>
      </c>
      <c r="S635" s="214">
        <v>0.00444446162717375</v>
      </c>
    </row>
    <row r="636">
      <c r="A636" s="208">
        <v>42689.0</v>
      </c>
      <c r="B636" s="30">
        <v>0.009613318663551139</v>
      </c>
      <c r="C636" s="30">
        <v>0.0109</v>
      </c>
      <c r="D636" s="164">
        <v>0.02051331866355114</v>
      </c>
      <c r="E636" s="164">
        <v>0.0020854479507337424</v>
      </c>
      <c r="F636" s="210">
        <v>8.376578514285939</v>
      </c>
      <c r="G636" s="209">
        <v>4531.749803308187</v>
      </c>
      <c r="H636" s="210">
        <v>8804.175000000001</v>
      </c>
      <c r="I636" s="210">
        <v>0.0</v>
      </c>
      <c r="J636" s="215">
        <v>4.305</v>
      </c>
      <c r="K636" s="221">
        <v>38.502</v>
      </c>
      <c r="L636" s="221">
        <v>182.79</v>
      </c>
      <c r="M636" s="221">
        <v>7.86</v>
      </c>
      <c r="N636" s="221">
        <v>109.79</v>
      </c>
      <c r="O636" s="213">
        <v>-0.0018800339717454835</v>
      </c>
      <c r="P636" s="214">
        <v>0.0059845098764293265</v>
      </c>
      <c r="Q636" s="214">
        <v>1.4055455344837617E-4</v>
      </c>
      <c r="R636" s="214">
        <v>7.804488878728385E-4</v>
      </c>
      <c r="S636" s="214">
        <v>-0.002663768609089271</v>
      </c>
    </row>
    <row r="637">
      <c r="A637" s="208">
        <v>42688.0</v>
      </c>
      <c r="B637" s="220">
        <v>0.009580855973537776</v>
      </c>
      <c r="C637" s="220">
        <v>0.010894545454545409</v>
      </c>
      <c r="D637" s="220">
        <v>0.020475401428083278</v>
      </c>
      <c r="E637" s="222">
        <v>0.0020854479507337424</v>
      </c>
      <c r="F637" s="210">
        <v>8.376578514275025</v>
      </c>
      <c r="G637" s="209">
        <v>4523.3732247939015</v>
      </c>
      <c r="H637" s="210">
        <v>8804.175000000001</v>
      </c>
      <c r="I637" s="210">
        <v>0.0</v>
      </c>
      <c r="J637" s="215">
        <v>4.304</v>
      </c>
      <c r="K637" s="221">
        <v>38.359</v>
      </c>
      <c r="L637" s="221">
        <v>183.31</v>
      </c>
      <c r="M637" s="221">
        <v>7.77</v>
      </c>
      <c r="N637" s="221">
        <v>109.38</v>
      </c>
      <c r="O637" s="213">
        <v>-0.0056534670134711735</v>
      </c>
      <c r="P637" s="214">
        <v>0.007699607946066426</v>
      </c>
      <c r="Q637" s="214">
        <v>-0.0027788762085348604</v>
      </c>
      <c r="R637" s="214">
        <v>-0.002611174937229769</v>
      </c>
      <c r="S637" s="214">
        <v>-0.011499388013195055</v>
      </c>
    </row>
    <row r="638">
      <c r="A638" s="208">
        <v>42685.0</v>
      </c>
      <c r="B638" s="220">
        <v>0.009548393283524435</v>
      </c>
      <c r="C638" s="220">
        <v>0.010889090909090864</v>
      </c>
      <c r="D638" s="220">
        <v>0.02043748419261539</v>
      </c>
      <c r="E638" s="222">
        <v>0.0020854479507337424</v>
      </c>
      <c r="F638" s="210">
        <v>8.376578514275025</v>
      </c>
      <c r="G638" s="209">
        <v>4514.9966462796265</v>
      </c>
      <c r="H638" s="210">
        <v>8804.175000000001</v>
      </c>
      <c r="I638" s="210">
        <v>0.0</v>
      </c>
      <c r="J638" s="215">
        <v>4.28</v>
      </c>
      <c r="K638" s="221">
        <v>37.828</v>
      </c>
      <c r="L638" s="221">
        <v>182.45</v>
      </c>
      <c r="M638" s="221">
        <v>7.72</v>
      </c>
      <c r="N638" s="221">
        <v>109.19</v>
      </c>
      <c r="O638" s="213">
        <v>-0.013528500384655917</v>
      </c>
      <c r="P638" s="214">
        <v>0.00854628777128108</v>
      </c>
      <c r="Q638" s="214">
        <v>-0.003855777666471679</v>
      </c>
      <c r="R638" s="214">
        <v>-9.247594577107924E-4</v>
      </c>
      <c r="S638" s="214">
        <v>-0.006836022404148749</v>
      </c>
    </row>
    <row r="639">
      <c r="A639" s="208">
        <v>42684.0</v>
      </c>
      <c r="B639" s="220">
        <v>0.009515930593511095</v>
      </c>
      <c r="C639" s="220">
        <v>0.01088363636363632</v>
      </c>
      <c r="D639" s="220">
        <v>0.020399566957147505</v>
      </c>
      <c r="E639" s="222">
        <v>0.0020854479507337424</v>
      </c>
      <c r="F639" s="210">
        <v>8.376578514275025</v>
      </c>
      <c r="G639" s="209">
        <v>4506.620067765351</v>
      </c>
      <c r="H639" s="210">
        <v>8804.175000000001</v>
      </c>
      <c r="I639" s="210">
        <v>0.0</v>
      </c>
      <c r="J639" s="215">
        <v>4.329</v>
      </c>
      <c r="K639" s="221">
        <v>37.813</v>
      </c>
      <c r="L639" s="221">
        <v>182.71</v>
      </c>
      <c r="M639" s="221">
        <v>7.84</v>
      </c>
      <c r="N639" s="221">
        <v>110.66</v>
      </c>
      <c r="O639" s="213">
        <v>-0.01150763314415415</v>
      </c>
      <c r="P639" s="214">
        <v>0.010439573511023129</v>
      </c>
      <c r="Q639" s="214">
        <v>-0.004789517640478118</v>
      </c>
      <c r="R639" s="214">
        <v>0.006840567020713673</v>
      </c>
      <c r="S639" s="214">
        <v>-0.0037846976746200114</v>
      </c>
    </row>
    <row r="640">
      <c r="A640" s="208">
        <v>42683.0</v>
      </c>
      <c r="B640" s="220">
        <v>0.009483467903497755</v>
      </c>
      <c r="C640" s="220">
        <v>0.010878181818181775</v>
      </c>
      <c r="D640" s="220">
        <v>0.020361649721679618</v>
      </c>
      <c r="E640" s="222">
        <v>0.0020854479507337424</v>
      </c>
      <c r="F640" s="210">
        <v>8.376578514275025</v>
      </c>
      <c r="G640" s="209">
        <v>4498.243489251076</v>
      </c>
      <c r="H640" s="210">
        <v>8804.175000000001</v>
      </c>
      <c r="I640" s="210">
        <v>0.0</v>
      </c>
      <c r="J640" s="215">
        <v>4.377</v>
      </c>
      <c r="K640" s="221">
        <v>37.478</v>
      </c>
      <c r="L640" s="221">
        <v>184.83</v>
      </c>
      <c r="M640" s="221">
        <v>7.83</v>
      </c>
      <c r="N640" s="221">
        <v>113.18</v>
      </c>
      <c r="O640" s="213">
        <v>-0.007290796114817051</v>
      </c>
      <c r="P640" s="214">
        <v>0.014418758927065975</v>
      </c>
      <c r="Q640" s="214">
        <v>4.4503528646525997E-4</v>
      </c>
      <c r="R640" s="214">
        <v>0.009453591397130867</v>
      </c>
      <c r="S640" s="214">
        <v>6.181815904554577E-4</v>
      </c>
    </row>
    <row r="641">
      <c r="A641" s="208">
        <v>42682.0</v>
      </c>
      <c r="B641" s="220">
        <v>0.009451005213484414</v>
      </c>
      <c r="C641" s="220">
        <v>0.01087272727272723</v>
      </c>
      <c r="D641" s="220">
        <v>0.02032373248621173</v>
      </c>
      <c r="E641" s="222">
        <v>0.0020854479507337424</v>
      </c>
      <c r="F641" s="210">
        <v>8.376578514275025</v>
      </c>
      <c r="G641" s="209">
        <v>4489.866910736801</v>
      </c>
      <c r="H641" s="210">
        <v>8804.175000000001</v>
      </c>
      <c r="I641" s="210">
        <v>0.0</v>
      </c>
      <c r="J641" s="215">
        <v>4.456</v>
      </c>
      <c r="K641" s="221">
        <v>36.864</v>
      </c>
      <c r="L641" s="221">
        <v>184.56</v>
      </c>
      <c r="M641" s="221">
        <v>7.74</v>
      </c>
      <c r="N641" s="221">
        <v>111.4</v>
      </c>
      <c r="O641" s="213">
        <v>6.688281995984961E-5</v>
      </c>
      <c r="P641" s="214">
        <v>0.00892990513976244</v>
      </c>
      <c r="Q641" s="214">
        <v>1.2063249897383461E-4</v>
      </c>
      <c r="R641" s="214">
        <v>0.003870093176902382</v>
      </c>
      <c r="S641" s="214">
        <v>-0.003650322919317661</v>
      </c>
    </row>
    <row r="642">
      <c r="A642" s="208">
        <v>42681.0</v>
      </c>
      <c r="B642" s="220">
        <v>0.009418542523471074</v>
      </c>
      <c r="C642" s="220">
        <v>0.010867272727272686</v>
      </c>
      <c r="D642" s="220">
        <v>0.020285815250743845</v>
      </c>
      <c r="E642" s="222">
        <v>0.0020854479507337424</v>
      </c>
      <c r="F642" s="210">
        <v>8.376578514275025</v>
      </c>
      <c r="G642" s="209">
        <v>4481.490332222526</v>
      </c>
      <c r="H642" s="210">
        <v>8804.175000000001</v>
      </c>
      <c r="I642" s="210">
        <v>0.0</v>
      </c>
      <c r="J642" s="215">
        <v>4.48</v>
      </c>
      <c r="K642" s="221">
        <v>36.64</v>
      </c>
      <c r="L642" s="221">
        <v>185.34</v>
      </c>
      <c r="M642" s="221">
        <v>7.68</v>
      </c>
      <c r="N642" s="221">
        <v>111.88</v>
      </c>
      <c r="O642" s="213">
        <v>4.4059131255924644E-4</v>
      </c>
      <c r="P642" s="214">
        <v>0.005882545722780204</v>
      </c>
      <c r="Q642" s="214">
        <v>0.0020352876044869386</v>
      </c>
      <c r="R642" s="214">
        <v>0.0017218436962315546</v>
      </c>
      <c r="S642" s="214">
        <v>-0.0037827543036321374</v>
      </c>
    </row>
    <row r="643">
      <c r="A643" s="208">
        <v>42678.0</v>
      </c>
      <c r="B643" s="220">
        <v>0.009386079833457734</v>
      </c>
      <c r="C643" s="220">
        <v>0.010861818181818141</v>
      </c>
      <c r="D643" s="220">
        <v>0.020247898015275958</v>
      </c>
      <c r="E643" s="222">
        <v>0.0020854479507337424</v>
      </c>
      <c r="F643" s="210">
        <v>8.376578514275025</v>
      </c>
      <c r="G643" s="209">
        <v>4473.113753708251</v>
      </c>
      <c r="H643" s="210">
        <v>8804.175000000001</v>
      </c>
      <c r="I643" s="210">
        <v>0.0</v>
      </c>
      <c r="J643" s="215">
        <v>4.473</v>
      </c>
      <c r="K643" s="221">
        <v>35.878</v>
      </c>
      <c r="L643" s="221">
        <v>184.58</v>
      </c>
      <c r="M643" s="221">
        <v>7.61</v>
      </c>
      <c r="N643" s="221">
        <v>112.95</v>
      </c>
      <c r="O643" s="213">
        <v>4.412897926665549E-4</v>
      </c>
      <c r="P643" s="214">
        <v>-0.004578428630463612</v>
      </c>
      <c r="Q643" s="214">
        <v>1.2557160331390835E-4</v>
      </c>
      <c r="R643" s="214">
        <v>-0.006115652667933606</v>
      </c>
      <c r="S643" s="214">
        <v>0.00155572278972053</v>
      </c>
    </row>
    <row r="644">
      <c r="A644" s="208">
        <v>42677.0</v>
      </c>
      <c r="B644" s="220">
        <v>0.009353617143444393</v>
      </c>
      <c r="C644" s="220">
        <v>0.010856363636363596</v>
      </c>
      <c r="D644" s="220">
        <v>0.02020998077980807</v>
      </c>
      <c r="E644" s="222">
        <v>0.0020854479507337424</v>
      </c>
      <c r="F644" s="210">
        <v>8.376578514275025</v>
      </c>
      <c r="G644" s="209">
        <v>4464.737175193976</v>
      </c>
      <c r="H644" s="210">
        <v>8804.175000000001</v>
      </c>
      <c r="I644" s="210">
        <v>0.0</v>
      </c>
      <c r="J644" s="215">
        <v>4.455</v>
      </c>
      <c r="K644" s="221">
        <v>35.881</v>
      </c>
      <c r="L644" s="221">
        <v>184.49</v>
      </c>
      <c r="M644" s="221">
        <v>7.65</v>
      </c>
      <c r="N644" s="221">
        <v>112.62</v>
      </c>
      <c r="O644" s="213">
        <v>-0.0034372159256220725</v>
      </c>
      <c r="P644" s="214">
        <v>-0.009994304334757084</v>
      </c>
      <c r="Q644" s="214">
        <v>-0.0030358936622690105</v>
      </c>
      <c r="R644" s="214">
        <v>-0.009954969921688575</v>
      </c>
      <c r="S644" s="214">
        <v>0.002864945563768891</v>
      </c>
    </row>
    <row r="645">
      <c r="A645" s="208">
        <v>42676.0</v>
      </c>
      <c r="B645" s="220">
        <v>0.009321154453431053</v>
      </c>
      <c r="C645" s="220">
        <v>0.010850909090909052</v>
      </c>
      <c r="D645" s="220">
        <v>0.020172063544340185</v>
      </c>
      <c r="E645" s="222">
        <v>0.0020854479507337424</v>
      </c>
      <c r="F645" s="210">
        <v>8.376578514275025</v>
      </c>
      <c r="G645" s="209">
        <v>4456.360596679701</v>
      </c>
      <c r="H645" s="210">
        <v>8804.175000000001</v>
      </c>
      <c r="I645" s="210">
        <v>0.0</v>
      </c>
      <c r="J645" s="215">
        <v>4.474</v>
      </c>
      <c r="K645" s="221">
        <v>35.991</v>
      </c>
      <c r="L645" s="221">
        <v>184.21</v>
      </c>
      <c r="M645" s="221">
        <v>7.64</v>
      </c>
      <c r="N645" s="221">
        <v>113.15</v>
      </c>
      <c r="O645" s="213">
        <v>-0.002237765132253785</v>
      </c>
      <c r="P645" s="214">
        <v>-0.011055403065502123</v>
      </c>
      <c r="Q645" s="214">
        <v>-0.004043126713947132</v>
      </c>
      <c r="R645" s="214">
        <v>-0.014197806368167957</v>
      </c>
      <c r="S645" s="214">
        <v>0.0041948010390877215</v>
      </c>
    </row>
    <row r="646">
      <c r="A646" s="208">
        <v>42675.0</v>
      </c>
      <c r="B646" s="220">
        <v>0.009288691763417713</v>
      </c>
      <c r="C646" s="220">
        <v>0.010845454545454507</v>
      </c>
      <c r="D646" s="220">
        <v>0.020134146308872298</v>
      </c>
      <c r="E646" s="222">
        <v>0.0020854479507337424</v>
      </c>
      <c r="F646" s="210">
        <v>8.376578514275025</v>
      </c>
      <c r="G646" s="209">
        <v>4447.984018165426</v>
      </c>
      <c r="H646" s="210">
        <v>8804.175000000001</v>
      </c>
      <c r="I646" s="210">
        <v>0.0</v>
      </c>
      <c r="J646" s="215">
        <v>4.467</v>
      </c>
      <c r="K646" s="221">
        <v>36.372</v>
      </c>
      <c r="L646" s="221">
        <v>184.51</v>
      </c>
      <c r="M646" s="221">
        <v>7.75</v>
      </c>
      <c r="N646" s="221">
        <v>112.42</v>
      </c>
      <c r="O646" s="213">
        <v>-0.0032033466792646217</v>
      </c>
      <c r="P646" s="214">
        <v>-0.007625317380519266</v>
      </c>
      <c r="Q646" s="214">
        <v>-0.003822070111778745</v>
      </c>
      <c r="R646" s="214">
        <v>-0.008562034352253148</v>
      </c>
      <c r="S646" s="214">
        <v>0.0010895809857525511</v>
      </c>
    </row>
    <row r="647">
      <c r="A647" s="208">
        <v>42674.0</v>
      </c>
      <c r="B647" s="220">
        <v>0.009256229073404372</v>
      </c>
      <c r="C647" s="220">
        <v>0.010839999999999963</v>
      </c>
      <c r="D647" s="220">
        <v>0.02009622907340441</v>
      </c>
      <c r="E647" s="222">
        <v>0.0020854479507337424</v>
      </c>
      <c r="F647" s="210">
        <v>8.376578514275025</v>
      </c>
      <c r="G647" s="209">
        <v>4439.607439651151</v>
      </c>
      <c r="H647" s="210">
        <v>8804.175000000001</v>
      </c>
      <c r="I647" s="210">
        <v>0.0</v>
      </c>
      <c r="J647" s="215">
        <v>4.501</v>
      </c>
      <c r="K647" s="221">
        <v>36.966</v>
      </c>
      <c r="L647" s="221">
        <v>186.17</v>
      </c>
      <c r="M647" s="221">
        <v>7.88</v>
      </c>
      <c r="N647" s="221">
        <v>111.65</v>
      </c>
      <c r="O647" s="213">
        <v>-0.0056181811945429745</v>
      </c>
      <c r="P647" s="214">
        <v>-0.003588077003642942</v>
      </c>
      <c r="Q647" s="214">
        <v>-0.002609201117934168</v>
      </c>
      <c r="R647" s="214">
        <v>-0.0029706365027907613</v>
      </c>
      <c r="S647" s="214">
        <v>-0.0010447809164478479</v>
      </c>
    </row>
    <row r="648">
      <c r="A648" s="208">
        <v>42671.0</v>
      </c>
      <c r="B648" s="220">
        <v>0.009223766383391032</v>
      </c>
      <c r="C648" s="220">
        <v>0.010834545454545418</v>
      </c>
      <c r="D648" s="220">
        <v>0.020058311837936525</v>
      </c>
      <c r="E648" s="222">
        <v>0.0020854479507337424</v>
      </c>
      <c r="F648" s="210">
        <v>8.376578514275025</v>
      </c>
      <c r="G648" s="209">
        <v>4431.230861136876</v>
      </c>
      <c r="H648" s="210">
        <v>8804.175000000001</v>
      </c>
      <c r="I648" s="210">
        <v>0.0</v>
      </c>
      <c r="J648" s="215">
        <v>4.504</v>
      </c>
      <c r="K648" s="221">
        <v>37.197</v>
      </c>
      <c r="L648" s="221">
        <v>186.45</v>
      </c>
      <c r="M648" s="221">
        <v>7.97</v>
      </c>
      <c r="N648" s="221">
        <v>111.73</v>
      </c>
      <c r="O648" s="213">
        <v>-0.008309124650233887</v>
      </c>
      <c r="P648" s="214">
        <v>-0.0022544461973075247</v>
      </c>
      <c r="Q648" s="214">
        <v>-0.0036889931865275263</v>
      </c>
      <c r="R648" s="214">
        <v>-8.406787507661365E-4</v>
      </c>
      <c r="S648" s="214">
        <v>-0.003692844060200614</v>
      </c>
    </row>
    <row r="649">
      <c r="A649" s="208">
        <v>42670.0</v>
      </c>
      <c r="B649" s="220">
        <v>0.009191303693377692</v>
      </c>
      <c r="C649" s="220">
        <v>0.010829090909090873</v>
      </c>
      <c r="D649" s="220">
        <v>0.020020394602468638</v>
      </c>
      <c r="E649" s="222">
        <v>0.0020854479507337424</v>
      </c>
      <c r="F649" s="210">
        <v>8.376578514275025</v>
      </c>
      <c r="G649" s="209">
        <v>4422.854282622601</v>
      </c>
      <c r="H649" s="210">
        <v>8804.175000000001</v>
      </c>
      <c r="I649" s="210">
        <v>0.0</v>
      </c>
      <c r="J649" s="215">
        <v>4.51</v>
      </c>
      <c r="K649" s="221">
        <v>37.208</v>
      </c>
      <c r="L649" s="221">
        <v>186.63</v>
      </c>
      <c r="M649" s="221">
        <v>7.95</v>
      </c>
      <c r="N649" s="221">
        <v>112.05</v>
      </c>
      <c r="O649" s="213">
        <v>-0.006204544991026628</v>
      </c>
      <c r="P649" s="214">
        <v>-0.0033397041735874953</v>
      </c>
      <c r="Q649" s="214">
        <v>-0.0031196488358139853</v>
      </c>
      <c r="R649" s="214">
        <v>-8.427725432471611E-4</v>
      </c>
      <c r="S649" s="214">
        <v>-1.4160208268924426E-4</v>
      </c>
    </row>
    <row r="650">
      <c r="A650" s="208">
        <v>42669.0</v>
      </c>
      <c r="B650" s="220">
        <v>0.009158841003364351</v>
      </c>
      <c r="C650" s="220">
        <v>0.010823636363636329</v>
      </c>
      <c r="D650" s="220">
        <v>0.01998247736700075</v>
      </c>
      <c r="E650" s="222">
        <v>0.0020854479507337424</v>
      </c>
      <c r="F650" s="210">
        <v>8.376578514275025</v>
      </c>
      <c r="G650" s="209">
        <v>4414.477704108326</v>
      </c>
      <c r="H650" s="210">
        <v>8804.175000000001</v>
      </c>
      <c r="I650" s="210">
        <v>0.0</v>
      </c>
      <c r="J650" s="215">
        <v>4.577</v>
      </c>
      <c r="K650" s="221">
        <v>37.365</v>
      </c>
      <c r="L650" s="221">
        <v>187.63</v>
      </c>
      <c r="M650" s="221">
        <v>7.95</v>
      </c>
      <c r="N650" s="221">
        <v>112.0</v>
      </c>
      <c r="O650" s="213">
        <v>-0.00444515639939654</v>
      </c>
      <c r="P650" s="214">
        <v>-9.7211300372028E-5</v>
      </c>
      <c r="Q650" s="214">
        <v>-0.001988288744722159</v>
      </c>
      <c r="R650" s="214">
        <v>-0.0012610075913442504</v>
      </c>
      <c r="S650" s="214">
        <v>-9.743193907287839E-4</v>
      </c>
    </row>
    <row r="651">
      <c r="A651" s="208">
        <v>42668.0</v>
      </c>
      <c r="B651" s="220">
        <v>0.009126378313351011</v>
      </c>
      <c r="C651" s="220">
        <v>0.010818181818181784</v>
      </c>
      <c r="D651" s="220">
        <v>0.019944560131532865</v>
      </c>
      <c r="E651" s="222">
        <v>0.0020854479507337424</v>
      </c>
      <c r="F651" s="210">
        <v>8.376578514275025</v>
      </c>
      <c r="G651" s="209">
        <v>4406.101125594051</v>
      </c>
      <c r="H651" s="210">
        <v>8804.175000000001</v>
      </c>
      <c r="I651" s="210">
        <v>0.0</v>
      </c>
      <c r="J651" s="215">
        <v>4.617</v>
      </c>
      <c r="K651" s="221">
        <v>37.449</v>
      </c>
      <c r="L651" s="221">
        <v>188.52</v>
      </c>
      <c r="M651" s="221">
        <v>7.99</v>
      </c>
      <c r="N651" s="221">
        <v>112.97</v>
      </c>
      <c r="O651" s="213">
        <v>7.67801792642279E-4</v>
      </c>
      <c r="P651" s="214">
        <v>0.0022753414838540356</v>
      </c>
      <c r="Q651" s="214">
        <v>0.0010409608504665286</v>
      </c>
      <c r="R651" s="214">
        <v>0.002922406919776336</v>
      </c>
      <c r="S651" s="214">
        <v>0.0030403156655729457</v>
      </c>
    </row>
    <row r="652">
      <c r="A652" s="208">
        <v>42667.0</v>
      </c>
      <c r="B652" s="220">
        <v>0.00909391562333767</v>
      </c>
      <c r="C652" s="220">
        <v>0.01081272727272724</v>
      </c>
      <c r="D652" s="220">
        <v>0.019906642896064978</v>
      </c>
      <c r="E652" s="222">
        <v>0.0020854479507337424</v>
      </c>
      <c r="F652" s="210">
        <v>8.376578514275025</v>
      </c>
      <c r="G652" s="209">
        <v>4397.724547079776</v>
      </c>
      <c r="H652" s="210">
        <v>8804.175000000001</v>
      </c>
      <c r="I652" s="210">
        <v>0.0</v>
      </c>
      <c r="J652" s="215">
        <v>4.594</v>
      </c>
      <c r="K652" s="221">
        <v>37.582</v>
      </c>
      <c r="L652" s="221">
        <v>188.38</v>
      </c>
      <c r="M652" s="221">
        <v>7.97</v>
      </c>
      <c r="N652" s="221">
        <v>112.09</v>
      </c>
      <c r="O652" s="213">
        <v>4.0992058606725834E-4</v>
      </c>
      <c r="P652" s="214">
        <v>0.0035039850175319076</v>
      </c>
      <c r="Q652" s="214">
        <v>0.0015383768205945447</v>
      </c>
      <c r="R652" s="214">
        <v>-8.580973300646259E-4</v>
      </c>
      <c r="S652" s="214">
        <v>0.0012179803938083082</v>
      </c>
    </row>
    <row r="653">
      <c r="A653" s="208">
        <v>42664.0</v>
      </c>
      <c r="B653" s="220">
        <v>0.00906145293332433</v>
      </c>
      <c r="C653" s="220">
        <v>0.010807272727272695</v>
      </c>
      <c r="D653" s="220">
        <v>0.01986872566059709</v>
      </c>
      <c r="E653" s="222">
        <v>0.0020854479507337424</v>
      </c>
      <c r="F653" s="210">
        <v>8.376578514275025</v>
      </c>
      <c r="G653" s="209">
        <v>4389.347968565501</v>
      </c>
      <c r="H653" s="210">
        <v>8804.175000000001</v>
      </c>
      <c r="I653" s="210">
        <v>0.0</v>
      </c>
      <c r="J653" s="215">
        <v>4.638</v>
      </c>
      <c r="K653" s="221">
        <v>37.375</v>
      </c>
      <c r="L653" s="221">
        <v>188.75</v>
      </c>
      <c r="M653" s="221">
        <v>7.98</v>
      </c>
      <c r="N653" s="221">
        <v>112.32</v>
      </c>
      <c r="O653" s="213">
        <v>0.0059273961556444155</v>
      </c>
      <c r="P653" s="214">
        <v>0.0031648983465531653</v>
      </c>
      <c r="Q653" s="214">
        <v>0.0035618977348118586</v>
      </c>
      <c r="R653" s="214">
        <v>0.004566395540310353</v>
      </c>
      <c r="S653" s="214">
        <v>0.0050657559183709955</v>
      </c>
    </row>
    <row r="654">
      <c r="A654" s="208">
        <v>42663.0</v>
      </c>
      <c r="B654" s="220">
        <v>0.00902899024331099</v>
      </c>
      <c r="C654" s="220">
        <v>0.01080181818181815</v>
      </c>
      <c r="D654" s="220">
        <v>0.019830808425129205</v>
      </c>
      <c r="E654" s="222">
        <v>0.0020854479507337424</v>
      </c>
      <c r="F654" s="210">
        <v>8.376578514275025</v>
      </c>
      <c r="G654" s="209">
        <v>4380.971390051226</v>
      </c>
      <c r="H654" s="210">
        <v>8804.175000000001</v>
      </c>
      <c r="I654" s="210">
        <v>0.0</v>
      </c>
      <c r="J654" s="215">
        <v>4.606</v>
      </c>
      <c r="K654" s="221">
        <v>37.193</v>
      </c>
      <c r="L654" s="221">
        <v>187.93</v>
      </c>
      <c r="M654" s="221">
        <v>7.92</v>
      </c>
      <c r="N654" s="221">
        <v>111.94</v>
      </c>
      <c r="O654" s="213">
        <v>0.00428602661393566</v>
      </c>
      <c r="P654" s="214">
        <v>0.0033965130705112903</v>
      </c>
      <c r="Q654" s="214">
        <v>0.002667128153987397</v>
      </c>
      <c r="R654" s="214">
        <v>0.0012130311891528727</v>
      </c>
      <c r="S654" s="214">
        <v>0.005746016945615755</v>
      </c>
    </row>
    <row r="655">
      <c r="A655" s="208">
        <v>42662.0</v>
      </c>
      <c r="B655" s="220">
        <v>0.00899652755329765</v>
      </c>
      <c r="C655" s="220">
        <v>0.010796363636363606</v>
      </c>
      <c r="D655" s="220">
        <v>0.019792891189661318</v>
      </c>
      <c r="E655" s="222">
        <v>0.0020854479507337424</v>
      </c>
      <c r="F655" s="210">
        <v>8.376578514275025</v>
      </c>
      <c r="G655" s="209">
        <v>4372.594811536951</v>
      </c>
      <c r="H655" s="210">
        <v>8804.175000000001</v>
      </c>
      <c r="I655" s="210">
        <v>0.0</v>
      </c>
      <c r="J655" s="215">
        <v>4.588</v>
      </c>
      <c r="K655" s="221">
        <v>37.188</v>
      </c>
      <c r="L655" s="221">
        <v>187.51</v>
      </c>
      <c r="M655" s="221">
        <v>7.99</v>
      </c>
      <c r="N655" s="221">
        <v>111.68</v>
      </c>
      <c r="O655" s="213">
        <v>0.0022502938101289782</v>
      </c>
      <c r="P655" s="214">
        <v>0.001884908344301513</v>
      </c>
      <c r="Q655" s="214">
        <v>0.0015466938748675736</v>
      </c>
      <c r="R655" s="214">
        <v>0.003314207719987213</v>
      </c>
      <c r="S655" s="214">
        <v>0.006365478655280921</v>
      </c>
    </row>
    <row r="656">
      <c r="A656" s="208">
        <v>42661.0</v>
      </c>
      <c r="B656" s="220">
        <v>0.00896406486328431</v>
      </c>
      <c r="C656" s="220">
        <v>0.010790909090909061</v>
      </c>
      <c r="D656" s="220">
        <v>0.01975497395419343</v>
      </c>
      <c r="E656" s="222">
        <v>0.0020854479507337424</v>
      </c>
      <c r="F656" s="210">
        <v>8.376578514275025</v>
      </c>
      <c r="G656" s="209">
        <v>4364.218233022676</v>
      </c>
      <c r="H656" s="210">
        <v>8804.175000000001</v>
      </c>
      <c r="I656" s="210">
        <v>0.0</v>
      </c>
      <c r="J656" s="215">
        <v>4.556</v>
      </c>
      <c r="K656" s="221">
        <v>37.021</v>
      </c>
      <c r="L656" s="221">
        <v>186.74</v>
      </c>
      <c r="M656" s="221">
        <v>7.87</v>
      </c>
      <c r="N656" s="221">
        <v>110.62</v>
      </c>
      <c r="O656" s="213">
        <v>-3.672018949243035E-4</v>
      </c>
      <c r="P656" s="214">
        <v>0.0037775040735371634</v>
      </c>
      <c r="Q656" s="214">
        <v>0.0016780923058234236</v>
      </c>
      <c r="R656" s="214">
        <v>0.0012578024050839964</v>
      </c>
      <c r="S656" s="214">
        <v>0.002745306379828579</v>
      </c>
    </row>
    <row r="657">
      <c r="A657" s="208">
        <v>42660.0</v>
      </c>
      <c r="B657" s="220">
        <v>0.008931602173270969</v>
      </c>
      <c r="C657" s="220">
        <v>0.010785454545454516</v>
      </c>
      <c r="D657" s="220">
        <v>0.019717056718725545</v>
      </c>
      <c r="E657" s="222">
        <v>0.0020854479507337424</v>
      </c>
      <c r="F657" s="210">
        <v>8.376578514275025</v>
      </c>
      <c r="G657" s="209">
        <v>4355.841654508401</v>
      </c>
      <c r="H657" s="210">
        <v>8804.175000000001</v>
      </c>
      <c r="I657" s="210">
        <v>0.0</v>
      </c>
      <c r="J657" s="215">
        <v>4.547</v>
      </c>
      <c r="K657" s="221">
        <v>36.815</v>
      </c>
      <c r="L657" s="221">
        <v>186.43</v>
      </c>
      <c r="M657" s="221">
        <v>7.89</v>
      </c>
      <c r="N657" s="221">
        <v>110.02</v>
      </c>
      <c r="O657" s="213">
        <v>5.821603001233319E-4</v>
      </c>
      <c r="P657" s="214">
        <v>-0.0010644669842346428</v>
      </c>
      <c r="Q657" s="214">
        <v>0.0013579639570457935</v>
      </c>
      <c r="R657" s="214">
        <v>0.001679731024053795</v>
      </c>
      <c r="S657" s="214">
        <v>0.0011196138458999434</v>
      </c>
    </row>
    <row r="658">
      <c r="A658" s="208">
        <v>42657.0</v>
      </c>
      <c r="B658" s="220">
        <v>0.008899139483257629</v>
      </c>
      <c r="C658" s="220">
        <v>0.010779999999999972</v>
      </c>
      <c r="D658" s="220">
        <v>0.019679139483257658</v>
      </c>
      <c r="E658" s="222">
        <v>0.0020854479507337424</v>
      </c>
      <c r="F658" s="210">
        <v>8.376578514275025</v>
      </c>
      <c r="G658" s="209">
        <v>4347.465075994126</v>
      </c>
      <c r="H658" s="210">
        <v>8804.175000000001</v>
      </c>
      <c r="I658" s="210">
        <v>0.0</v>
      </c>
      <c r="J658" s="215">
        <v>4.557</v>
      </c>
      <c r="K658" s="221">
        <v>36.977</v>
      </c>
      <c r="L658" s="221">
        <v>186.64</v>
      </c>
      <c r="M658" s="221">
        <v>7.91</v>
      </c>
      <c r="N658" s="221">
        <v>109.56</v>
      </c>
      <c r="O658" s="213">
        <v>7.277434668978197E-4</v>
      </c>
      <c r="P658" s="214">
        <v>0.0017743285725716114</v>
      </c>
      <c r="Q658" s="214">
        <v>0.0025054189661227744</v>
      </c>
      <c r="R658" s="214">
        <v>0.0029493108894536046</v>
      </c>
      <c r="S658" s="214">
        <v>-3.34871664189403E-4</v>
      </c>
    </row>
    <row r="659">
      <c r="A659" s="208">
        <v>42656.0</v>
      </c>
      <c r="B659" s="220">
        <v>0.008866676793244288</v>
      </c>
      <c r="C659" s="220">
        <v>0.010774545454545427</v>
      </c>
      <c r="D659" s="220">
        <v>0.01964122224778977</v>
      </c>
      <c r="E659" s="222">
        <v>0.0020854479507337424</v>
      </c>
      <c r="F659" s="210">
        <v>8.376578514275025</v>
      </c>
      <c r="G659" s="209">
        <v>4339.088497479851</v>
      </c>
      <c r="H659" s="210">
        <v>8804.175000000001</v>
      </c>
      <c r="I659" s="210">
        <v>0.0</v>
      </c>
      <c r="J659" s="215">
        <v>4.561</v>
      </c>
      <c r="K659" s="221">
        <v>36.601</v>
      </c>
      <c r="L659" s="221">
        <v>185.8</v>
      </c>
      <c r="M659" s="221">
        <v>7.84</v>
      </c>
      <c r="N659" s="221">
        <v>109.71</v>
      </c>
      <c r="O659" s="213">
        <v>0.005345529721231664</v>
      </c>
      <c r="P659" s="214">
        <v>-0.003056283887913421</v>
      </c>
      <c r="Q659" s="214">
        <v>0.004424192629350047</v>
      </c>
      <c r="R659" s="214">
        <v>-5.416179210312085E-7</v>
      </c>
      <c r="S659" s="214">
        <v>0.003008949503585471</v>
      </c>
    </row>
    <row r="660">
      <c r="A660" s="208">
        <v>42655.0</v>
      </c>
      <c r="B660" s="220">
        <v>0.008834214103230948</v>
      </c>
      <c r="C660" s="220">
        <v>0.010769090909090883</v>
      </c>
      <c r="D660" s="220">
        <v>0.019603305012321885</v>
      </c>
      <c r="E660" s="222">
        <v>0.0020854479507337424</v>
      </c>
      <c r="F660" s="210">
        <v>8.376578514275025</v>
      </c>
      <c r="G660" s="209">
        <v>4330.711918965576</v>
      </c>
      <c r="H660" s="210">
        <v>8804.175000000001</v>
      </c>
      <c r="I660" s="210">
        <v>0.0</v>
      </c>
      <c r="J660" s="215">
        <v>4.539</v>
      </c>
      <c r="K660" s="221">
        <v>36.929</v>
      </c>
      <c r="L660" s="221">
        <v>185.67</v>
      </c>
      <c r="M660" s="221">
        <v>7.85</v>
      </c>
      <c r="N660" s="221">
        <v>109.65</v>
      </c>
      <c r="O660" s="213">
        <v>0.002475068919396195</v>
      </c>
      <c r="P660" s="214">
        <v>0.00245777740520318</v>
      </c>
      <c r="Q660" s="214">
        <v>0.003754619169471063</v>
      </c>
      <c r="R660" s="214">
        <v>0.00510149919840545</v>
      </c>
      <c r="S660" s="214">
        <v>0.0038690838775109113</v>
      </c>
    </row>
    <row r="661">
      <c r="A661" s="208">
        <v>42654.0</v>
      </c>
      <c r="B661" s="220">
        <v>0.008801751413217608</v>
      </c>
      <c r="C661" s="220">
        <v>0.010763636363636338</v>
      </c>
      <c r="D661" s="220">
        <v>0.019565387776853998</v>
      </c>
      <c r="E661" s="222">
        <v>0.0020854479507337424</v>
      </c>
      <c r="F661" s="210">
        <v>8.376578514275025</v>
      </c>
      <c r="G661" s="209">
        <v>4322.335340451301</v>
      </c>
      <c r="H661" s="210">
        <v>8804.175000000001</v>
      </c>
      <c r="I661" s="210">
        <v>0.0</v>
      </c>
      <c r="J661" s="215">
        <v>4.547</v>
      </c>
      <c r="K661" s="221">
        <v>36.777</v>
      </c>
      <c r="L661" s="221">
        <v>185.24</v>
      </c>
      <c r="M661" s="221">
        <v>7.84</v>
      </c>
      <c r="N661" s="221">
        <v>109.67</v>
      </c>
      <c r="O661" s="213">
        <v>8.428140105073053E-4</v>
      </c>
      <c r="P661" s="214">
        <v>0.0011767108198751004</v>
      </c>
      <c r="Q661" s="214">
        <v>0.002764751551490696</v>
      </c>
      <c r="R661" s="214">
        <v>0.006832972516302771</v>
      </c>
      <c r="S661" s="214">
        <v>0.004268199193538343</v>
      </c>
    </row>
    <row r="662">
      <c r="A662" s="208">
        <v>42653.0</v>
      </c>
      <c r="B662" s="220">
        <v>0.008769288723204267</v>
      </c>
      <c r="C662" s="220">
        <v>0.010758181818181793</v>
      </c>
      <c r="D662" s="220">
        <v>0.01952747054138611</v>
      </c>
      <c r="E662" s="222">
        <v>0.0020854479507337424</v>
      </c>
      <c r="F662" s="210">
        <v>8.376578514275025</v>
      </c>
      <c r="G662" s="209">
        <v>4313.958761937026</v>
      </c>
      <c r="H662" s="210">
        <v>8804.175000000001</v>
      </c>
      <c r="I662" s="210">
        <v>0.0</v>
      </c>
      <c r="J662" s="215">
        <v>4.488</v>
      </c>
      <c r="K662" s="221">
        <v>36.936</v>
      </c>
      <c r="L662" s="221">
        <v>183.34</v>
      </c>
      <c r="M662" s="221">
        <v>7.84</v>
      </c>
      <c r="N662" s="221">
        <v>108.72</v>
      </c>
      <c r="O662" s="213">
        <v>-0.002894362978864177</v>
      </c>
      <c r="P662" s="214">
        <v>0.0026905971975660727</v>
      </c>
      <c r="Q662" s="214">
        <v>8.973018416269518E-5</v>
      </c>
      <c r="R662" s="214">
        <v>0.005530889182969438</v>
      </c>
      <c r="S662" s="214">
        <v>-0.0013901016870878635</v>
      </c>
    </row>
    <row r="663">
      <c r="A663" s="208">
        <v>42650.0</v>
      </c>
      <c r="B663" s="220">
        <v>0.008736826033190927</v>
      </c>
      <c r="C663" s="220">
        <v>0.010752727272727249</v>
      </c>
      <c r="D663" s="220">
        <v>0.019489553305918225</v>
      </c>
      <c r="E663" s="222">
        <v>0.0020854479507337424</v>
      </c>
      <c r="F663" s="210">
        <v>8.376578514275025</v>
      </c>
      <c r="G663" s="209">
        <v>4305.582183422751</v>
      </c>
      <c r="H663" s="210">
        <v>8804.175000000001</v>
      </c>
      <c r="I663" s="210">
        <v>0.0</v>
      </c>
      <c r="J663" s="215">
        <v>4.505</v>
      </c>
      <c r="K663" s="221">
        <v>36.656</v>
      </c>
      <c r="L663" s="221">
        <v>183.58</v>
      </c>
      <c r="M663" s="221">
        <v>7.73</v>
      </c>
      <c r="N663" s="221">
        <v>108.38</v>
      </c>
      <c r="O663" s="213">
        <v>-0.008626803353451748</v>
      </c>
      <c r="P663" s="214">
        <v>-0.0011282153043135807</v>
      </c>
      <c r="Q663" s="214">
        <v>-0.002892911989742619</v>
      </c>
      <c r="R663" s="214">
        <v>-1.0659472809315673E-5</v>
      </c>
      <c r="S663" s="214">
        <v>-0.007256815023377457</v>
      </c>
    </row>
    <row r="664">
      <c r="A664" s="208">
        <v>42649.0</v>
      </c>
      <c r="B664" s="220">
        <v>0.008704363343177587</v>
      </c>
      <c r="C664" s="220">
        <v>0.010747272727272704</v>
      </c>
      <c r="D664" s="220">
        <v>0.019451636070450338</v>
      </c>
      <c r="E664" s="222">
        <v>0.0020854479507337424</v>
      </c>
      <c r="F664" s="210">
        <v>8.376578514275025</v>
      </c>
      <c r="G664" s="209">
        <v>4297.205604908476</v>
      </c>
      <c r="H664" s="210">
        <v>8804.175000000001</v>
      </c>
      <c r="I664" s="210">
        <v>0.0</v>
      </c>
      <c r="J664" s="215">
        <v>4.535</v>
      </c>
      <c r="K664" s="221">
        <v>36.646</v>
      </c>
      <c r="L664" s="221">
        <v>183.7</v>
      </c>
      <c r="M664" s="221">
        <v>7.68</v>
      </c>
      <c r="N664" s="221">
        <v>108.27</v>
      </c>
      <c r="O664" s="213">
        <v>-0.005757977859781864</v>
      </c>
      <c r="P664" s="214">
        <v>6.206171406502037E-4</v>
      </c>
      <c r="Q664" s="214">
        <v>-0.0015049273829796557</v>
      </c>
      <c r="R664" s="214">
        <v>-1.0659472809315673E-5</v>
      </c>
      <c r="S664" s="214">
        <v>-0.014156455129789025</v>
      </c>
    </row>
    <row r="665">
      <c r="A665" s="208">
        <v>42648.0</v>
      </c>
      <c r="B665" s="220">
        <v>0.008671900653164246</v>
      </c>
      <c r="C665" s="220">
        <v>0.01074181818181816</v>
      </c>
      <c r="D665" s="220">
        <v>0.01941371883498245</v>
      </c>
      <c r="E665" s="222">
        <v>0.0020854479507337424</v>
      </c>
      <c r="F665" s="210">
        <v>8.376578514275025</v>
      </c>
      <c r="G665" s="209">
        <v>4288.829026394201</v>
      </c>
      <c r="H665" s="210">
        <v>8804.175000000001</v>
      </c>
      <c r="I665" s="210">
        <v>0.0</v>
      </c>
      <c r="J665" s="215">
        <v>4.527</v>
      </c>
      <c r="K665" s="221">
        <v>36.638</v>
      </c>
      <c r="L665" s="221">
        <v>183.29</v>
      </c>
      <c r="M665" s="221">
        <v>7.71</v>
      </c>
      <c r="N665" s="221">
        <v>109.17</v>
      </c>
      <c r="O665" s="213">
        <v>-0.006345996970402945</v>
      </c>
      <c r="P665" s="214">
        <v>-2.814518914781387E-4</v>
      </c>
      <c r="Q665" s="214">
        <v>-0.0022850237733728442</v>
      </c>
      <c r="R665" s="214">
        <v>0.002159479416079524</v>
      </c>
      <c r="S665" s="214">
        <v>-0.012920478589445228</v>
      </c>
    </row>
    <row r="666">
      <c r="A666" s="208">
        <v>42647.0</v>
      </c>
      <c r="B666" s="220">
        <v>0.008639437963150906</v>
      </c>
      <c r="C666" s="220">
        <v>0.010736363636363615</v>
      </c>
      <c r="D666" s="220">
        <v>0.019375801599514565</v>
      </c>
      <c r="E666" s="222">
        <v>0.0020854479507337424</v>
      </c>
      <c r="F666" s="210">
        <v>8.376578514275025</v>
      </c>
      <c r="G666" s="209">
        <v>4280.452447879926</v>
      </c>
      <c r="H666" s="210">
        <v>8804.175000000001</v>
      </c>
      <c r="I666" s="210">
        <v>0.0</v>
      </c>
      <c r="J666" s="215">
        <v>4.622</v>
      </c>
      <c r="K666" s="221">
        <v>36.78</v>
      </c>
      <c r="L666" s="221">
        <v>185.17</v>
      </c>
      <c r="M666" s="221">
        <v>7.73</v>
      </c>
      <c r="N666" s="221">
        <v>110.75</v>
      </c>
      <c r="O666" s="213">
        <v>-5.79342790736607E-4</v>
      </c>
      <c r="P666" s="214">
        <v>0.001637717163486337</v>
      </c>
      <c r="Q666" s="214">
        <v>0.0011159032384520835</v>
      </c>
      <c r="R666" s="214">
        <v>0.00215383530441197</v>
      </c>
      <c r="S666" s="214">
        <v>-0.006979700691861786</v>
      </c>
    </row>
    <row r="667">
      <c r="A667" s="208">
        <v>42646.0</v>
      </c>
      <c r="B667" s="220">
        <v>0.008606975273137566</v>
      </c>
      <c r="C667" s="220">
        <v>0.01073090909090907</v>
      </c>
      <c r="D667" s="220">
        <v>0.019337884364046678</v>
      </c>
      <c r="E667" s="222">
        <v>0.0020854479507337424</v>
      </c>
      <c r="F667" s="210">
        <v>8.376578514275025</v>
      </c>
      <c r="G667" s="209">
        <v>4272.075869365651</v>
      </c>
      <c r="H667" s="210">
        <v>8804.175000000001</v>
      </c>
      <c r="I667" s="210">
        <v>0.0</v>
      </c>
      <c r="J667" s="215">
        <v>4.613</v>
      </c>
      <c r="K667" s="221">
        <v>36.577</v>
      </c>
      <c r="L667" s="221">
        <v>184.52</v>
      </c>
      <c r="M667" s="221">
        <v>7.68</v>
      </c>
      <c r="N667" s="221">
        <v>112.93</v>
      </c>
      <c r="O667" s="213">
        <v>-0.004468153278281761</v>
      </c>
      <c r="P667" s="214">
        <v>4.445970784064575E-4</v>
      </c>
      <c r="Q667" s="214">
        <v>-0.0023119367715487282</v>
      </c>
      <c r="R667" s="214">
        <v>0.0039039835364084916</v>
      </c>
      <c r="S667" s="214">
        <v>-0.002599915847205795</v>
      </c>
    </row>
    <row r="668">
      <c r="A668" s="208">
        <v>42643.0</v>
      </c>
      <c r="B668" s="220">
        <v>0.008574512583124225</v>
      </c>
      <c r="C668" s="220">
        <v>0.010725454545454526</v>
      </c>
      <c r="D668" s="220">
        <v>0.01929996712857879</v>
      </c>
      <c r="E668" s="222">
        <v>0.0020854479507337424</v>
      </c>
      <c r="F668" s="210">
        <v>8.376578514275025</v>
      </c>
      <c r="G668" s="209">
        <v>4263.699290851376</v>
      </c>
      <c r="H668" s="210">
        <v>8804.175000000001</v>
      </c>
      <c r="I668" s="210">
        <v>0.0</v>
      </c>
      <c r="J668" s="215">
        <v>4.613</v>
      </c>
      <c r="K668" s="221">
        <v>36.668</v>
      </c>
      <c r="L668" s="221">
        <v>184.54</v>
      </c>
      <c r="M668" s="221">
        <v>7.66</v>
      </c>
      <c r="N668" s="221">
        <v>113.45</v>
      </c>
      <c r="O668" s="213">
        <v>-0.003469935809476077</v>
      </c>
      <c r="P668" s="214">
        <v>0.001155267365953468</v>
      </c>
      <c r="Q668" s="214">
        <v>-0.001809355611971893</v>
      </c>
      <c r="R668" s="214">
        <v>0.0034751023330707267</v>
      </c>
      <c r="S668" s="214">
        <v>-0.0018851219871099574</v>
      </c>
    </row>
    <row r="669">
      <c r="A669" s="208">
        <v>42642.0</v>
      </c>
      <c r="B669" s="220">
        <v>0.008542049893110885</v>
      </c>
      <c r="C669" s="220">
        <v>0.010719999999999981</v>
      </c>
      <c r="D669" s="220">
        <v>0.019262049893110905</v>
      </c>
      <c r="E669" s="222">
        <v>0.0020854479507337424</v>
      </c>
      <c r="F669" s="210">
        <v>8.376578514275025</v>
      </c>
      <c r="G669" s="209">
        <v>4255.322712337101</v>
      </c>
      <c r="H669" s="210">
        <v>8804.175000000001</v>
      </c>
      <c r="I669" s="210">
        <v>0.0</v>
      </c>
      <c r="J669" s="215">
        <v>4.63</v>
      </c>
      <c r="K669" s="221">
        <v>36.599</v>
      </c>
      <c r="L669" s="221">
        <v>184.55</v>
      </c>
      <c r="M669" s="221">
        <v>7.68</v>
      </c>
      <c r="N669" s="221">
        <v>113.07</v>
      </c>
      <c r="O669" s="213">
        <v>0.0023354629886277087</v>
      </c>
      <c r="P669" s="214">
        <v>0.0035839454920658653</v>
      </c>
      <c r="Q669" s="214">
        <v>0.001155062103513978</v>
      </c>
      <c r="R669" s="214">
        <v>0.002586409400590702</v>
      </c>
      <c r="S669" s="214">
        <v>-0.005894073036363616</v>
      </c>
    </row>
    <row r="670">
      <c r="A670" s="208">
        <v>42641.0</v>
      </c>
      <c r="B670" s="220">
        <v>0.008509587203097545</v>
      </c>
      <c r="C670" s="220">
        <v>0.010714545454545437</v>
      </c>
      <c r="D670" s="220">
        <v>0.019224132657643018</v>
      </c>
      <c r="E670" s="222">
        <v>0.0020854479507337424</v>
      </c>
      <c r="F670" s="210">
        <v>8.376578514275025</v>
      </c>
      <c r="G670" s="209">
        <v>4246.946133822826</v>
      </c>
      <c r="H670" s="210">
        <v>8804.175000000001</v>
      </c>
      <c r="I670" s="210">
        <v>0.0</v>
      </c>
      <c r="J670" s="215">
        <v>4.675</v>
      </c>
      <c r="K670" s="221">
        <v>36.528</v>
      </c>
      <c r="L670" s="221">
        <v>185.8</v>
      </c>
      <c r="M670" s="221">
        <v>7.59</v>
      </c>
      <c r="N670" s="221">
        <v>113.81</v>
      </c>
      <c r="O670" s="213">
        <v>0.005357670635553109</v>
      </c>
      <c r="P670" s="214">
        <v>-0.0020710803979364645</v>
      </c>
      <c r="Q670" s="214">
        <v>0.0027784034105265607</v>
      </c>
      <c r="R670" s="214">
        <v>-0.003069621876749603</v>
      </c>
      <c r="S670" s="214">
        <v>-0.00345184536013902</v>
      </c>
    </row>
    <row r="671">
      <c r="A671" s="208">
        <v>42640.0</v>
      </c>
      <c r="B671" s="220">
        <v>0.008477124513084204</v>
      </c>
      <c r="C671" s="220">
        <v>0.010709090909090892</v>
      </c>
      <c r="D671" s="220">
        <v>0.01918621542217513</v>
      </c>
      <c r="E671" s="222">
        <v>0.0020854479507337424</v>
      </c>
      <c r="F671" s="210">
        <v>8.376578514275025</v>
      </c>
      <c r="G671" s="209">
        <v>4238.569555308551</v>
      </c>
      <c r="H671" s="210">
        <v>8804.175000000001</v>
      </c>
      <c r="I671" s="210">
        <v>0.0</v>
      </c>
      <c r="J671" s="215">
        <v>4.661</v>
      </c>
      <c r="K671" s="221">
        <v>36.541</v>
      </c>
      <c r="L671" s="221">
        <v>185.54</v>
      </c>
      <c r="M671" s="221">
        <v>7.58</v>
      </c>
      <c r="N671" s="221">
        <v>114.09</v>
      </c>
      <c r="O671" s="213">
        <v>0.004214525630515424</v>
      </c>
      <c r="P671" s="214">
        <v>-0.002097574657488721</v>
      </c>
      <c r="Q671" s="214">
        <v>0.002601413811111971</v>
      </c>
      <c r="R671" s="214">
        <v>-0.00437911824811447</v>
      </c>
      <c r="S671" s="214">
        <v>-0.0021099806064285667</v>
      </c>
    </row>
    <row r="672">
      <c r="A672" s="208">
        <v>42639.0</v>
      </c>
      <c r="B672" s="220">
        <v>0.008444661823070864</v>
      </c>
      <c r="C672" s="220">
        <v>0.010703636363636347</v>
      </c>
      <c r="D672" s="220">
        <v>0.019148298186707245</v>
      </c>
      <c r="E672" s="222">
        <v>0.0020854479507337424</v>
      </c>
      <c r="F672" s="210">
        <v>8.376578514275025</v>
      </c>
      <c r="G672" s="209">
        <v>4230.192976794276</v>
      </c>
      <c r="H672" s="210">
        <v>8804.175000000001</v>
      </c>
      <c r="I672" s="210">
        <v>0.0</v>
      </c>
      <c r="J672" s="215">
        <v>4.597</v>
      </c>
      <c r="K672" s="221">
        <v>36.206</v>
      </c>
      <c r="L672" s="221">
        <v>183.9</v>
      </c>
      <c r="M672" s="221">
        <v>7.62</v>
      </c>
      <c r="N672" s="221">
        <v>115.08</v>
      </c>
      <c r="O672" s="213">
        <v>0.003911043563463353</v>
      </c>
      <c r="P672" s="214">
        <v>-0.004609521849911961</v>
      </c>
      <c r="Q672" s="214">
        <v>-6.52761423263537E-4</v>
      </c>
      <c r="R672" s="214">
        <v>-0.0034881588520429365</v>
      </c>
      <c r="S672" s="214">
        <v>8.11506195490271E-4</v>
      </c>
    </row>
    <row r="673">
      <c r="A673" s="208">
        <v>42636.0</v>
      </c>
      <c r="B673" s="220">
        <v>0.008412199133057524</v>
      </c>
      <c r="C673" s="220">
        <v>0.010698181818181803</v>
      </c>
      <c r="D673" s="220">
        <v>0.019110380951239358</v>
      </c>
      <c r="E673" s="222">
        <v>0.0020854479507337424</v>
      </c>
      <c r="F673" s="210">
        <v>8.376578514275025</v>
      </c>
      <c r="G673" s="209">
        <v>4221.816398280001</v>
      </c>
      <c r="H673" s="210">
        <v>8804.175000000001</v>
      </c>
      <c r="I673" s="210">
        <v>0.0</v>
      </c>
      <c r="J673" s="215">
        <v>4.6</v>
      </c>
      <c r="K673" s="221">
        <v>36.75</v>
      </c>
      <c r="L673" s="221">
        <v>184.25</v>
      </c>
      <c r="M673" s="221">
        <v>7.66</v>
      </c>
      <c r="N673" s="221">
        <v>114.99</v>
      </c>
      <c r="O673" s="213">
        <v>0.002000761050134544</v>
      </c>
      <c r="P673" s="214">
        <v>0.0011707553706864122</v>
      </c>
      <c r="Q673" s="214">
        <v>-3.4398549979393805E-4</v>
      </c>
      <c r="R673" s="214">
        <v>8.590250227000032E-4</v>
      </c>
      <c r="S673" s="214">
        <v>0.004093210545380403</v>
      </c>
    </row>
    <row r="674">
      <c r="A674" s="208">
        <v>42635.0</v>
      </c>
      <c r="B674" s="220">
        <v>0.008379736443044183</v>
      </c>
      <c r="C674" s="220">
        <v>0.010692727272727258</v>
      </c>
      <c r="D674" s="220">
        <v>0.01907246371577147</v>
      </c>
      <c r="E674" s="222">
        <v>0.0020854479507337424</v>
      </c>
      <c r="F674" s="210">
        <v>8.376578514275025</v>
      </c>
      <c r="G674" s="209">
        <v>4213.439819765726</v>
      </c>
      <c r="H674" s="210">
        <v>8804.175000000001</v>
      </c>
      <c r="I674" s="210">
        <v>0.0</v>
      </c>
      <c r="J674" s="215">
        <v>4.602</v>
      </c>
      <c r="K674" s="221">
        <v>36.766</v>
      </c>
      <c r="L674" s="221">
        <v>184.09</v>
      </c>
      <c r="M674" s="221">
        <v>7.68</v>
      </c>
      <c r="N674" s="221">
        <v>114.81</v>
      </c>
      <c r="O674" s="213">
        <v>0.004916175608822108</v>
      </c>
      <c r="P674" s="214">
        <v>6.696206550377651E-4</v>
      </c>
      <c r="Q674" s="214">
        <v>1.7982532718541222E-4</v>
      </c>
      <c r="R674" s="214">
        <v>0.0034745477399273175</v>
      </c>
      <c r="S674" s="214">
        <v>0.0038355570513606274</v>
      </c>
    </row>
    <row r="675">
      <c r="A675" s="208">
        <v>42634.0</v>
      </c>
      <c r="B675" s="220">
        <v>0.008347273753030843</v>
      </c>
      <c r="C675" s="220">
        <v>0.010687272727272714</v>
      </c>
      <c r="D675" s="220">
        <v>0.019034546480303585</v>
      </c>
      <c r="E675" s="222">
        <v>0.0020854479507337424</v>
      </c>
      <c r="F675" s="210">
        <v>8.376578514275025</v>
      </c>
      <c r="G675" s="209">
        <v>4205.063241251451</v>
      </c>
      <c r="H675" s="210">
        <v>8804.175000000001</v>
      </c>
      <c r="I675" s="210">
        <v>0.0</v>
      </c>
      <c r="J675" s="215">
        <v>4.543</v>
      </c>
      <c r="K675" s="221">
        <v>36.706</v>
      </c>
      <c r="L675" s="221">
        <v>184.26</v>
      </c>
      <c r="M675" s="221">
        <v>7.7</v>
      </c>
      <c r="N675" s="221">
        <v>114.8</v>
      </c>
      <c r="O675" s="213">
        <v>4.221155347002477E-4</v>
      </c>
      <c r="P675" s="214">
        <v>0.002078835776854674</v>
      </c>
      <c r="Q675" s="214">
        <v>1.6605684568959944E-5</v>
      </c>
      <c r="R675" s="214">
        <v>0.00697418224285129</v>
      </c>
      <c r="S675" s="214">
        <v>0.004834514294475604</v>
      </c>
    </row>
    <row r="676">
      <c r="A676" s="208">
        <v>42633.0</v>
      </c>
      <c r="B676" s="220">
        <v>0.008314811063017503</v>
      </c>
      <c r="C676" s="220">
        <v>0.010681818181818169</v>
      </c>
      <c r="D676" s="220">
        <v>0.018996629244835698</v>
      </c>
      <c r="E676" s="222">
        <v>0.0020854479507337424</v>
      </c>
      <c r="F676" s="210">
        <v>8.376578514275025</v>
      </c>
      <c r="G676" s="209">
        <v>4196.6866627371755</v>
      </c>
      <c r="H676" s="210">
        <v>8804.175000000001</v>
      </c>
      <c r="I676" s="210">
        <v>0.0</v>
      </c>
      <c r="J676" s="215">
        <v>4.572</v>
      </c>
      <c r="K676" s="221">
        <v>36.621</v>
      </c>
      <c r="L676" s="221">
        <v>184.44</v>
      </c>
      <c r="M676" s="221">
        <v>7.64</v>
      </c>
      <c r="N676" s="221">
        <v>113.58</v>
      </c>
      <c r="O676" s="213">
        <v>0.006076490622322887</v>
      </c>
      <c r="P676" s="214">
        <v>0.0021567871322722234</v>
      </c>
      <c r="Q676" s="214">
        <v>0.0028026576632121936</v>
      </c>
      <c r="R676" s="214">
        <v>0.0065872128903646425</v>
      </c>
      <c r="S676" s="214">
        <v>0.0014394318449516181</v>
      </c>
    </row>
    <row r="677">
      <c r="A677" s="208">
        <v>42632.0</v>
      </c>
      <c r="B677" s="220">
        <v>0.008282348373004162</v>
      </c>
      <c r="C677" s="220">
        <v>0.010676363636363624</v>
      </c>
      <c r="D677" s="220">
        <v>0.01895871200936781</v>
      </c>
      <c r="E677" s="222">
        <v>0.0020854479507337424</v>
      </c>
      <c r="F677" s="210">
        <v>8.376578514275025</v>
      </c>
      <c r="G677" s="209">
        <v>4188.3100842229005</v>
      </c>
      <c r="H677" s="210">
        <v>8804.175000000001</v>
      </c>
      <c r="I677" s="210">
        <v>0.0</v>
      </c>
      <c r="J677" s="215">
        <v>4.534</v>
      </c>
      <c r="K677" s="221">
        <v>36.692</v>
      </c>
      <c r="L677" s="221">
        <v>183.99</v>
      </c>
      <c r="M677" s="221">
        <v>7.6</v>
      </c>
      <c r="N677" s="221">
        <v>113.49</v>
      </c>
      <c r="O677" s="213">
        <v>0.001969403020673758</v>
      </c>
      <c r="P677" s="214">
        <v>0.005578992035010592</v>
      </c>
      <c r="Q677" s="214">
        <v>0.00255438769698794</v>
      </c>
      <c r="R677" s="214">
        <v>0.006622163505145995</v>
      </c>
      <c r="S677" s="214">
        <v>0.0017353267740145562</v>
      </c>
    </row>
    <row r="678">
      <c r="A678" s="208">
        <v>42629.0</v>
      </c>
      <c r="B678" s="220">
        <v>0.008249885682990822</v>
      </c>
      <c r="C678" s="220">
        <v>0.01067090909090908</v>
      </c>
      <c r="D678" s="220">
        <v>0.018920794773899925</v>
      </c>
      <c r="E678" s="222">
        <v>0.0020854479507337424</v>
      </c>
      <c r="F678" s="210">
        <v>8.376578514275025</v>
      </c>
      <c r="G678" s="209">
        <v>4179.9335057086255</v>
      </c>
      <c r="H678" s="210">
        <v>8804.175000000001</v>
      </c>
      <c r="I678" s="210">
        <v>0.0</v>
      </c>
      <c r="J678" s="215">
        <v>4.537</v>
      </c>
      <c r="K678" s="221">
        <v>36.477</v>
      </c>
      <c r="L678" s="221">
        <v>184.25</v>
      </c>
      <c r="M678" s="221">
        <v>7.54</v>
      </c>
      <c r="N678" s="221">
        <v>113.14</v>
      </c>
      <c r="O678" s="213">
        <v>0.00115453244750241</v>
      </c>
      <c r="P678" s="214">
        <v>0.003995334969147539</v>
      </c>
      <c r="Q678" s="214">
        <v>0.0026237773716650072</v>
      </c>
      <c r="R678" s="214">
        <v>0.00220087538551809</v>
      </c>
      <c r="S678" s="214">
        <v>-0.0015365375791824842</v>
      </c>
    </row>
    <row r="679">
      <c r="A679" s="208">
        <v>42628.0</v>
      </c>
      <c r="B679" s="220">
        <v>0.008217422992977482</v>
      </c>
      <c r="C679" s="220">
        <v>0.010665454545454535</v>
      </c>
      <c r="D679" s="220">
        <v>0.018882877538432038</v>
      </c>
      <c r="E679" s="222">
        <v>0.0020854479507337424</v>
      </c>
      <c r="F679" s="210">
        <v>8.376578514275025</v>
      </c>
      <c r="G679" s="209">
        <v>4171.5569271943505</v>
      </c>
      <c r="H679" s="210">
        <v>8804.175000000001</v>
      </c>
      <c r="I679" s="210">
        <v>0.0</v>
      </c>
      <c r="J679" s="215">
        <v>4.489</v>
      </c>
      <c r="K679" s="221">
        <v>36.384</v>
      </c>
      <c r="L679" s="221">
        <v>182.89</v>
      </c>
      <c r="M679" s="221">
        <v>7.49</v>
      </c>
      <c r="N679" s="221">
        <v>113.09</v>
      </c>
      <c r="O679" s="213">
        <v>-0.003994086969203077</v>
      </c>
      <c r="P679" s="214">
        <v>7.593130734615169E-4</v>
      </c>
      <c r="Q679" s="214">
        <v>-1.6487534644323473E-4</v>
      </c>
      <c r="R679" s="214">
        <v>-0.005350011797982668</v>
      </c>
      <c r="S679" s="214">
        <v>-0.0027689553273874123</v>
      </c>
    </row>
    <row r="680">
      <c r="A680" s="208">
        <v>42627.0</v>
      </c>
      <c r="B680" s="220">
        <v>0.008184960302964141</v>
      </c>
      <c r="C680" s="220">
        <v>0.01065999999999999</v>
      </c>
      <c r="D680" s="220">
        <v>0.01884496030296415</v>
      </c>
      <c r="E680" s="222">
        <v>0.0020854479507337424</v>
      </c>
      <c r="F680" s="210">
        <v>8.376578514275025</v>
      </c>
      <c r="G680" s="209">
        <v>4163.180348680075</v>
      </c>
      <c r="H680" s="210">
        <v>8804.175000000001</v>
      </c>
      <c r="I680" s="210">
        <v>0.0</v>
      </c>
      <c r="J680" s="215">
        <v>4.507</v>
      </c>
      <c r="K680" s="221">
        <v>36.081</v>
      </c>
      <c r="L680" s="221">
        <v>182.58</v>
      </c>
      <c r="M680" s="221">
        <v>7.45</v>
      </c>
      <c r="N680" s="221">
        <v>112.9</v>
      </c>
      <c r="O680" s="213">
        <v>-0.0036847077562139527</v>
      </c>
      <c r="P680" s="214">
        <v>-0.005239861687138007</v>
      </c>
      <c r="Q680" s="214">
        <v>-0.0014767720031151714</v>
      </c>
      <c r="R680" s="214">
        <v>-0.007568183259771081</v>
      </c>
      <c r="S680" s="214">
        <v>-0.005082905671288958</v>
      </c>
    </row>
    <row r="681">
      <c r="A681" s="208">
        <v>42626.0</v>
      </c>
      <c r="B681" s="220">
        <v>0.008152497612950801</v>
      </c>
      <c r="C681" s="220">
        <v>0.010654545454545446</v>
      </c>
      <c r="D681" s="220">
        <v>0.018807043067496265</v>
      </c>
      <c r="E681" s="222">
        <v>0.0020854479507337424</v>
      </c>
      <c r="F681" s="210">
        <v>8.376578514275025</v>
      </c>
      <c r="G681" s="209">
        <v>4154.8037701658</v>
      </c>
      <c r="H681" s="210">
        <v>8804.175000000001</v>
      </c>
      <c r="I681" s="210">
        <v>0.0</v>
      </c>
      <c r="J681" s="215">
        <v>4.521</v>
      </c>
      <c r="K681" s="221">
        <v>36.041</v>
      </c>
      <c r="L681" s="221">
        <v>182.8</v>
      </c>
      <c r="M681" s="221">
        <v>7.49</v>
      </c>
      <c r="N681" s="221">
        <v>113.66</v>
      </c>
      <c r="O681" s="213">
        <v>-0.007623314006227251</v>
      </c>
      <c r="P681" s="214">
        <v>-0.008201487907380622</v>
      </c>
      <c r="Q681" s="214">
        <v>-0.0014568217867894084</v>
      </c>
      <c r="R681" s="214">
        <v>-0.0062159194068466634</v>
      </c>
      <c r="S681" s="214">
        <v>-0.0029553483007258574</v>
      </c>
    </row>
    <row r="682">
      <c r="A682" s="208">
        <v>42625.0</v>
      </c>
      <c r="B682" s="220">
        <v>0.00812003492293746</v>
      </c>
      <c r="C682" s="220">
        <v>0.010649090909090901</v>
      </c>
      <c r="D682" s="220">
        <v>0.018769125832028378</v>
      </c>
      <c r="E682" s="222">
        <v>0.0020854479507337424</v>
      </c>
      <c r="F682" s="210">
        <v>8.376578514275025</v>
      </c>
      <c r="G682" s="209">
        <v>4146.427191651525</v>
      </c>
      <c r="H682" s="210">
        <v>8804.175000000001</v>
      </c>
      <c r="I682" s="210">
        <v>0.0</v>
      </c>
      <c r="J682" s="215">
        <v>4.543</v>
      </c>
      <c r="K682" s="221">
        <v>36.299</v>
      </c>
      <c r="L682" s="221">
        <v>182.98</v>
      </c>
      <c r="M682" s="221">
        <v>7.61</v>
      </c>
      <c r="N682" s="221">
        <v>114.03</v>
      </c>
      <c r="O682" s="213">
        <v>-0.010469722458475106</v>
      </c>
      <c r="P682" s="214">
        <v>-0.0064109575934077805</v>
      </c>
      <c r="Q682" s="214">
        <v>-0.0032709326325217614</v>
      </c>
      <c r="R682" s="214">
        <v>0.0021826385072733303</v>
      </c>
      <c r="S682" s="214">
        <v>-0.005009684290604739</v>
      </c>
    </row>
    <row r="683">
      <c r="A683" s="208">
        <v>42622.0</v>
      </c>
      <c r="B683" s="220">
        <v>0.00808757223292412</v>
      </c>
      <c r="C683" s="220">
        <v>0.010643636363636357</v>
      </c>
      <c r="D683" s="220">
        <v>0.01873120859656049</v>
      </c>
      <c r="E683" s="222">
        <v>0.0020854479507337424</v>
      </c>
      <c r="F683" s="210">
        <v>8.376578514275025</v>
      </c>
      <c r="G683" s="209">
        <v>4138.05061313725</v>
      </c>
      <c r="H683" s="210">
        <v>8804.175000000001</v>
      </c>
      <c r="I683" s="210">
        <v>0.0</v>
      </c>
      <c r="J683" s="215">
        <v>4.557</v>
      </c>
      <c r="K683" s="221">
        <v>36.65</v>
      </c>
      <c r="L683" s="221">
        <v>183.39</v>
      </c>
      <c r="M683" s="221">
        <v>7.62</v>
      </c>
      <c r="N683" s="221">
        <v>114.63</v>
      </c>
      <c r="O683" s="213">
        <v>-0.009584738486481559</v>
      </c>
      <c r="P683" s="214">
        <v>-0.0032057458344024368</v>
      </c>
      <c r="Q683" s="214">
        <v>-0.0024518807371594806</v>
      </c>
      <c r="R683" s="214">
        <v>0.005266161301702803</v>
      </c>
      <c r="S683" s="214">
        <v>-5.9215608288735545E-5</v>
      </c>
    </row>
    <row r="684">
      <c r="A684" s="208">
        <v>42621.0</v>
      </c>
      <c r="B684" s="220">
        <v>0.00805510954291078</v>
      </c>
      <c r="C684" s="220">
        <v>0.010638181818181812</v>
      </c>
      <c r="D684" s="220">
        <v>0.018693291361092605</v>
      </c>
      <c r="E684" s="222">
        <v>0.0020854479507337424</v>
      </c>
      <c r="F684" s="210">
        <v>8.376578514275025</v>
      </c>
      <c r="G684" s="209">
        <v>4129.674034622975</v>
      </c>
      <c r="H684" s="210">
        <v>8804.175000000001</v>
      </c>
      <c r="I684" s="210">
        <v>0.0</v>
      </c>
      <c r="J684" s="215">
        <v>4.625</v>
      </c>
      <c r="K684" s="221">
        <v>36.935</v>
      </c>
      <c r="L684" s="221">
        <v>183.6</v>
      </c>
      <c r="M684" s="221">
        <v>7.63</v>
      </c>
      <c r="N684" s="221">
        <v>114.67</v>
      </c>
      <c r="O684" s="213">
        <v>-0.0036154687829893137</v>
      </c>
      <c r="P684" s="214">
        <v>-0.0027396122734852923</v>
      </c>
      <c r="Q684" s="214">
        <v>-0.00299039272550868</v>
      </c>
      <c r="R684" s="214">
        <v>0.0034813843988156234</v>
      </c>
      <c r="S684" s="214">
        <v>-5.825829917269024E-4</v>
      </c>
    </row>
    <row r="685">
      <c r="A685" s="208">
        <v>42620.0</v>
      </c>
      <c r="B685" s="220">
        <v>0.00802264685289744</v>
      </c>
      <c r="C685" s="220">
        <v>0.010632727272727268</v>
      </c>
      <c r="D685" s="220">
        <v>0.018655374125624718</v>
      </c>
      <c r="E685" s="222">
        <v>0.0020854479507337424</v>
      </c>
      <c r="F685" s="210">
        <v>8.376578514275025</v>
      </c>
      <c r="G685" s="209">
        <v>4121.2974561087</v>
      </c>
      <c r="H685" s="210">
        <v>8804.175000000001</v>
      </c>
      <c r="I685" s="210">
        <v>0.0</v>
      </c>
      <c r="J685" s="215">
        <v>4.687</v>
      </c>
      <c r="K685" s="221">
        <v>37.001</v>
      </c>
      <c r="L685" s="221">
        <v>184.78</v>
      </c>
      <c r="M685" s="221">
        <v>7.56</v>
      </c>
      <c r="N685" s="221">
        <v>115.75</v>
      </c>
      <c r="O685" s="213">
        <v>5.677946943917581E-4</v>
      </c>
      <c r="P685" s="214">
        <v>-0.0020007522559077153</v>
      </c>
      <c r="Q685" s="214">
        <v>-5.241676689842952E-4</v>
      </c>
      <c r="R685" s="214">
        <v>8.64781527033213E-4</v>
      </c>
      <c r="S685" s="214">
        <v>0.004820485912051235</v>
      </c>
    </row>
    <row r="686">
      <c r="A686" s="208">
        <v>42619.0</v>
      </c>
      <c r="B686" s="220">
        <v>0.0079901841628841</v>
      </c>
      <c r="C686" s="220">
        <v>0.010627272727272723</v>
      </c>
      <c r="D686" s="220">
        <v>0.01861745689015683</v>
      </c>
      <c r="E686" s="222">
        <v>0.0020854479507337424</v>
      </c>
      <c r="F686" s="210">
        <v>8.376578514275025</v>
      </c>
      <c r="G686" s="209">
        <v>4112.920877594425</v>
      </c>
      <c r="H686" s="210">
        <v>8804.175000000001</v>
      </c>
      <c r="I686" s="210">
        <v>0.0</v>
      </c>
      <c r="J686" s="215">
        <v>4.689</v>
      </c>
      <c r="K686" s="221">
        <v>37.003</v>
      </c>
      <c r="L686" s="221">
        <v>184.74</v>
      </c>
      <c r="M686" s="221">
        <v>7.5</v>
      </c>
      <c r="N686" s="221">
        <v>114.64</v>
      </c>
      <c r="O686" s="213">
        <v>-8.572543686174994E-4</v>
      </c>
      <c r="P686" s="214">
        <v>0.0018231558983309675</v>
      </c>
      <c r="Q686" s="214">
        <v>-4.1621352074646306E-4</v>
      </c>
      <c r="R686" s="214">
        <v>0.0013138854244129454</v>
      </c>
      <c r="S686" s="214">
        <v>0.004428990723952382</v>
      </c>
    </row>
    <row r="687">
      <c r="A687" s="208">
        <v>42618.0</v>
      </c>
      <c r="B687" s="220">
        <v>0.007957721472870759</v>
      </c>
      <c r="C687" s="220">
        <v>0.010621818181818178</v>
      </c>
      <c r="D687" s="220">
        <v>0.018579539654688944</v>
      </c>
      <c r="E687" s="222">
        <v>0.0020854479507337424</v>
      </c>
      <c r="F687" s="210">
        <v>8.376578514275025</v>
      </c>
      <c r="G687" s="209">
        <v>4104.54429908015</v>
      </c>
      <c r="H687" s="210">
        <v>8804.175000000001</v>
      </c>
      <c r="I687" s="210">
        <v>0.0</v>
      </c>
      <c r="J687" s="215">
        <v>4.675</v>
      </c>
      <c r="K687" s="221">
        <v>37.239</v>
      </c>
      <c r="L687" s="221">
        <v>185.25</v>
      </c>
      <c r="M687" s="221">
        <v>7.55</v>
      </c>
      <c r="N687" s="221">
        <v>114.86</v>
      </c>
      <c r="O687" s="213">
        <v>-0.002348839742996711</v>
      </c>
      <c r="P687" s="214">
        <v>0.0016482599659690307</v>
      </c>
      <c r="Q687" s="214">
        <v>-8.655927959240565E-4</v>
      </c>
      <c r="R687" s="214">
        <v>-3.3727248500925455E-5</v>
      </c>
      <c r="S687" s="214">
        <v>0.005127608836187274</v>
      </c>
    </row>
    <row r="688">
      <c r="A688" s="208">
        <v>42615.0</v>
      </c>
      <c r="B688" s="220">
        <v>0.007925258782857419</v>
      </c>
      <c r="C688" s="220">
        <v>0.010616363636363634</v>
      </c>
      <c r="D688" s="220">
        <v>0.018541622419221058</v>
      </c>
      <c r="E688" s="222">
        <v>0.0020854479507337424</v>
      </c>
      <c r="F688" s="210">
        <v>8.37657851427548</v>
      </c>
      <c r="G688" s="209">
        <v>4096.167720565875</v>
      </c>
      <c r="H688" s="210">
        <v>8804.175000000001</v>
      </c>
      <c r="I688" s="210">
        <v>0.0</v>
      </c>
      <c r="J688" s="215">
        <v>4.679</v>
      </c>
      <c r="K688" s="221">
        <v>37.223</v>
      </c>
      <c r="L688" s="221">
        <v>185.07</v>
      </c>
      <c r="M688" s="221">
        <v>7.54</v>
      </c>
      <c r="N688" s="221">
        <v>114.08</v>
      </c>
      <c r="O688" s="213">
        <v>-0.002984053896627555</v>
      </c>
      <c r="P688" s="214">
        <v>4.524661795243616E-4</v>
      </c>
      <c r="Q688" s="214">
        <v>-0.0012612682329583569</v>
      </c>
      <c r="R688" s="214">
        <v>-0.0017997316635119203</v>
      </c>
      <c r="S688" s="214">
        <v>6.830227515836432E-4</v>
      </c>
    </row>
    <row r="689">
      <c r="A689" s="208">
        <v>42614.0</v>
      </c>
      <c r="B689" s="220">
        <v>0.007892796092844078</v>
      </c>
      <c r="C689" s="220">
        <v>0.01061090909090909</v>
      </c>
      <c r="D689" s="220">
        <v>0.01850370518375317</v>
      </c>
      <c r="E689" s="222">
        <v>0.0020854479507337424</v>
      </c>
      <c r="F689" s="210">
        <v>8.376578514275025</v>
      </c>
      <c r="G689" s="209">
        <v>4087.7911420515998</v>
      </c>
      <c r="H689" s="210">
        <v>8804.175000000001</v>
      </c>
      <c r="I689" s="210">
        <v>0.0</v>
      </c>
      <c r="J689" s="215">
        <v>4.701</v>
      </c>
      <c r="K689" s="221">
        <v>36.798</v>
      </c>
      <c r="L689" s="221">
        <v>184.97</v>
      </c>
      <c r="M689" s="221">
        <v>7.47</v>
      </c>
      <c r="N689" s="221">
        <v>113.12</v>
      </c>
      <c r="O689" s="213">
        <v>-4.637241003043376E-6</v>
      </c>
      <c r="P689" s="214">
        <v>-0.003407232724751038</v>
      </c>
      <c r="Q689" s="214">
        <v>-3.468368307985396E-4</v>
      </c>
      <c r="R689" s="214">
        <v>-0.007972614371741718</v>
      </c>
      <c r="S689" s="214">
        <v>-0.003293260817918512</v>
      </c>
    </row>
    <row r="690">
      <c r="A690" s="208">
        <v>42613.0</v>
      </c>
      <c r="B690" s="220">
        <v>0.007860333402830738</v>
      </c>
      <c r="C690" s="220">
        <v>0.010605454545454545</v>
      </c>
      <c r="D690" s="220">
        <v>0.018465787948285284</v>
      </c>
      <c r="E690" s="222">
        <v>0.0020854479507337424</v>
      </c>
      <c r="F690" s="210">
        <v>8.376578514275025</v>
      </c>
      <c r="G690" s="209">
        <v>4079.4145635373247</v>
      </c>
      <c r="H690" s="210">
        <v>8804.175000000001</v>
      </c>
      <c r="I690" s="210">
        <v>0.0</v>
      </c>
      <c r="J690" s="215">
        <v>4.708</v>
      </c>
      <c r="K690" s="221">
        <v>37.052</v>
      </c>
      <c r="L690" s="221">
        <v>185.73</v>
      </c>
      <c r="M690" s="221">
        <v>7.55</v>
      </c>
      <c r="N690" s="221">
        <v>113.1</v>
      </c>
      <c r="O690" s="213">
        <v>0.002122569736235924</v>
      </c>
      <c r="P690" s="214">
        <v>8.66268830886178E-4</v>
      </c>
      <c r="Q690" s="214">
        <v>0.0025889676394528216</v>
      </c>
      <c r="R690" s="214">
        <v>-0.0048385093241002</v>
      </c>
      <c r="S690" s="214">
        <v>-0.002593558494745111</v>
      </c>
    </row>
    <row r="691">
      <c r="A691" s="208">
        <v>42612.0</v>
      </c>
      <c r="B691" s="30">
        <v>0.007827870712817398</v>
      </c>
      <c r="C691" s="30">
        <v>0.0106</v>
      </c>
      <c r="D691" s="164">
        <v>0.018427870712817398</v>
      </c>
      <c r="E691" s="164">
        <v>6.677288568882056E-4</v>
      </c>
      <c r="F691" s="210">
        <v>12.292745693245251</v>
      </c>
      <c r="G691" s="209">
        <v>4071.0379850230497</v>
      </c>
      <c r="H691" s="210">
        <v>8804.175000000001</v>
      </c>
      <c r="I691" s="210">
        <v>0.0</v>
      </c>
      <c r="J691" s="215">
        <v>4.721</v>
      </c>
      <c r="K691" s="221">
        <v>37.169</v>
      </c>
      <c r="L691" s="221">
        <v>185.77</v>
      </c>
      <c r="M691" s="221">
        <v>7.58</v>
      </c>
      <c r="N691" s="221">
        <v>113.84</v>
      </c>
      <c r="O691" s="213">
        <v>0.0046106103716196944</v>
      </c>
      <c r="P691" s="214">
        <v>0.0034973399601414545</v>
      </c>
      <c r="Q691" s="214">
        <v>0.0034385161271540308</v>
      </c>
      <c r="R691" s="214">
        <v>-0.0017733619745477676</v>
      </c>
      <c r="S691" s="214">
        <v>0.002248687912567234</v>
      </c>
    </row>
    <row r="692">
      <c r="A692" s="208">
        <v>42611.0</v>
      </c>
      <c r="B692" s="220">
        <v>0.007822226641410048</v>
      </c>
      <c r="C692" s="220">
        <v>0.010549999999999997</v>
      </c>
      <c r="D692" s="220">
        <v>0.018372226641410035</v>
      </c>
      <c r="E692" s="222">
        <v>6.677288568882056E-4</v>
      </c>
      <c r="F692" s="210">
        <v>12.292745693244797</v>
      </c>
      <c r="G692" s="209">
        <v>4058.7452393298045</v>
      </c>
      <c r="H692" s="210">
        <v>8804.175000000001</v>
      </c>
      <c r="I692" s="210">
        <v>0.0</v>
      </c>
      <c r="J692" s="215">
        <v>4.701</v>
      </c>
      <c r="K692" s="221">
        <v>37.175</v>
      </c>
      <c r="L692" s="221">
        <v>185.16</v>
      </c>
      <c r="M692" s="221">
        <v>7.65</v>
      </c>
      <c r="N692" s="221">
        <v>114.24</v>
      </c>
      <c r="O692" s="213">
        <v>0.0017666359578658957</v>
      </c>
      <c r="P692" s="214">
        <v>0.0019288897674277032</v>
      </c>
      <c r="Q692" s="214">
        <v>0.0012380587753001808</v>
      </c>
      <c r="R692" s="214">
        <v>-4.4486708654067897E-4</v>
      </c>
      <c r="S692" s="214">
        <v>0.0022701921381164856</v>
      </c>
    </row>
    <row r="693">
      <c r="A693" s="208">
        <v>42608.0</v>
      </c>
      <c r="B693" s="220">
        <v>0.007816582570002697</v>
      </c>
      <c r="C693" s="220">
        <v>0.010499999999999997</v>
      </c>
      <c r="D693" s="220">
        <v>0.018316582570002685</v>
      </c>
      <c r="E693" s="222">
        <v>6.677288568882056E-4</v>
      </c>
      <c r="F693" s="210">
        <v>12.292745693244797</v>
      </c>
      <c r="G693" s="209">
        <v>4046.4524936365597</v>
      </c>
      <c r="H693" s="210">
        <v>8804.175000000001</v>
      </c>
      <c r="I693" s="210">
        <v>0.0</v>
      </c>
      <c r="J693" s="215">
        <v>4.678</v>
      </c>
      <c r="K693" s="221">
        <v>36.955</v>
      </c>
      <c r="L693" s="221">
        <v>184.29</v>
      </c>
      <c r="M693" s="221">
        <v>7.66</v>
      </c>
      <c r="N693" s="221">
        <v>113.98</v>
      </c>
      <c r="O693" s="213">
        <v>0.002060499259918395</v>
      </c>
      <c r="P693" s="214">
        <v>8.761762056693767E-4</v>
      </c>
      <c r="Q693" s="214">
        <v>0.0020028481013338504</v>
      </c>
      <c r="R693" s="214">
        <v>-0.0013146202677667418</v>
      </c>
      <c r="S693" s="214">
        <v>-0.0011913061576587596</v>
      </c>
    </row>
    <row r="694">
      <c r="A694" s="208">
        <v>42607.0</v>
      </c>
      <c r="B694" s="220">
        <v>0.007810938498595346</v>
      </c>
      <c r="C694" s="220">
        <v>0.010449999999999997</v>
      </c>
      <c r="D694" s="220">
        <v>0.018260938498595336</v>
      </c>
      <c r="E694" s="222">
        <v>6.677288568882056E-4</v>
      </c>
      <c r="F694" s="210">
        <v>12.292745693244797</v>
      </c>
      <c r="G694" s="209">
        <v>4034.159747943315</v>
      </c>
      <c r="H694" s="210">
        <v>8804.175000000001</v>
      </c>
      <c r="I694" s="210">
        <v>0.0</v>
      </c>
      <c r="J694" s="215">
        <v>4.656</v>
      </c>
      <c r="K694" s="221">
        <v>36.78</v>
      </c>
      <c r="L694" s="221">
        <v>183.86</v>
      </c>
      <c r="M694" s="221">
        <v>7.62</v>
      </c>
      <c r="N694" s="221">
        <v>113.07</v>
      </c>
      <c r="O694" s="213">
        <v>3.494777549128229E-4</v>
      </c>
      <c r="P694" s="214">
        <v>0.001124560302155982</v>
      </c>
      <c r="Q694" s="214">
        <v>8.247535855003818E-4</v>
      </c>
      <c r="R694" s="214">
        <v>-0.0021883375613707865</v>
      </c>
      <c r="S694" s="214">
        <v>-0.0032405966592814472</v>
      </c>
    </row>
    <row r="695">
      <c r="A695" s="208">
        <v>42606.0</v>
      </c>
      <c r="B695" s="220">
        <v>0.007805294427187996</v>
      </c>
      <c r="C695" s="220">
        <v>0.010399999999999998</v>
      </c>
      <c r="D695" s="220">
        <v>0.018205294427187987</v>
      </c>
      <c r="E695" s="222">
        <v>6.677288568882056E-4</v>
      </c>
      <c r="F695" s="210">
        <v>12.292745693244797</v>
      </c>
      <c r="G695" s="209">
        <v>4021.86700225007</v>
      </c>
      <c r="H695" s="210">
        <v>8804.175000000001</v>
      </c>
      <c r="I695" s="210">
        <v>0.0</v>
      </c>
      <c r="J695" s="215">
        <v>4.676</v>
      </c>
      <c r="K695" s="221">
        <v>36.959</v>
      </c>
      <c r="L695" s="221">
        <v>184.47</v>
      </c>
      <c r="M695" s="221">
        <v>7.66</v>
      </c>
      <c r="N695" s="221">
        <v>113.46</v>
      </c>
      <c r="O695" s="213">
        <v>0.0062248108257055845</v>
      </c>
      <c r="P695" s="214">
        <v>0.0023466914627281823</v>
      </c>
      <c r="Q695" s="214">
        <v>0.0032392825545849435</v>
      </c>
      <c r="R695" s="214">
        <v>-0.002176930903761106</v>
      </c>
      <c r="S695" s="214">
        <v>-0.0024996135935505905</v>
      </c>
    </row>
    <row r="696">
      <c r="A696" s="208">
        <v>42605.0</v>
      </c>
      <c r="B696" s="220">
        <v>0.007799650355780645</v>
      </c>
      <c r="C696" s="220">
        <v>0.010349999999999998</v>
      </c>
      <c r="D696" s="220">
        <v>0.018149650355780637</v>
      </c>
      <c r="E696" s="222">
        <v>6.677288568882056E-4</v>
      </c>
      <c r="F696" s="210">
        <v>12.292745693244797</v>
      </c>
      <c r="G696" s="209">
        <v>4009.5742565568253</v>
      </c>
      <c r="H696" s="210">
        <v>8804.175000000001</v>
      </c>
      <c r="I696" s="210">
        <v>0.0</v>
      </c>
      <c r="J696" s="215">
        <v>4.649</v>
      </c>
      <c r="K696" s="221">
        <v>36.857</v>
      </c>
      <c r="L696" s="221">
        <v>183.18</v>
      </c>
      <c r="M696" s="221">
        <v>7.69</v>
      </c>
      <c r="N696" s="221">
        <v>114.38</v>
      </c>
      <c r="O696" s="213">
        <v>0.001975689916137761</v>
      </c>
      <c r="P696" s="214">
        <v>0.0012269293609616927</v>
      </c>
      <c r="Q696" s="214">
        <v>5.0678588665438916E-5</v>
      </c>
      <c r="R696" s="214">
        <v>-0.0021684647362596823</v>
      </c>
      <c r="S696" s="214">
        <v>-0.0018671454605650635</v>
      </c>
    </row>
    <row r="697">
      <c r="A697" s="208">
        <v>42604.0</v>
      </c>
      <c r="B697" s="220">
        <v>0.007794006284373295</v>
      </c>
      <c r="C697" s="220">
        <v>0.010299999999999998</v>
      </c>
      <c r="D697" s="220">
        <v>0.018094006284373288</v>
      </c>
      <c r="E697" s="222">
        <v>6.677288568882056E-4</v>
      </c>
      <c r="F697" s="210">
        <v>12.292745693244797</v>
      </c>
      <c r="G697" s="209">
        <v>3997.2815108635805</v>
      </c>
      <c r="H697" s="210">
        <v>8804.175000000001</v>
      </c>
      <c r="I697" s="210">
        <v>0.0</v>
      </c>
      <c r="J697" s="215">
        <v>4.651</v>
      </c>
      <c r="K697" s="221">
        <v>36.655</v>
      </c>
      <c r="L697" s="221">
        <v>183.4</v>
      </c>
      <c r="M697" s="221">
        <v>7.67</v>
      </c>
      <c r="N697" s="221">
        <v>114.17</v>
      </c>
      <c r="O697" s="213">
        <v>0.0013977453441688843</v>
      </c>
      <c r="P697" s="214">
        <v>-9.16134598573463E-5</v>
      </c>
      <c r="Q697" s="214">
        <v>-5.499875868450651E-4</v>
      </c>
      <c r="R697" s="214">
        <v>-0.0017434018168670888</v>
      </c>
      <c r="S697" s="214">
        <v>-0.001725648418310873</v>
      </c>
    </row>
    <row r="698">
      <c r="A698" s="208">
        <v>42601.0</v>
      </c>
      <c r="B698" s="220">
        <v>0.007788362212965944</v>
      </c>
      <c r="C698" s="220">
        <v>0.010249999999999999</v>
      </c>
      <c r="D698" s="220">
        <v>0.01803836221296594</v>
      </c>
      <c r="E698" s="222">
        <v>6.677288568882056E-4</v>
      </c>
      <c r="F698" s="210">
        <v>12.292745693244797</v>
      </c>
      <c r="G698" s="209">
        <v>3984.9887651703357</v>
      </c>
      <c r="H698" s="210">
        <v>8804.175000000001</v>
      </c>
      <c r="I698" s="210">
        <v>0.0</v>
      </c>
      <c r="J698" s="215">
        <v>4.589</v>
      </c>
      <c r="K698" s="221">
        <v>36.699</v>
      </c>
      <c r="L698" s="221">
        <v>182.68</v>
      </c>
      <c r="M698" s="221">
        <v>7.71</v>
      </c>
      <c r="N698" s="221">
        <v>114.31</v>
      </c>
      <c r="O698" s="213">
        <v>-0.002325956568209516</v>
      </c>
      <c r="P698" s="214">
        <v>-0.0013279241665314172</v>
      </c>
      <c r="Q698" s="214">
        <v>-0.001659001837514958</v>
      </c>
      <c r="R698" s="214">
        <v>4.273117566032288E-4</v>
      </c>
      <c r="S698" s="214">
        <v>-0.0030306226180143816</v>
      </c>
    </row>
    <row r="699">
      <c r="A699" s="208">
        <v>42600.0</v>
      </c>
      <c r="B699" s="220">
        <v>0.007782718141558594</v>
      </c>
      <c r="C699" s="220">
        <v>0.010199999999999999</v>
      </c>
      <c r="D699" s="220">
        <v>0.01798271814155859</v>
      </c>
      <c r="E699" s="222">
        <v>6.677288568882056E-4</v>
      </c>
      <c r="F699" s="210">
        <v>12.292745693244797</v>
      </c>
      <c r="G699" s="209">
        <v>3972.696019477091</v>
      </c>
      <c r="H699" s="210">
        <v>8804.175000000001</v>
      </c>
      <c r="I699" s="210">
        <v>0.0</v>
      </c>
      <c r="J699" s="215">
        <v>4.621</v>
      </c>
      <c r="K699" s="221">
        <v>36.721</v>
      </c>
      <c r="L699" s="221">
        <v>183.15</v>
      </c>
      <c r="M699" s="221">
        <v>7.74</v>
      </c>
      <c r="N699" s="221">
        <v>115.02</v>
      </c>
      <c r="O699" s="213">
        <v>-0.0044738940783590015</v>
      </c>
      <c r="P699" s="214">
        <v>-0.005163021440509952</v>
      </c>
      <c r="Q699" s="214">
        <v>-0.004287428853395762</v>
      </c>
      <c r="R699" s="214">
        <v>0.0025901294836233233</v>
      </c>
      <c r="S699" s="214">
        <v>-0.0017693608716505826</v>
      </c>
    </row>
    <row r="700">
      <c r="A700" s="208">
        <v>42599.0</v>
      </c>
      <c r="B700" s="220">
        <v>0.0077770740701512435</v>
      </c>
      <c r="C700" s="220">
        <v>0.01015</v>
      </c>
      <c r="D700" s="220">
        <v>0.01792707407015124</v>
      </c>
      <c r="E700" s="222">
        <v>6.677288568882056E-4</v>
      </c>
      <c r="F700" s="210">
        <v>12.292745693244797</v>
      </c>
      <c r="G700" s="209">
        <v>3960.403273783846</v>
      </c>
      <c r="H700" s="210">
        <v>8804.175000000001</v>
      </c>
      <c r="I700" s="210">
        <v>0.0</v>
      </c>
      <c r="J700" s="215">
        <v>4.631</v>
      </c>
      <c r="K700" s="221">
        <v>36.665</v>
      </c>
      <c r="L700" s="221">
        <v>183.7</v>
      </c>
      <c r="M700" s="221">
        <v>7.71</v>
      </c>
      <c r="N700" s="221">
        <v>114.76</v>
      </c>
      <c r="O700" s="213">
        <v>-0.007240342217511057</v>
      </c>
      <c r="P700" s="214">
        <v>-0.005108220526734246</v>
      </c>
      <c r="Q700" s="214">
        <v>-0.005083276180427439</v>
      </c>
      <c r="R700" s="214">
        <v>0.003034250930651794</v>
      </c>
      <c r="S700" s="214">
        <v>-0.006760507605853672</v>
      </c>
    </row>
    <row r="701">
      <c r="A701" s="208">
        <v>42598.0</v>
      </c>
      <c r="B701" s="220">
        <v>0.007771429998743893</v>
      </c>
      <c r="C701" s="220">
        <v>0.0101</v>
      </c>
      <c r="D701" s="220">
        <v>0.01787142999874389</v>
      </c>
      <c r="E701" s="222">
        <v>6.677288568882056E-4</v>
      </c>
      <c r="F701" s="210">
        <v>12.292745693244797</v>
      </c>
      <c r="G701" s="209">
        <v>3948.1105280906013</v>
      </c>
      <c r="H701" s="210">
        <v>8804.175000000001</v>
      </c>
      <c r="I701" s="210">
        <v>0.0</v>
      </c>
      <c r="J701" s="215">
        <v>4.621</v>
      </c>
      <c r="K701" s="221">
        <v>36.845</v>
      </c>
      <c r="L701" s="221">
        <v>183.59</v>
      </c>
      <c r="M701" s="221">
        <v>7.7</v>
      </c>
      <c r="N701" s="221">
        <v>115.35</v>
      </c>
      <c r="O701" s="213">
        <v>-0.005283318791457825</v>
      </c>
      <c r="P701" s="214">
        <v>-0.0038209820340617817</v>
      </c>
      <c r="Q701" s="214">
        <v>-0.004156931989285795</v>
      </c>
      <c r="R701" s="214">
        <v>0.0026019119769120636</v>
      </c>
      <c r="S701" s="214">
        <v>-0.0033957756839784934</v>
      </c>
    </row>
    <row r="702">
      <c r="A702" s="208">
        <v>42597.0</v>
      </c>
      <c r="B702" s="220">
        <v>0.0077657859273365425</v>
      </c>
      <c r="C702" s="220">
        <v>0.01005</v>
      </c>
      <c r="D702" s="220">
        <v>0.01781578592733654</v>
      </c>
      <c r="E702" s="222">
        <v>6.677288568882056E-4</v>
      </c>
      <c r="F702" s="210">
        <v>12.292745693244797</v>
      </c>
      <c r="G702" s="209">
        <v>3935.8177823973565</v>
      </c>
      <c r="H702" s="210">
        <v>8804.175000000001</v>
      </c>
      <c r="I702" s="210">
        <v>0.0</v>
      </c>
      <c r="J702" s="215">
        <v>4.683</v>
      </c>
      <c r="K702" s="221">
        <v>37.291</v>
      </c>
      <c r="L702" s="221">
        <v>185.51</v>
      </c>
      <c r="M702" s="221">
        <v>7.68</v>
      </c>
      <c r="N702" s="221">
        <v>115.63</v>
      </c>
      <c r="O702" s="213">
        <v>-0.0024442730820920153</v>
      </c>
      <c r="P702" s="214">
        <v>0.0020833319709043043</v>
      </c>
      <c r="Q702" s="214">
        <v>-0.0014061447128512021</v>
      </c>
      <c r="R702" s="214">
        <v>0.0039176119837114705</v>
      </c>
      <c r="S702" s="214">
        <v>-0.0029299327614027426</v>
      </c>
    </row>
    <row r="703">
      <c r="A703" s="208">
        <v>42594.0</v>
      </c>
      <c r="B703" s="30">
        <v>0.007760141855929192</v>
      </c>
      <c r="C703" s="30">
        <v>0.01</v>
      </c>
      <c r="D703" s="164">
        <v>0.017760141855929192</v>
      </c>
      <c r="E703" s="164">
        <v>0.001067584752937379</v>
      </c>
      <c r="F703" s="210">
        <v>9.827003684553347</v>
      </c>
      <c r="G703" s="209">
        <v>3923.5250367041117</v>
      </c>
      <c r="H703" s="210">
        <v>8804.175000000001</v>
      </c>
      <c r="I703" s="210">
        <v>0.0</v>
      </c>
      <c r="J703" s="215">
        <v>4.732</v>
      </c>
      <c r="K703" s="221">
        <v>37.228</v>
      </c>
      <c r="L703" s="221">
        <v>186.51</v>
      </c>
      <c r="M703" s="221">
        <v>7.64</v>
      </c>
      <c r="N703" s="221">
        <v>117.1</v>
      </c>
      <c r="O703" s="213">
        <v>0.0016088507153779001</v>
      </c>
      <c r="P703" s="214">
        <v>-0.002005810869573891</v>
      </c>
      <c r="Q703" s="214">
        <v>-1.9977359776612857E-4</v>
      </c>
      <c r="R703" s="214">
        <v>-0.0022102426495779572</v>
      </c>
      <c r="S703" s="214">
        <v>0.003108133349140655</v>
      </c>
    </row>
    <row r="704">
      <c r="A704" s="208">
        <v>42593.0</v>
      </c>
      <c r="B704" s="220">
        <v>0.007757325824556805</v>
      </c>
      <c r="C704" s="220">
        <v>0.009958333333333347</v>
      </c>
      <c r="D704" s="220">
        <v>0.01771565915789017</v>
      </c>
      <c r="E704" s="222">
        <v>0.001067584752937379</v>
      </c>
      <c r="F704" s="210">
        <v>9.827003684552437</v>
      </c>
      <c r="G704" s="209">
        <v>3913.6980330195584</v>
      </c>
      <c r="H704" s="210">
        <v>8804.175000000001</v>
      </c>
      <c r="I704" s="210">
        <v>0.0</v>
      </c>
      <c r="J704" s="215">
        <v>4.694</v>
      </c>
      <c r="K704" s="221">
        <v>37.267</v>
      </c>
      <c r="L704" s="221">
        <v>185.88</v>
      </c>
      <c r="M704" s="221">
        <v>7.64</v>
      </c>
      <c r="N704" s="221">
        <v>116.52</v>
      </c>
      <c r="O704" s="213">
        <v>-6.432410298284896E-4</v>
      </c>
      <c r="P704" s="214">
        <v>-0.001985939335215736</v>
      </c>
      <c r="Q704" s="214">
        <v>-0.0021294909589752256</v>
      </c>
      <c r="R704" s="214">
        <v>-0.0030771693942680165</v>
      </c>
      <c r="S704" s="214">
        <v>5.663950060112258E-4</v>
      </c>
    </row>
    <row r="705">
      <c r="A705" s="208">
        <v>42592.0</v>
      </c>
      <c r="B705" s="220">
        <v>0.007754509793184414</v>
      </c>
      <c r="C705" s="220">
        <v>0.00991666666666668</v>
      </c>
      <c r="D705" s="220">
        <v>0.017671176459851112</v>
      </c>
      <c r="E705" s="222">
        <v>0.001067584752937379</v>
      </c>
      <c r="F705" s="210">
        <v>9.827003684552437</v>
      </c>
      <c r="G705" s="209">
        <v>3903.871029335006</v>
      </c>
      <c r="H705" s="210">
        <v>8804.175000000001</v>
      </c>
      <c r="I705" s="210">
        <v>0.0</v>
      </c>
      <c r="J705" s="215">
        <v>4.717</v>
      </c>
      <c r="K705" s="221">
        <v>37.058</v>
      </c>
      <c r="L705" s="221">
        <v>186.29</v>
      </c>
      <c r="M705" s="221">
        <v>7.59</v>
      </c>
      <c r="N705" s="221">
        <v>116.64</v>
      </c>
      <c r="O705" s="213">
        <v>7.065427145612757E-4</v>
      </c>
      <c r="P705" s="214">
        <v>-0.00376641256006612</v>
      </c>
      <c r="Q705" s="214">
        <v>-0.0017862597056004237</v>
      </c>
      <c r="R705" s="214">
        <v>-0.0026646365444299804</v>
      </c>
      <c r="S705" s="214">
        <v>3.93865279900892E-4</v>
      </c>
    </row>
    <row r="706">
      <c r="A706" s="208">
        <v>42591.0</v>
      </c>
      <c r="B706" s="220">
        <v>0.007751693761812023</v>
      </c>
      <c r="C706" s="220">
        <v>0.009875000000000012</v>
      </c>
      <c r="D706" s="220">
        <v>0.017626693761812053</v>
      </c>
      <c r="E706" s="222">
        <v>0.001067584752937379</v>
      </c>
      <c r="F706" s="210">
        <v>9.827003684552437</v>
      </c>
      <c r="G706" s="209">
        <v>3894.0440256504535</v>
      </c>
      <c r="H706" s="210">
        <v>8804.175000000001</v>
      </c>
      <c r="I706" s="210">
        <v>0.0</v>
      </c>
      <c r="J706" s="215">
        <v>4.709</v>
      </c>
      <c r="K706" s="221">
        <v>37.45</v>
      </c>
      <c r="L706" s="221">
        <v>186.62</v>
      </c>
      <c r="M706" s="221">
        <v>7.69</v>
      </c>
      <c r="N706" s="221">
        <v>116.01</v>
      </c>
      <c r="O706" s="213">
        <v>-0.0010626691024375006</v>
      </c>
      <c r="P706" s="214">
        <v>0.0040733486035092374</v>
      </c>
      <c r="Q706" s="214">
        <v>-0.001302568759938912</v>
      </c>
      <c r="R706" s="214">
        <v>0.002598566672737427</v>
      </c>
      <c r="S706" s="214">
        <v>-0.005669779433004655</v>
      </c>
    </row>
    <row r="707">
      <c r="A707" s="208">
        <v>42590.0</v>
      </c>
      <c r="B707" s="220">
        <v>0.007748877730439632</v>
      </c>
      <c r="C707" s="220">
        <v>0.009833333333333345</v>
      </c>
      <c r="D707" s="220">
        <v>0.017582211063772994</v>
      </c>
      <c r="E707" s="222">
        <v>0.001067584752937379</v>
      </c>
      <c r="F707" s="210">
        <v>9.827003684552437</v>
      </c>
      <c r="G707" s="209">
        <v>3884.217021965901</v>
      </c>
      <c r="H707" s="210">
        <v>8804.175000000001</v>
      </c>
      <c r="I707" s="210">
        <v>0.0</v>
      </c>
      <c r="J707" s="215">
        <v>4.703</v>
      </c>
      <c r="K707" s="221">
        <v>37.487</v>
      </c>
      <c r="L707" s="221">
        <v>187.07</v>
      </c>
      <c r="M707" s="221">
        <v>7.71</v>
      </c>
      <c r="N707" s="221">
        <v>116.32</v>
      </c>
      <c r="O707" s="213">
        <v>0.003593052578477307</v>
      </c>
      <c r="P707" s="214">
        <v>0.006583328268822279</v>
      </c>
      <c r="Q707" s="214">
        <v>0.002543637558883131</v>
      </c>
      <c r="R707" s="214">
        <v>0.005649853399952646</v>
      </c>
      <c r="S707" s="214">
        <v>-0.0023777181758465695</v>
      </c>
    </row>
    <row r="708">
      <c r="A708" s="208">
        <v>42587.0</v>
      </c>
      <c r="B708" s="220">
        <v>0.007746061699067241</v>
      </c>
      <c r="C708" s="220">
        <v>0.009791666666666678</v>
      </c>
      <c r="D708" s="220">
        <v>0.017537728365733935</v>
      </c>
      <c r="E708" s="222">
        <v>0.001067584752937379</v>
      </c>
      <c r="F708" s="210">
        <v>9.827003684552437</v>
      </c>
      <c r="G708" s="209">
        <v>3874.3900182813486</v>
      </c>
      <c r="H708" s="210">
        <v>8804.175000000001</v>
      </c>
      <c r="I708" s="210">
        <v>0.0</v>
      </c>
      <c r="J708" s="215">
        <v>4.707</v>
      </c>
      <c r="K708" s="221">
        <v>37.477</v>
      </c>
      <c r="L708" s="221">
        <v>187.29</v>
      </c>
      <c r="M708" s="221">
        <v>7.65</v>
      </c>
      <c r="N708" s="221">
        <v>116.5</v>
      </c>
      <c r="O708" s="213">
        <v>0.004593097249719162</v>
      </c>
      <c r="P708" s="214">
        <v>0.008916177261915367</v>
      </c>
      <c r="Q708" s="214">
        <v>0.003941178097166838</v>
      </c>
      <c r="R708" s="214">
        <v>0.007453357056582048</v>
      </c>
      <c r="S708" s="214">
        <v>-0.003085506823782058</v>
      </c>
    </row>
    <row r="709">
      <c r="A709" s="208">
        <v>42586.0</v>
      </c>
      <c r="B709" s="220">
        <v>0.00774324566769485</v>
      </c>
      <c r="C709" s="220">
        <v>0.00975000000000001</v>
      </c>
      <c r="D709" s="220">
        <v>0.017493245667694876</v>
      </c>
      <c r="E709" s="222">
        <v>0.001067584752937379</v>
      </c>
      <c r="F709" s="210">
        <v>9.827003684552437</v>
      </c>
      <c r="G709" s="209">
        <v>3864.563014596796</v>
      </c>
      <c r="H709" s="210">
        <v>8804.175000000001</v>
      </c>
      <c r="I709" s="210">
        <v>0.0</v>
      </c>
      <c r="J709" s="215">
        <v>4.724</v>
      </c>
      <c r="K709" s="221">
        <v>36.992</v>
      </c>
      <c r="L709" s="221">
        <v>187.35</v>
      </c>
      <c r="M709" s="221">
        <v>7.63</v>
      </c>
      <c r="N709" s="221">
        <v>117.99</v>
      </c>
      <c r="O709" s="213">
        <v>5.549846010567775E-4</v>
      </c>
      <c r="P709" s="214">
        <v>-3.9534113457873055E-4</v>
      </c>
      <c r="Q709" s="214">
        <v>0.001256378743820341</v>
      </c>
      <c r="R709" s="214">
        <v>0.0025712021744270417</v>
      </c>
      <c r="S709" s="214">
        <v>0.004012916749523976</v>
      </c>
    </row>
    <row r="710">
      <c r="A710" s="208">
        <v>42585.0</v>
      </c>
      <c r="B710" s="220">
        <v>0.007740429636322459</v>
      </c>
      <c r="C710" s="220">
        <v>0.009708333333333343</v>
      </c>
      <c r="D710" s="220">
        <v>0.017448762969655817</v>
      </c>
      <c r="E710" s="222">
        <v>0.001067584752937379</v>
      </c>
      <c r="F710" s="210">
        <v>9.827003684552437</v>
      </c>
      <c r="G710" s="209">
        <v>3854.7360109122437</v>
      </c>
      <c r="H710" s="210">
        <v>8804.175000000001</v>
      </c>
      <c r="I710" s="210">
        <v>0.0</v>
      </c>
      <c r="J710" s="215">
        <v>4.652</v>
      </c>
      <c r="K710" s="221">
        <v>36.75</v>
      </c>
      <c r="L710" s="221">
        <v>185.64</v>
      </c>
      <c r="M710" s="221">
        <v>7.58</v>
      </c>
      <c r="N710" s="221">
        <v>117.14</v>
      </c>
      <c r="O710" s="213">
        <v>-0.0059393828865197396</v>
      </c>
      <c r="P710" s="214">
        <v>-0.002341948338563308</v>
      </c>
      <c r="Q710" s="214">
        <v>-0.0020361043201282034</v>
      </c>
      <c r="R710" s="214">
        <v>-0.002255165734121841</v>
      </c>
      <c r="S710" s="214">
        <v>0.0022978662233205474</v>
      </c>
    </row>
    <row r="711">
      <c r="A711" s="208">
        <v>42584.0</v>
      </c>
      <c r="B711" s="220">
        <v>0.007737613604950068</v>
      </c>
      <c r="C711" s="220">
        <v>0.009666666666666676</v>
      </c>
      <c r="D711" s="220">
        <v>0.017404280271616758</v>
      </c>
      <c r="E711" s="222">
        <v>0.001067584752937379</v>
      </c>
      <c r="F711" s="210">
        <v>9.827003684552437</v>
      </c>
      <c r="G711" s="209">
        <v>3844.9090072276913</v>
      </c>
      <c r="H711" s="210">
        <v>8804.175000000001</v>
      </c>
      <c r="I711" s="210">
        <v>0.0</v>
      </c>
      <c r="J711" s="215">
        <v>4.642</v>
      </c>
      <c r="K711" s="221">
        <v>36.483</v>
      </c>
      <c r="L711" s="221">
        <v>185.08</v>
      </c>
      <c r="M711" s="221">
        <v>7.48</v>
      </c>
      <c r="N711" s="221">
        <v>117.57</v>
      </c>
      <c r="O711" s="213">
        <v>-0.008415864258204397</v>
      </c>
      <c r="P711" s="214">
        <v>-0.0051240384527410825</v>
      </c>
      <c r="Q711" s="214">
        <v>-0.004612193892176893</v>
      </c>
      <c r="R711" s="214">
        <v>-0.007963319102704647</v>
      </c>
      <c r="S711" s="214">
        <v>0.002719158050582019</v>
      </c>
    </row>
    <row r="712">
      <c r="A712" s="208">
        <v>42583.0</v>
      </c>
      <c r="B712" s="220">
        <v>0.007734797573577677</v>
      </c>
      <c r="C712" s="220">
        <v>0.009625000000000009</v>
      </c>
      <c r="D712" s="220">
        <v>0.0173597975735777</v>
      </c>
      <c r="E712" s="222">
        <v>0.001067584752937379</v>
      </c>
      <c r="F712" s="210">
        <v>9.827003684552437</v>
      </c>
      <c r="G712" s="209">
        <v>3835.082003543139</v>
      </c>
      <c r="H712" s="210">
        <v>8804.175000000001</v>
      </c>
      <c r="I712" s="210">
        <v>0.0</v>
      </c>
      <c r="J712" s="215">
        <v>4.715</v>
      </c>
      <c r="K712" s="221">
        <v>37.03</v>
      </c>
      <c r="L712" s="221">
        <v>186.63</v>
      </c>
      <c r="M712" s="221">
        <v>7.57</v>
      </c>
      <c r="N712" s="221">
        <v>116.57</v>
      </c>
      <c r="O712" s="213">
        <v>-0.004364347055028454</v>
      </c>
      <c r="P712" s="214">
        <v>-0.0039685545900471535</v>
      </c>
      <c r="Q712" s="214">
        <v>-0.0039877634363014725</v>
      </c>
      <c r="R712" s="214">
        <v>-0.0061284289634065585</v>
      </c>
      <c r="S712" s="214">
        <v>-1.7320295818468168E-4</v>
      </c>
    </row>
    <row r="713">
      <c r="A713" s="208">
        <v>42580.0</v>
      </c>
      <c r="B713" s="220">
        <v>0.0077319815422052865</v>
      </c>
      <c r="C713" s="220">
        <v>0.009583333333333341</v>
      </c>
      <c r="D713" s="220">
        <v>0.01731531487553864</v>
      </c>
      <c r="E713" s="222">
        <v>0.001067584752937379</v>
      </c>
      <c r="F713" s="210">
        <v>9.827003684552437</v>
      </c>
      <c r="G713" s="209">
        <v>3825.2549998585864</v>
      </c>
      <c r="H713" s="210">
        <v>8804.175000000001</v>
      </c>
      <c r="I713" s="210">
        <v>0.0</v>
      </c>
      <c r="J713" s="215">
        <v>4.735</v>
      </c>
      <c r="K713" s="221">
        <v>37.004</v>
      </c>
      <c r="L713" s="221">
        <v>186.77</v>
      </c>
      <c r="M713" s="221">
        <v>7.63</v>
      </c>
      <c r="N713" s="221">
        <v>116.33</v>
      </c>
      <c r="O713" s="213">
        <v>-5.081618302715066E-4</v>
      </c>
      <c r="P713" s="214">
        <v>-0.003980204851420514</v>
      </c>
      <c r="Q713" s="214">
        <v>-0.002978814900156982</v>
      </c>
      <c r="R713" s="214">
        <v>-0.005215776852341684</v>
      </c>
      <c r="S713" s="214">
        <v>5.981150819833007E-4</v>
      </c>
    </row>
    <row r="714">
      <c r="A714" s="208">
        <v>42579.0</v>
      </c>
      <c r="B714" s="220">
        <v>0.007729165510832896</v>
      </c>
      <c r="C714" s="220">
        <v>0.009541666666666674</v>
      </c>
      <c r="D714" s="220">
        <v>0.01727083217749958</v>
      </c>
      <c r="E714" s="222">
        <v>0.001067584752937379</v>
      </c>
      <c r="F714" s="210">
        <v>9.827003684552437</v>
      </c>
      <c r="G714" s="209">
        <v>3815.427996174034</v>
      </c>
      <c r="H714" s="210">
        <v>8804.175000000001</v>
      </c>
      <c r="I714" s="210">
        <v>0.0</v>
      </c>
      <c r="J714" s="215">
        <v>4.76</v>
      </c>
      <c r="K714" s="221">
        <v>37.044</v>
      </c>
      <c r="L714" s="221">
        <v>187.65</v>
      </c>
      <c r="M714" s="221">
        <v>7.66</v>
      </c>
      <c r="N714" s="221">
        <v>116.61</v>
      </c>
      <c r="O714" s="213">
        <v>2.676682567042861E-4</v>
      </c>
      <c r="P714" s="214">
        <v>-0.004047165397404351</v>
      </c>
      <c r="Q714" s="214">
        <v>-0.0019743068315138945</v>
      </c>
      <c r="R714" s="214">
        <v>-0.004335268389708287</v>
      </c>
      <c r="S714" s="214">
        <v>8.550175432040508E-4</v>
      </c>
    </row>
    <row r="715">
      <c r="A715" s="208">
        <v>42578.0</v>
      </c>
      <c r="B715" s="220">
        <v>0.007726349479460505</v>
      </c>
      <c r="C715" s="220">
        <v>0.009500000000000007</v>
      </c>
      <c r="D715" s="220">
        <v>0.017226349479460522</v>
      </c>
      <c r="E715" s="222">
        <v>0.001067584752937379</v>
      </c>
      <c r="F715" s="210">
        <v>9.827003684552437</v>
      </c>
      <c r="G715" s="209">
        <v>3805.6009924894815</v>
      </c>
      <c r="H715" s="210">
        <v>8804.175000000001</v>
      </c>
      <c r="I715" s="210">
        <v>0.0</v>
      </c>
      <c r="J715" s="215">
        <v>4.777</v>
      </c>
      <c r="K715" s="221">
        <v>37.471</v>
      </c>
      <c r="L715" s="221">
        <v>188.87</v>
      </c>
      <c r="M715" s="221">
        <v>7.71</v>
      </c>
      <c r="N715" s="221">
        <v>116.63</v>
      </c>
      <c r="O715" s="213">
        <v>0.0017384920782429851</v>
      </c>
      <c r="P715" s="214">
        <v>-0.001067247945457132</v>
      </c>
      <c r="Q715" s="214">
        <v>-1.0735651241626047E-4</v>
      </c>
      <c r="R715" s="214">
        <v>-0.0034481231356550492</v>
      </c>
      <c r="S715" s="214">
        <v>0.0013707328627146815</v>
      </c>
    </row>
    <row r="716">
      <c r="A716" s="208">
        <v>42577.0</v>
      </c>
      <c r="B716" s="220">
        <v>0.007723533448088114</v>
      </c>
      <c r="C716" s="220">
        <v>0.00945833333333334</v>
      </c>
      <c r="D716" s="220">
        <v>0.017181866781421463</v>
      </c>
      <c r="E716" s="222">
        <v>0.001067584752937379</v>
      </c>
      <c r="F716" s="210">
        <v>9.827003684552437</v>
      </c>
      <c r="G716" s="209">
        <v>3795.773988804929</v>
      </c>
      <c r="H716" s="210">
        <v>8804.175000000001</v>
      </c>
      <c r="I716" s="210">
        <v>0.0</v>
      </c>
      <c r="J716" s="215">
        <v>4.742</v>
      </c>
      <c r="K716" s="221">
        <v>37.446</v>
      </c>
      <c r="L716" s="221">
        <v>188.44</v>
      </c>
      <c r="M716" s="221">
        <v>7.75</v>
      </c>
      <c r="N716" s="221">
        <v>116.12</v>
      </c>
      <c r="O716" s="213">
        <v>0.0022423619823640126</v>
      </c>
      <c r="P716" s="214">
        <v>-7.664672791144836E-4</v>
      </c>
      <c r="Q716" s="214">
        <v>5.099151368798497E-4</v>
      </c>
      <c r="R716" s="214">
        <v>-0.004714060431521967</v>
      </c>
      <c r="S716" s="214">
        <v>8.601831292747905E-4</v>
      </c>
    </row>
    <row r="717">
      <c r="A717" s="208">
        <v>42576.0</v>
      </c>
      <c r="B717" s="220">
        <v>0.007720717416715723</v>
      </c>
      <c r="C717" s="220">
        <v>0.009416666666666672</v>
      </c>
      <c r="D717" s="220">
        <v>0.017137384083382404</v>
      </c>
      <c r="E717" s="222">
        <v>0.001067584752937379</v>
      </c>
      <c r="F717" s="210">
        <v>9.827003684552437</v>
      </c>
      <c r="G717" s="209">
        <v>3785.9469851203767</v>
      </c>
      <c r="H717" s="210">
        <v>8804.175000000001</v>
      </c>
      <c r="I717" s="210">
        <v>0.0</v>
      </c>
      <c r="J717" s="215">
        <v>4.756</v>
      </c>
      <c r="K717" s="221">
        <v>37.494</v>
      </c>
      <c r="L717" s="221">
        <v>188.76</v>
      </c>
      <c r="M717" s="221">
        <v>7.76</v>
      </c>
      <c r="N717" s="221">
        <v>116.31</v>
      </c>
      <c r="O717" s="213">
        <v>0.0029433899437863267</v>
      </c>
      <c r="P717" s="214">
        <v>-8.543013163468208E-4</v>
      </c>
      <c r="Q717" s="214">
        <v>0.0014302934441792203</v>
      </c>
      <c r="R717" s="214">
        <v>-0.005132129325335762</v>
      </c>
      <c r="S717" s="214">
        <v>0.0025568075709018943</v>
      </c>
    </row>
    <row r="718">
      <c r="A718" s="208">
        <v>42573.0</v>
      </c>
      <c r="B718" s="220">
        <v>0.007717901385343332</v>
      </c>
      <c r="C718" s="220">
        <v>0.009375000000000005</v>
      </c>
      <c r="D718" s="220">
        <v>0.017092901385343345</v>
      </c>
      <c r="E718" s="222">
        <v>0.001067584752937379</v>
      </c>
      <c r="F718" s="210">
        <v>9.827003684552437</v>
      </c>
      <c r="G718" s="209">
        <v>3776.1199814358242</v>
      </c>
      <c r="H718" s="210">
        <v>8804.175000000001</v>
      </c>
      <c r="I718" s="210">
        <v>0.0</v>
      </c>
      <c r="J718" s="215">
        <v>4.752</v>
      </c>
      <c r="K718" s="221">
        <v>37.591</v>
      </c>
      <c r="L718" s="221">
        <v>188.93</v>
      </c>
      <c r="M718" s="221">
        <v>7.79</v>
      </c>
      <c r="N718" s="221">
        <v>116.15</v>
      </c>
      <c r="O718" s="213">
        <v>7.538356941408919E-4</v>
      </c>
      <c r="P718" s="214">
        <v>0.002118549262154268</v>
      </c>
      <c r="Q718" s="214">
        <v>0.001092030612264742</v>
      </c>
      <c r="R718" s="214">
        <v>-0.005958528753179519</v>
      </c>
      <c r="S718" s="214">
        <v>-0.0015406211984264617</v>
      </c>
    </row>
    <row r="719">
      <c r="A719" s="208">
        <v>42572.0</v>
      </c>
      <c r="B719" s="220">
        <v>0.007715085353970941</v>
      </c>
      <c r="C719" s="220">
        <v>0.009333333333333338</v>
      </c>
      <c r="D719" s="220">
        <v>0.017048418687304286</v>
      </c>
      <c r="E719" s="222">
        <v>0.001067584752937379</v>
      </c>
      <c r="F719" s="210">
        <v>9.827003684552437</v>
      </c>
      <c r="G719" s="209">
        <v>3766.292977751272</v>
      </c>
      <c r="H719" s="210">
        <v>8804.175000000001</v>
      </c>
      <c r="I719" s="210">
        <v>0.0</v>
      </c>
      <c r="J719" s="215">
        <v>4.71</v>
      </c>
      <c r="K719" s="221">
        <v>37.532</v>
      </c>
      <c r="L719" s="221">
        <v>188.15</v>
      </c>
      <c r="M719" s="221">
        <v>7.86</v>
      </c>
      <c r="N719" s="221">
        <v>115.82</v>
      </c>
      <c r="O719" s="213">
        <v>0.001463757807775264</v>
      </c>
      <c r="P719" s="214">
        <v>0.003290955169773957</v>
      </c>
      <c r="Q719" s="214">
        <v>0.0026365753845156346</v>
      </c>
      <c r="R719" s="214">
        <v>-0.002542890959713976</v>
      </c>
      <c r="S719" s="214">
        <v>3.405757749173806E-4</v>
      </c>
    </row>
    <row r="720">
      <c r="A720" s="208">
        <v>42571.0</v>
      </c>
      <c r="B720" s="220">
        <v>0.00771226932259855</v>
      </c>
      <c r="C720" s="220">
        <v>0.00929166666666667</v>
      </c>
      <c r="D720" s="220">
        <v>0.017003935989265227</v>
      </c>
      <c r="E720" s="222">
        <v>0.001067584752937379</v>
      </c>
      <c r="F720" s="210">
        <v>9.827003684552437</v>
      </c>
      <c r="G720" s="209">
        <v>3756.4659740667194</v>
      </c>
      <c r="H720" s="210">
        <v>8804.175000000001</v>
      </c>
      <c r="I720" s="210">
        <v>0.0</v>
      </c>
      <c r="J720" s="215">
        <v>4.714</v>
      </c>
      <c r="K720" s="221">
        <v>37.59</v>
      </c>
      <c r="L720" s="221">
        <v>187.95</v>
      </c>
      <c r="M720" s="221">
        <v>7.88</v>
      </c>
      <c r="N720" s="221">
        <v>115.42</v>
      </c>
      <c r="O720" s="213">
        <v>1.1181109597435679E-4</v>
      </c>
      <c r="P720" s="214">
        <v>0.0040123750902231565</v>
      </c>
      <c r="Q720" s="214">
        <v>0.0015857947185609067</v>
      </c>
      <c r="R720" s="214">
        <v>-0.0037990916433955357</v>
      </c>
      <c r="S720" s="214">
        <v>-0.00115638745283612</v>
      </c>
    </row>
    <row r="721">
      <c r="A721" s="208">
        <v>42570.0</v>
      </c>
      <c r="B721" s="220">
        <v>0.007709453291226159</v>
      </c>
      <c r="C721" s="220">
        <v>0.009250000000000003</v>
      </c>
      <c r="D721" s="220">
        <v>0.016959453291226168</v>
      </c>
      <c r="E721" s="222">
        <v>0.001067584752937379</v>
      </c>
      <c r="F721" s="210">
        <v>9.827003684552437</v>
      </c>
      <c r="G721" s="209">
        <v>3746.638970382167</v>
      </c>
      <c r="H721" s="210">
        <v>8804.175000000001</v>
      </c>
      <c r="I721" s="210">
        <v>0.0</v>
      </c>
      <c r="J721" s="215">
        <v>4.741</v>
      </c>
      <c r="K721" s="221">
        <v>37.352</v>
      </c>
      <c r="L721" s="221">
        <v>188.31</v>
      </c>
      <c r="M721" s="221">
        <v>7.93</v>
      </c>
      <c r="N721" s="221">
        <v>116.68</v>
      </c>
      <c r="O721" s="213">
        <v>0.0015965694972397044</v>
      </c>
      <c r="P721" s="214">
        <v>0.0027276114857670932</v>
      </c>
      <c r="Q721" s="214">
        <v>0.002277724037407151</v>
      </c>
      <c r="R721" s="214">
        <v>-0.0033569726141254863</v>
      </c>
      <c r="S721" s="214">
        <v>0.003547459349018641</v>
      </c>
    </row>
    <row r="722">
      <c r="A722" s="208">
        <v>42569.0</v>
      </c>
      <c r="B722" s="220">
        <v>0.007706637259853768</v>
      </c>
      <c r="C722" s="220">
        <v>0.009208333333333336</v>
      </c>
      <c r="D722" s="220">
        <v>0.01691497059318711</v>
      </c>
      <c r="E722" s="222">
        <v>0.001067584752937379</v>
      </c>
      <c r="F722" s="210">
        <v>9.827003684552437</v>
      </c>
      <c r="G722" s="209">
        <v>3736.8119666976145</v>
      </c>
      <c r="H722" s="210">
        <v>8804.175000000001</v>
      </c>
      <c r="I722" s="210">
        <v>0.0</v>
      </c>
      <c r="J722" s="215">
        <v>4.689</v>
      </c>
      <c r="K722" s="221">
        <v>37.162</v>
      </c>
      <c r="L722" s="221">
        <v>186.66</v>
      </c>
      <c r="M722" s="221">
        <v>7.92</v>
      </c>
      <c r="N722" s="221">
        <v>115.69</v>
      </c>
      <c r="O722" s="213">
        <v>-0.0070757303858940785</v>
      </c>
      <c r="P722" s="214">
        <v>0.0035693481663318094</v>
      </c>
      <c r="Q722" s="214">
        <v>-0.0020866876648986863</v>
      </c>
      <c r="R722" s="214">
        <v>-0.0016965848789541511</v>
      </c>
      <c r="S722" s="214">
        <v>-0.00332329289369108</v>
      </c>
    </row>
    <row r="723">
      <c r="A723" s="208">
        <v>42566.0</v>
      </c>
      <c r="B723" s="220">
        <v>0.0077038212284813775</v>
      </c>
      <c r="C723" s="220">
        <v>0.009166666666666668</v>
      </c>
      <c r="D723" s="220">
        <v>0.01687048789514805</v>
      </c>
      <c r="E723" s="222">
        <v>0.001067584752937379</v>
      </c>
      <c r="F723" s="210">
        <v>9.827003684552437</v>
      </c>
      <c r="G723" s="209">
        <v>3726.984963013062</v>
      </c>
      <c r="H723" s="210">
        <v>8804.175000000001</v>
      </c>
      <c r="I723" s="210">
        <v>0.0</v>
      </c>
      <c r="J723" s="215">
        <v>4.712</v>
      </c>
      <c r="K723" s="221">
        <v>37.139</v>
      </c>
      <c r="L723" s="221">
        <v>187.05</v>
      </c>
      <c r="M723" s="221">
        <v>7.97</v>
      </c>
      <c r="N723" s="221">
        <v>115.81</v>
      </c>
      <c r="O723" s="213">
        <v>-0.0038398071100841738</v>
      </c>
      <c r="P723" s="214">
        <v>0.0013955933087342887</v>
      </c>
      <c r="Q723" s="214">
        <v>-0.001993616711392532</v>
      </c>
      <c r="R723" s="214">
        <v>4.0779222542293897E-4</v>
      </c>
      <c r="S723" s="214">
        <v>-0.0027778380182421256</v>
      </c>
    </row>
    <row r="724">
      <c r="A724" s="208">
        <v>42565.0</v>
      </c>
      <c r="B724" s="220">
        <v>0.007701005197108987</v>
      </c>
      <c r="C724" s="220">
        <v>0.009125000000000001</v>
      </c>
      <c r="D724" s="220">
        <v>0.01682600519710899</v>
      </c>
      <c r="E724" s="222">
        <v>0.001067584752937379</v>
      </c>
      <c r="F724" s="210">
        <v>9.827003684552437</v>
      </c>
      <c r="G724" s="209">
        <v>3717.1579593285096</v>
      </c>
      <c r="H724" s="210">
        <v>8804.175000000001</v>
      </c>
      <c r="I724" s="210">
        <v>0.0</v>
      </c>
      <c r="J724" s="215">
        <v>4.718</v>
      </c>
      <c r="K724" s="221">
        <v>37.047</v>
      </c>
      <c r="L724" s="221">
        <v>187.02</v>
      </c>
      <c r="M724" s="221">
        <v>8.01</v>
      </c>
      <c r="N724" s="221">
        <v>115.44</v>
      </c>
      <c r="O724" s="213">
        <v>-0.009290306437877835</v>
      </c>
      <c r="P724" s="214">
        <v>0.0015523264700076922</v>
      </c>
      <c r="Q724" s="214">
        <v>-0.004704250059100579</v>
      </c>
      <c r="R724" s="214">
        <v>0.0020807324178110744</v>
      </c>
      <c r="S724" s="214">
        <v>-0.00940929898895885</v>
      </c>
    </row>
    <row r="725">
      <c r="A725" s="208">
        <v>42564.0</v>
      </c>
      <c r="B725" s="220">
        <v>0.007698189165736596</v>
      </c>
      <c r="C725" s="220">
        <v>0.009083333333333334</v>
      </c>
      <c r="D725" s="220">
        <v>0.01678152249906993</v>
      </c>
      <c r="E725" s="222">
        <v>0.001067584752937379</v>
      </c>
      <c r="F725" s="210">
        <v>9.827003684552437</v>
      </c>
      <c r="G725" s="209">
        <v>3707.330955643957</v>
      </c>
      <c r="H725" s="210">
        <v>8804.175000000001</v>
      </c>
      <c r="I725" s="210">
        <v>0.0</v>
      </c>
      <c r="J725" s="215">
        <v>4.789</v>
      </c>
      <c r="K725" s="221">
        <v>36.765</v>
      </c>
      <c r="L725" s="221">
        <v>187.83</v>
      </c>
      <c r="M725" s="221">
        <v>7.96</v>
      </c>
      <c r="N725" s="221">
        <v>116.84</v>
      </c>
      <c r="O725" s="213">
        <v>-0.005442441494231491</v>
      </c>
      <c r="P725" s="214">
        <v>0.0018626210822800804</v>
      </c>
      <c r="Q725" s="214">
        <v>-0.0038756576229428408</v>
      </c>
      <c r="R725" s="214">
        <v>0.0016750418760468715</v>
      </c>
      <c r="S725" s="214">
        <v>-0.004692940499015401</v>
      </c>
    </row>
    <row r="726">
      <c r="A726" s="208">
        <v>42563.0</v>
      </c>
      <c r="B726" s="220">
        <v>0.007695373134364205</v>
      </c>
      <c r="C726" s="220">
        <v>0.009041666666666667</v>
      </c>
      <c r="D726" s="220">
        <v>0.016737039801030872</v>
      </c>
      <c r="E726" s="222">
        <v>0.001067584752937379</v>
      </c>
      <c r="F726" s="210">
        <v>9.827003684552437</v>
      </c>
      <c r="G726" s="209">
        <v>3697.5039519594047</v>
      </c>
      <c r="H726" s="210">
        <v>8804.175000000001</v>
      </c>
      <c r="I726" s="210">
        <v>0.0</v>
      </c>
      <c r="J726" s="215">
        <v>4.766</v>
      </c>
      <c r="K726" s="221">
        <v>36.982</v>
      </c>
      <c r="L726" s="221">
        <v>188.17</v>
      </c>
      <c r="M726" s="221">
        <v>7.96</v>
      </c>
      <c r="N726" s="221">
        <v>116.77</v>
      </c>
      <c r="O726" s="213">
        <v>-0.00526263247277825</v>
      </c>
      <c r="P726" s="214">
        <v>0.008206679044735044</v>
      </c>
      <c r="Q726" s="214">
        <v>-0.0026407626593117537</v>
      </c>
      <c r="R726" s="214">
        <v>0.002095917296922304</v>
      </c>
      <c r="S726" s="214">
        <v>-0.003795412196702689</v>
      </c>
    </row>
    <row r="727">
      <c r="A727" s="208">
        <v>42562.0</v>
      </c>
      <c r="B727" s="30">
        <v>0.007692557102991814</v>
      </c>
      <c r="C727" s="30">
        <v>0.009</v>
      </c>
      <c r="D727" s="164">
        <v>0.016692557102991813</v>
      </c>
      <c r="E727" s="164">
        <v>9.975502328359587E-4</v>
      </c>
      <c r="F727" s="210">
        <v>220.3762416793561</v>
      </c>
      <c r="G727" s="209">
        <v>3687.6769482748523</v>
      </c>
      <c r="H727" s="210">
        <v>8804.175000000001</v>
      </c>
      <c r="I727" s="210">
        <v>0.0</v>
      </c>
      <c r="J727" s="215">
        <v>4.85</v>
      </c>
      <c r="K727" s="221">
        <v>36.873</v>
      </c>
      <c r="L727" s="221">
        <v>189.67</v>
      </c>
      <c r="M727" s="221">
        <v>7.96</v>
      </c>
      <c r="N727" s="221">
        <v>118.72</v>
      </c>
      <c r="O727" s="213">
        <v>0.001025452853783045</v>
      </c>
      <c r="P727" s="214">
        <v>0.009607943262494553</v>
      </c>
      <c r="Q727" s="214">
        <v>-3.6316883488781336E-5</v>
      </c>
      <c r="R727" s="214">
        <v>-1.1120208345261062E-5</v>
      </c>
      <c r="S727" s="214">
        <v>-0.0011080739150307977</v>
      </c>
    </row>
    <row r="728">
      <c r="A728" s="208">
        <v>42559.0</v>
      </c>
      <c r="B728" s="30">
        <v>0.007695006870155855</v>
      </c>
      <c r="C728" s="30">
        <v>0.008</v>
      </c>
      <c r="D728" s="164">
        <v>0.015695006870155855</v>
      </c>
      <c r="E728" s="164">
        <v>0.0022055736526100465</v>
      </c>
      <c r="F728" s="210">
        <v>32.48331203849284</v>
      </c>
      <c r="G728" s="209">
        <v>3467.300706595496</v>
      </c>
      <c r="H728" s="210">
        <v>8804.175000000001</v>
      </c>
      <c r="I728" s="210">
        <v>0.0</v>
      </c>
      <c r="J728" s="215">
        <v>4.867</v>
      </c>
      <c r="K728" s="221">
        <v>36.558</v>
      </c>
      <c r="L728" s="221">
        <v>190.02</v>
      </c>
      <c r="M728" s="221">
        <v>7.92</v>
      </c>
      <c r="N728" s="221">
        <v>118.48</v>
      </c>
      <c r="O728" s="213">
        <v>0.0029521969199956346</v>
      </c>
      <c r="P728" s="214">
        <v>0.007234926386832726</v>
      </c>
      <c r="Q728" s="214">
        <v>8.248019704405474E-4</v>
      </c>
      <c r="R728" s="214">
        <v>-0.0021049225534038873</v>
      </c>
      <c r="S728" s="214">
        <v>0.003395358739088583</v>
      </c>
    </row>
    <row r="729">
      <c r="A729" s="208">
        <v>42558.0</v>
      </c>
      <c r="B729" s="220">
        <v>0.007614635293315187</v>
      </c>
      <c r="C729" s="220">
        <v>0.007933333333333329</v>
      </c>
      <c r="D729" s="220">
        <v>0.015547968626648515</v>
      </c>
      <c r="E729" s="222">
        <v>0.0022055736526100465</v>
      </c>
      <c r="F729" s="210">
        <v>32.48331203849193</v>
      </c>
      <c r="G729" s="209">
        <v>3434.8173945570034</v>
      </c>
      <c r="H729" s="210">
        <v>8804.175000000001</v>
      </c>
      <c r="I729" s="210">
        <v>0.0</v>
      </c>
      <c r="J729" s="215">
        <v>4.841</v>
      </c>
      <c r="K729" s="221">
        <v>36.078</v>
      </c>
      <c r="L729" s="221">
        <v>189.66</v>
      </c>
      <c r="M729" s="221">
        <v>7.91</v>
      </c>
      <c r="N729" s="221">
        <v>118.09</v>
      </c>
      <c r="O729" s="213">
        <v>0.0067685118933106985</v>
      </c>
      <c r="P729" s="214">
        <v>0.00175867067986842</v>
      </c>
      <c r="Q729" s="214">
        <v>0.00369280589655685</v>
      </c>
      <c r="R729" s="214">
        <v>-0.010054028840025856</v>
      </c>
      <c r="S729" s="214">
        <v>0.0031225060119778694</v>
      </c>
    </row>
    <row r="730">
      <c r="A730" s="208">
        <v>42557.0</v>
      </c>
      <c r="B730" s="220">
        <v>0.007534263716474517</v>
      </c>
      <c r="C730" s="220">
        <v>0.007866666666666662</v>
      </c>
      <c r="D730" s="220">
        <v>0.015400930383141179</v>
      </c>
      <c r="E730" s="222">
        <v>0.0022055736526100465</v>
      </c>
      <c r="F730" s="210">
        <v>32.48331203849193</v>
      </c>
      <c r="G730" s="209">
        <v>3402.3340825185114</v>
      </c>
      <c r="H730" s="210">
        <v>8804.175000000001</v>
      </c>
      <c r="I730" s="210">
        <v>0.0</v>
      </c>
      <c r="J730" s="215">
        <v>4.835</v>
      </c>
      <c r="K730" s="221">
        <v>35.82</v>
      </c>
      <c r="L730" s="221">
        <v>189.69</v>
      </c>
      <c r="M730" s="221">
        <v>7.96</v>
      </c>
      <c r="N730" s="221">
        <v>119.11</v>
      </c>
      <c r="O730" s="213">
        <v>0.008323186326352094</v>
      </c>
      <c r="P730" s="214">
        <v>-5.693229859920675E-4</v>
      </c>
      <c r="Q730" s="214">
        <v>0.00420760618559705</v>
      </c>
      <c r="R730" s="214">
        <v>-0.0071289954247378455</v>
      </c>
      <c r="S730" s="214">
        <v>0.009421346234613881</v>
      </c>
    </row>
    <row r="731">
      <c r="A731" s="208">
        <v>42556.0</v>
      </c>
      <c r="B731" s="220">
        <v>0.007453892139633847</v>
      </c>
      <c r="C731" s="220">
        <v>0.007799999999999995</v>
      </c>
      <c r="D731" s="220">
        <v>0.015253892139633842</v>
      </c>
      <c r="E731" s="222">
        <v>0.0022055736526100465</v>
      </c>
      <c r="F731" s="210">
        <v>32.48331203849193</v>
      </c>
      <c r="G731" s="209">
        <v>3369.8507704800195</v>
      </c>
      <c r="H731" s="210">
        <v>8804.175000000001</v>
      </c>
      <c r="I731" s="210">
        <v>0.0</v>
      </c>
      <c r="J731" s="215">
        <v>4.824</v>
      </c>
      <c r="K731" s="221">
        <v>35.769</v>
      </c>
      <c r="L731" s="221">
        <v>189.55</v>
      </c>
      <c r="M731" s="221">
        <v>7.97</v>
      </c>
      <c r="N731" s="221">
        <v>117.26</v>
      </c>
      <c r="O731" s="213">
        <v>0.008413183449514694</v>
      </c>
      <c r="P731" s="214">
        <v>0.001213543982400959</v>
      </c>
      <c r="Q731" s="214">
        <v>0.0034276879272302128</v>
      </c>
      <c r="R731" s="214">
        <v>-0.005480222655603069</v>
      </c>
      <c r="S731" s="214">
        <v>0.007727978398264816</v>
      </c>
    </row>
    <row r="732">
      <c r="A732" s="208">
        <v>42555.0</v>
      </c>
      <c r="B732" s="220">
        <v>0.007373520562793177</v>
      </c>
      <c r="C732" s="220">
        <v>0.007733333333333329</v>
      </c>
      <c r="D732" s="220">
        <v>0.015106853896126506</v>
      </c>
      <c r="E732" s="222">
        <v>0.0022055736526100465</v>
      </c>
      <c r="F732" s="210">
        <v>32.48331203849193</v>
      </c>
      <c r="G732" s="209">
        <v>3337.3674584415276</v>
      </c>
      <c r="H732" s="210">
        <v>8804.175000000001</v>
      </c>
      <c r="I732" s="210">
        <v>0.0</v>
      </c>
      <c r="J732" s="215">
        <v>4.743</v>
      </c>
      <c r="K732" s="221">
        <v>35.887</v>
      </c>
      <c r="L732" s="221">
        <v>187.56</v>
      </c>
      <c r="M732" s="221">
        <v>8.15</v>
      </c>
      <c r="N732" s="221">
        <v>116.97</v>
      </c>
      <c r="O732" s="213">
        <v>0.0013986336173445284</v>
      </c>
      <c r="P732" s="214">
        <v>0.005474612112599771</v>
      </c>
      <c r="Q732" s="214">
        <v>-5.693409090684239E-4</v>
      </c>
      <c r="R732" s="214">
        <v>8.134403089089156E-4</v>
      </c>
      <c r="S732" s="214">
        <v>0.005914307160114689</v>
      </c>
    </row>
    <row r="733">
      <c r="A733" s="208">
        <v>42552.0</v>
      </c>
      <c r="B733" s="220">
        <v>0.007293148985952507</v>
      </c>
      <c r="C733" s="220">
        <v>0.007666666666666663</v>
      </c>
      <c r="D733" s="220">
        <v>0.01495981565261917</v>
      </c>
      <c r="E733" s="222">
        <v>0.0022055736526100465</v>
      </c>
      <c r="F733" s="210">
        <v>32.48331203849193</v>
      </c>
      <c r="G733" s="209">
        <v>3304.8841464030356</v>
      </c>
      <c r="H733" s="210">
        <v>8804.175000000001</v>
      </c>
      <c r="I733" s="210">
        <v>0.0</v>
      </c>
      <c r="J733" s="215">
        <v>4.715</v>
      </c>
      <c r="K733" s="221">
        <v>35.881</v>
      </c>
      <c r="L733" s="221">
        <v>187.3</v>
      </c>
      <c r="M733" s="221">
        <v>8.13</v>
      </c>
      <c r="N733" s="221">
        <v>115.77</v>
      </c>
      <c r="O733" s="213">
        <v>-0.0022630172590144917</v>
      </c>
      <c r="P733" s="214">
        <v>0.01090518946281919</v>
      </c>
      <c r="Q733" s="214">
        <v>-0.0033023683581211807</v>
      </c>
      <c r="R733" s="214">
        <v>0.0024554689991344394</v>
      </c>
      <c r="S733" s="214">
        <v>0.002987809377735758</v>
      </c>
    </row>
    <row r="734">
      <c r="A734" s="208">
        <v>42551.0</v>
      </c>
      <c r="B734" s="220">
        <v>0.007212777409111837</v>
      </c>
      <c r="C734" s="220">
        <v>0.0075999999999999965</v>
      </c>
      <c r="D734" s="220">
        <v>0.014812777409111834</v>
      </c>
      <c r="E734" s="222">
        <v>0.0022055736526100465</v>
      </c>
      <c r="F734" s="210">
        <v>32.48331203849193</v>
      </c>
      <c r="G734" s="209">
        <v>3272.4008343645437</v>
      </c>
      <c r="H734" s="210">
        <v>8804.175000000001</v>
      </c>
      <c r="I734" s="210">
        <v>0.0</v>
      </c>
      <c r="J734" s="215">
        <v>4.703</v>
      </c>
      <c r="K734" s="221">
        <v>35.638</v>
      </c>
      <c r="L734" s="221">
        <v>187.6</v>
      </c>
      <c r="M734" s="221">
        <v>8.1</v>
      </c>
      <c r="N734" s="221">
        <v>114.56</v>
      </c>
      <c r="O734" s="213">
        <v>-0.002058076749620922</v>
      </c>
      <c r="P734" s="214">
        <v>0.010423892124308942</v>
      </c>
      <c r="Q734" s="214">
        <v>-0.0036671756151352617</v>
      </c>
      <c r="R734" s="214">
        <v>0.0041168239026462645</v>
      </c>
      <c r="S734" s="214">
        <v>-0.0047379530554916656</v>
      </c>
    </row>
    <row r="735">
      <c r="A735" s="208">
        <v>42550.0</v>
      </c>
      <c r="B735" s="220">
        <v>0.007132405832271167</v>
      </c>
      <c r="C735" s="220">
        <v>0.00753333333333333</v>
      </c>
      <c r="D735" s="220">
        <v>0.014665739165604498</v>
      </c>
      <c r="E735" s="222">
        <v>0.0022055736526100465</v>
      </c>
      <c r="F735" s="210">
        <v>32.48331203849193</v>
      </c>
      <c r="G735" s="209">
        <v>3239.9175223260518</v>
      </c>
      <c r="H735" s="210">
        <v>8804.175000000001</v>
      </c>
      <c r="I735" s="210">
        <v>0.0</v>
      </c>
      <c r="J735" s="215">
        <v>4.723</v>
      </c>
      <c r="K735" s="221">
        <v>35.3</v>
      </c>
      <c r="L735" s="221">
        <v>187.88</v>
      </c>
      <c r="M735" s="221">
        <v>8.13</v>
      </c>
      <c r="N735" s="221">
        <v>114.9</v>
      </c>
      <c r="O735" s="213">
        <v>0.010278026768052525</v>
      </c>
      <c r="P735" s="214">
        <v>0.0014324693838887088</v>
      </c>
      <c r="Q735" s="214">
        <v>0.002823201622942806</v>
      </c>
      <c r="R735" s="214">
        <v>0.007434725137214253</v>
      </c>
      <c r="S735" s="214">
        <v>7.267674874833855E-4</v>
      </c>
    </row>
    <row r="736">
      <c r="A736" s="208">
        <v>42549.0</v>
      </c>
      <c r="B736" s="220">
        <v>0.0070520342554304975</v>
      </c>
      <c r="C736" s="220">
        <v>0.007466666666666664</v>
      </c>
      <c r="D736" s="220">
        <v>0.014518700922097161</v>
      </c>
      <c r="E736" s="222">
        <v>0.0022055736526100465</v>
      </c>
      <c r="F736" s="210">
        <v>32.48331203849193</v>
      </c>
      <c r="G736" s="209">
        <v>3207.43421028756</v>
      </c>
      <c r="H736" s="210">
        <v>8804.175000000001</v>
      </c>
      <c r="I736" s="210">
        <v>0.0</v>
      </c>
      <c r="J736" s="215">
        <v>4.747</v>
      </c>
      <c r="K736" s="221">
        <v>34.719</v>
      </c>
      <c r="L736" s="221">
        <v>189.16</v>
      </c>
      <c r="M736" s="221">
        <v>8.07</v>
      </c>
      <c r="N736" s="221">
        <v>114.73</v>
      </c>
      <c r="O736" s="213">
        <v>0.027338553944958915</v>
      </c>
      <c r="P736" s="214">
        <v>-0.004585077188586843</v>
      </c>
      <c r="Q736" s="214">
        <v>0.016869808817150833</v>
      </c>
      <c r="R736" s="214">
        <v>0.008328998230888581</v>
      </c>
      <c r="S736" s="214">
        <v>0.0211123543838944</v>
      </c>
    </row>
    <row r="737">
      <c r="A737" s="208">
        <v>42548.0</v>
      </c>
      <c r="B737" s="220">
        <v>0.0069716626785898276</v>
      </c>
      <c r="C737" s="220">
        <v>0.007399999999999998</v>
      </c>
      <c r="D737" s="220">
        <v>0.014371662678589825</v>
      </c>
      <c r="E737" s="222">
        <v>0.0022055736526100465</v>
      </c>
      <c r="F737" s="210">
        <v>32.48331203849193</v>
      </c>
      <c r="G737" s="209">
        <v>3174.950898249068</v>
      </c>
      <c r="H737" s="210">
        <v>8804.175000000001</v>
      </c>
      <c r="I737" s="210">
        <v>0.0</v>
      </c>
      <c r="J737" s="215">
        <v>4.732</v>
      </c>
      <c r="K737" s="221">
        <v>34.534</v>
      </c>
      <c r="L737" s="221">
        <v>189.67</v>
      </c>
      <c r="M737" s="221">
        <v>8.0</v>
      </c>
      <c r="N737" s="221">
        <v>116.19</v>
      </c>
      <c r="O737" s="213">
        <v>0.02063553961179095</v>
      </c>
      <c r="P737" s="214">
        <v>-0.0070052911917316925</v>
      </c>
      <c r="Q737" s="214">
        <v>0.013965461616821181</v>
      </c>
      <c r="R737" s="214">
        <v>0.0028963349662625517</v>
      </c>
      <c r="S737" s="214">
        <v>0.021941757657387484</v>
      </c>
    </row>
    <row r="738">
      <c r="A738" s="208">
        <v>42545.0</v>
      </c>
      <c r="B738" s="220">
        <v>0.006891291101749158</v>
      </c>
      <c r="C738" s="220">
        <v>0.0073333333333333315</v>
      </c>
      <c r="D738" s="220">
        <v>0.014224624435082489</v>
      </c>
      <c r="E738" s="222">
        <v>0.0022055736526100465</v>
      </c>
      <c r="F738" s="210">
        <v>32.48331203849193</v>
      </c>
      <c r="G738" s="209">
        <v>3142.467586210576</v>
      </c>
      <c r="H738" s="210">
        <v>8804.175000000001</v>
      </c>
      <c r="I738" s="210">
        <v>0.0</v>
      </c>
      <c r="J738" s="215">
        <v>4.577</v>
      </c>
      <c r="K738" s="221">
        <v>35.138</v>
      </c>
      <c r="L738" s="221">
        <v>186.26</v>
      </c>
      <c r="M738" s="221">
        <v>7.95</v>
      </c>
      <c r="N738" s="221">
        <v>114.63</v>
      </c>
      <c r="O738" s="213">
        <v>0.007539793823737447</v>
      </c>
      <c r="P738" s="214">
        <v>-3.150606586986478E-4</v>
      </c>
      <c r="Q738" s="214">
        <v>0.007220565414657432</v>
      </c>
      <c r="R738" s="214">
        <v>-2.7687732350326993E-5</v>
      </c>
      <c r="S738" s="214">
        <v>0.016483679394956614</v>
      </c>
    </row>
    <row r="739">
      <c r="A739" s="208">
        <v>42544.0</v>
      </c>
      <c r="B739" s="220">
        <v>0.006810919524908488</v>
      </c>
      <c r="C739" s="220">
        <v>0.007266666666666665</v>
      </c>
      <c r="D739" s="220">
        <v>0.014077586191575153</v>
      </c>
      <c r="E739" s="222">
        <v>0.0022055736526100465</v>
      </c>
      <c r="F739" s="210">
        <v>32.48331203849193</v>
      </c>
      <c r="G739" s="209">
        <v>3109.984274172084</v>
      </c>
      <c r="H739" s="210">
        <v>8804.175000000001</v>
      </c>
      <c r="I739" s="210">
        <v>0.0</v>
      </c>
      <c r="J739" s="215">
        <v>4.366</v>
      </c>
      <c r="K739" s="221">
        <v>35.194</v>
      </c>
      <c r="L739" s="221">
        <v>179.68</v>
      </c>
      <c r="M739" s="221">
        <v>7.87</v>
      </c>
      <c r="N739" s="221">
        <v>107.45</v>
      </c>
      <c r="O739" s="213">
        <v>-0.005962197145243486</v>
      </c>
      <c r="P739" s="214">
        <v>7.401549907111911E-5</v>
      </c>
      <c r="Q739" s="214">
        <v>-0.003109314376125679</v>
      </c>
      <c r="R739" s="214">
        <v>-0.005897708696710913</v>
      </c>
      <c r="S739" s="214">
        <v>-0.006844494467504791</v>
      </c>
    </row>
    <row r="740">
      <c r="A740" s="208">
        <v>42543.0</v>
      </c>
      <c r="B740" s="220">
        <v>0.006730547948067818</v>
      </c>
      <c r="C740" s="220">
        <v>0.007199999999999999</v>
      </c>
      <c r="D740" s="220">
        <v>0.013930547948067817</v>
      </c>
      <c r="E740" s="222">
        <v>0.0022055736526100465</v>
      </c>
      <c r="F740" s="210">
        <v>32.48331203849193</v>
      </c>
      <c r="G740" s="209">
        <v>3077.500962133592</v>
      </c>
      <c r="H740" s="210">
        <v>8804.175000000001</v>
      </c>
      <c r="I740" s="210">
        <v>0.0</v>
      </c>
      <c r="J740" s="215">
        <v>4.44</v>
      </c>
      <c r="K740" s="221">
        <v>35.262</v>
      </c>
      <c r="L740" s="221">
        <v>181.73</v>
      </c>
      <c r="M740" s="221">
        <v>7.93</v>
      </c>
      <c r="N740" s="221">
        <v>108.55</v>
      </c>
      <c r="O740" s="213">
        <v>-0.005863034686624709</v>
      </c>
      <c r="P740" s="214">
        <v>0.0038916753905033166</v>
      </c>
      <c r="Q740" s="214">
        <v>-0.0029272478068618213</v>
      </c>
      <c r="R740" s="214">
        <v>-8.595337343465145E-4</v>
      </c>
      <c r="S740" s="214">
        <v>-0.006197927950689112</v>
      </c>
    </row>
    <row r="741">
      <c r="A741" s="208">
        <v>42542.0</v>
      </c>
      <c r="B741" s="220">
        <v>0.006650176371227148</v>
      </c>
      <c r="C741" s="220">
        <v>0.007133333333333333</v>
      </c>
      <c r="D741" s="220">
        <v>0.01378350970456048</v>
      </c>
      <c r="E741" s="222">
        <v>0.0022055736526100465</v>
      </c>
      <c r="F741" s="210">
        <v>32.48331203849193</v>
      </c>
      <c r="G741" s="209">
        <v>3045.0176500951</v>
      </c>
      <c r="H741" s="210">
        <v>8804.175000000001</v>
      </c>
      <c r="I741" s="210">
        <v>0.0</v>
      </c>
      <c r="J741" s="215">
        <v>4.469</v>
      </c>
      <c r="K741" s="221">
        <v>35.171</v>
      </c>
      <c r="L741" s="221">
        <v>182.14</v>
      </c>
      <c r="M741" s="221">
        <v>7.95</v>
      </c>
      <c r="N741" s="221">
        <v>108.87</v>
      </c>
      <c r="O741" s="213">
        <v>-0.009957068959941825</v>
      </c>
      <c r="P741" s="214">
        <v>5.542356250329838E-4</v>
      </c>
      <c r="Q741" s="214">
        <v>-0.00641188816291131</v>
      </c>
      <c r="R741" s="214">
        <v>-4.3813158080707737E-4</v>
      </c>
      <c r="S741" s="214">
        <v>-0.013354181827175848</v>
      </c>
    </row>
    <row r="742">
      <c r="A742" s="208">
        <v>42541.0</v>
      </c>
      <c r="B742" s="220">
        <v>0.006569804794386478</v>
      </c>
      <c r="C742" s="220">
        <v>0.007066666666666666</v>
      </c>
      <c r="D742" s="220">
        <v>0.013636471461053144</v>
      </c>
      <c r="E742" s="222">
        <v>0.0022055736526100465</v>
      </c>
      <c r="F742" s="210">
        <v>32.48331203849193</v>
      </c>
      <c r="G742" s="209">
        <v>3012.5343380566082</v>
      </c>
      <c r="H742" s="210">
        <v>8804.175000000001</v>
      </c>
      <c r="I742" s="210">
        <v>0.0</v>
      </c>
      <c r="J742" s="215">
        <v>4.444</v>
      </c>
      <c r="K742" s="221">
        <v>35.186</v>
      </c>
      <c r="L742" s="221">
        <v>181.35</v>
      </c>
      <c r="M742" s="221">
        <v>8.01</v>
      </c>
      <c r="N742" s="221">
        <v>109.67</v>
      </c>
      <c r="O742" s="213">
        <v>-0.011170017646560412</v>
      </c>
      <c r="P742" s="214">
        <v>-6.422517551209298E-4</v>
      </c>
      <c r="Q742" s="214">
        <v>-0.004087126520957367</v>
      </c>
      <c r="R742" s="214">
        <v>4.0254981358633923E-4</v>
      </c>
      <c r="S742" s="214">
        <v>-0.0021947961710338713</v>
      </c>
    </row>
    <row r="743">
      <c r="A743" s="208">
        <v>42538.0</v>
      </c>
      <c r="B743" s="220">
        <v>0.006489433217545808</v>
      </c>
      <c r="C743" s="220">
        <v>0.007</v>
      </c>
      <c r="D743" s="220">
        <v>0.013489433217545808</v>
      </c>
      <c r="E743" s="220">
        <v>0.0010680170647898567</v>
      </c>
      <c r="F743" s="210">
        <v>78.64786455203694</v>
      </c>
      <c r="G743" s="209">
        <v>2980.0510260181163</v>
      </c>
      <c r="H743" s="134">
        <v>8804.175000000001</v>
      </c>
      <c r="I743" s="210">
        <v>0.0</v>
      </c>
      <c r="J743" s="215">
        <v>4.518</v>
      </c>
      <c r="K743" s="221">
        <v>34.851</v>
      </c>
      <c r="L743" s="221">
        <v>183.32</v>
      </c>
      <c r="M743" s="221">
        <v>7.95</v>
      </c>
      <c r="N743" s="221">
        <v>110.58</v>
      </c>
      <c r="O743" s="213">
        <v>-0.0057645794100941545</v>
      </c>
      <c r="P743" s="214">
        <v>-0.0030782947429293106</v>
      </c>
      <c r="Q743" s="214">
        <v>-0.001319672532512343</v>
      </c>
      <c r="R743" s="214">
        <v>-0.0020943290877869134</v>
      </c>
      <c r="S743" s="214">
        <v>2.0849562581940853E-4</v>
      </c>
    </row>
    <row r="744">
      <c r="A744" s="208">
        <v>42537.0</v>
      </c>
      <c r="B744" s="220">
        <v>0.0064667608626158566</v>
      </c>
      <c r="C744" s="220">
        <v>0.006666666666666666</v>
      </c>
      <c r="D744" s="220">
        <v>0.013133427529282524</v>
      </c>
      <c r="E744" s="222">
        <v>0.0010680170647898567</v>
      </c>
      <c r="F744" s="210">
        <v>78.64786455203694</v>
      </c>
      <c r="G744" s="209">
        <v>2901.4031614660794</v>
      </c>
      <c r="H744" s="210">
        <v>8804.175000000001</v>
      </c>
      <c r="I744" s="210">
        <v>0.0</v>
      </c>
      <c r="J744" s="215">
        <v>4.603</v>
      </c>
      <c r="K744" s="221">
        <v>35.11</v>
      </c>
      <c r="L744" s="221">
        <v>185.65</v>
      </c>
      <c r="M744" s="221">
        <v>7.96</v>
      </c>
      <c r="N744" s="221">
        <v>113.28</v>
      </c>
      <c r="O744" s="213">
        <v>0.004858242136135615</v>
      </c>
      <c r="P744" s="214">
        <v>-0.0017762260416646451</v>
      </c>
      <c r="Q744" s="214">
        <v>0.005996374655640587</v>
      </c>
      <c r="R744" s="214">
        <v>-0.0033417085427135027</v>
      </c>
      <c r="S744" s="214">
        <v>0.010761983674643502</v>
      </c>
    </row>
    <row r="745">
      <c r="A745" s="208">
        <v>42536.0</v>
      </c>
      <c r="B745" s="220">
        <v>0.006444088507685904</v>
      </c>
      <c r="C745" s="220">
        <v>0.006333333333333333</v>
      </c>
      <c r="D745" s="220">
        <v>0.012777421841019238</v>
      </c>
      <c r="E745" s="222">
        <v>0.0010680170647898567</v>
      </c>
      <c r="F745" s="210">
        <v>78.64786455203694</v>
      </c>
      <c r="G745" s="209">
        <v>2822.7552969140424</v>
      </c>
      <c r="H745" s="210">
        <v>8804.175000000001</v>
      </c>
      <c r="I745" s="210">
        <v>0.0</v>
      </c>
      <c r="J745" s="215">
        <v>4.594</v>
      </c>
      <c r="K745" s="221">
        <v>35.251</v>
      </c>
      <c r="L745" s="221">
        <v>183.55</v>
      </c>
      <c r="M745" s="221">
        <v>8.0</v>
      </c>
      <c r="N745" s="221">
        <v>110.32</v>
      </c>
      <c r="O745" s="213">
        <v>0.003912548538306915</v>
      </c>
      <c r="P745" s="214">
        <v>-0.0026568392890036208</v>
      </c>
      <c r="Q745" s="214">
        <v>0.002207555828282063</v>
      </c>
      <c r="R745" s="214">
        <v>-0.001252072968490836</v>
      </c>
      <c r="S745" s="214">
        <v>0.005244268103532808</v>
      </c>
    </row>
    <row r="746">
      <c r="A746" s="208">
        <v>42535.0</v>
      </c>
      <c r="B746" s="164">
        <v>0.006421416152755952</v>
      </c>
      <c r="C746" s="164">
        <v>0.006</v>
      </c>
      <c r="D746" s="164">
        <v>0.012421416152755951</v>
      </c>
      <c r="E746" s="164">
        <v>-0.00599941709951891</v>
      </c>
      <c r="F746" s="210">
        <v>-18.93394078439087</v>
      </c>
      <c r="G746" s="209">
        <v>2744.1074323620055</v>
      </c>
      <c r="H746" s="210">
        <v>8804.175000000001</v>
      </c>
      <c r="I746" s="210">
        <v>0.0</v>
      </c>
      <c r="J746" s="215">
        <v>4.596</v>
      </c>
      <c r="K746" s="221">
        <v>35.173</v>
      </c>
      <c r="L746" s="221">
        <v>184.02</v>
      </c>
      <c r="M746" s="221">
        <v>8.0</v>
      </c>
      <c r="N746" s="221">
        <v>110.44</v>
      </c>
      <c r="O746" s="213">
        <v>0.007435051554115686</v>
      </c>
      <c r="P746" s="214">
        <v>-0.00314111421109442</v>
      </c>
      <c r="Q746" s="214">
        <v>0.00547429938039586</v>
      </c>
      <c r="R746" s="214">
        <v>-0.001252072968490836</v>
      </c>
      <c r="S746" s="214">
        <v>0.006711923816444883</v>
      </c>
    </row>
    <row r="747">
      <c r="A747" s="208">
        <v>42534.0</v>
      </c>
      <c r="B747" s="220">
        <v>0.006521407825606176</v>
      </c>
      <c r="C747" s="220">
        <v>0.005985714285714271</v>
      </c>
      <c r="D747" s="220">
        <v>0.012507122111320497</v>
      </c>
      <c r="E747" s="222">
        <v>-0.00599941709951891</v>
      </c>
      <c r="F747" s="210">
        <v>-18.93394078440315</v>
      </c>
      <c r="G747" s="209">
        <v>2763.0413731463964</v>
      </c>
      <c r="H747" s="210">
        <v>7746.785000000001</v>
      </c>
      <c r="I747" s="210">
        <v>0.0</v>
      </c>
      <c r="J747" s="215">
        <v>4.536</v>
      </c>
      <c r="K747" s="221">
        <v>35.297</v>
      </c>
      <c r="L747" s="221">
        <v>182.32</v>
      </c>
      <c r="M747" s="221">
        <v>8.04</v>
      </c>
      <c r="N747" s="221">
        <v>109.64</v>
      </c>
      <c r="O747" s="213">
        <v>0.007904684597380326</v>
      </c>
      <c r="P747" s="214">
        <v>-7.924267657795822E-4</v>
      </c>
      <c r="Q747" s="214">
        <v>0.005230863032744226</v>
      </c>
      <c r="R747" s="214">
        <v>0.0016599237106291003</v>
      </c>
      <c r="S747" s="214">
        <v>0.008886332306089484</v>
      </c>
    </row>
    <row r="748">
      <c r="A748" s="208">
        <v>42531.0</v>
      </c>
      <c r="B748" s="220">
        <v>0.006621399498456446</v>
      </c>
      <c r="C748" s="220">
        <v>0.005971428571428557</v>
      </c>
      <c r="D748" s="220">
        <v>0.012592828069885053</v>
      </c>
      <c r="E748" s="222">
        <v>-0.00599941709951891</v>
      </c>
      <c r="F748" s="210">
        <v>-18.93394078440315</v>
      </c>
      <c r="G748" s="209">
        <v>2781.9753139307995</v>
      </c>
      <c r="H748" s="210">
        <v>7746.785000000001</v>
      </c>
      <c r="I748" s="210">
        <v>0.0</v>
      </c>
      <c r="J748" s="215">
        <v>4.54</v>
      </c>
      <c r="K748" s="221">
        <v>35.532</v>
      </c>
      <c r="L748" s="221">
        <v>182.33</v>
      </c>
      <c r="M748" s="221">
        <v>8.03</v>
      </c>
      <c r="N748" s="221">
        <v>108.59</v>
      </c>
      <c r="O748" s="213">
        <v>0.007897583200449384</v>
      </c>
      <c r="P748" s="214">
        <v>-3.2556604844447E-4</v>
      </c>
      <c r="Q748" s="214">
        <v>0.0041347535277930225</v>
      </c>
      <c r="R748" s="214">
        <v>0.00666199667911993</v>
      </c>
      <c r="S748" s="214">
        <v>0.009222890643137563</v>
      </c>
    </row>
    <row r="749">
      <c r="A749" s="208">
        <v>42530.0</v>
      </c>
      <c r="B749" s="220">
        <v>0.006721391171306716</v>
      </c>
      <c r="C749" s="220">
        <v>0.005957142857142843</v>
      </c>
      <c r="D749" s="220">
        <v>0.012678534028449609</v>
      </c>
      <c r="E749" s="222">
        <v>-0.00599941709951891</v>
      </c>
      <c r="F749" s="210">
        <v>-18.93394078440315</v>
      </c>
      <c r="G749" s="209">
        <v>2800.9092547152027</v>
      </c>
      <c r="H749" s="210">
        <v>7746.785000000001</v>
      </c>
      <c r="I749" s="210">
        <v>0.0</v>
      </c>
      <c r="J749" s="215">
        <v>4.494</v>
      </c>
      <c r="K749" s="221">
        <v>35.505</v>
      </c>
      <c r="L749" s="221">
        <v>181.01</v>
      </c>
      <c r="M749" s="221">
        <v>8.03</v>
      </c>
      <c r="N749" s="221">
        <v>108.23</v>
      </c>
      <c r="O749" s="213">
        <v>0.0054225204866485965</v>
      </c>
      <c r="P749" s="214">
        <v>0.0012393570441509756</v>
      </c>
      <c r="Q749" s="214">
        <v>0.00268413532794202</v>
      </c>
      <c r="R749" s="214">
        <v>0.006661996679119893</v>
      </c>
      <c r="S749" s="214">
        <v>0.006949997807044343</v>
      </c>
    </row>
    <row r="750">
      <c r="A750" s="208">
        <v>42529.0</v>
      </c>
      <c r="B750" s="220">
        <v>0.0068213828441569865</v>
      </c>
      <c r="C750" s="220">
        <v>0.005942857142857129</v>
      </c>
      <c r="D750" s="220">
        <v>0.012764239987014165</v>
      </c>
      <c r="E750" s="222">
        <v>-0.00599941709951891</v>
      </c>
      <c r="F750" s="210">
        <v>-18.93394078440315</v>
      </c>
      <c r="G750" s="209">
        <v>2819.843195499606</v>
      </c>
      <c r="H750" s="210">
        <v>7746.785000000001</v>
      </c>
      <c r="I750" s="210">
        <v>0.0</v>
      </c>
      <c r="J750" s="215">
        <v>4.429</v>
      </c>
      <c r="K750" s="221">
        <v>35.38</v>
      </c>
      <c r="L750" s="221">
        <v>179.47</v>
      </c>
      <c r="M750" s="221">
        <v>8.0</v>
      </c>
      <c r="N750" s="221">
        <v>106.74</v>
      </c>
      <c r="O750" s="213">
        <v>-0.0013590634500594279</v>
      </c>
      <c r="P750" s="214">
        <v>0.0018845777828643644</v>
      </c>
      <c r="Q750" s="214">
        <v>-0.001562738498881296</v>
      </c>
      <c r="R750" s="214">
        <v>0.008805061414654758</v>
      </c>
      <c r="S750" s="214">
        <v>0.0034618418653520333</v>
      </c>
    </row>
    <row r="751">
      <c r="A751" s="208">
        <v>42528.0</v>
      </c>
      <c r="B751" s="220">
        <v>0.0069213745170072566</v>
      </c>
      <c r="C751" s="220">
        <v>0.005928571428571415</v>
      </c>
      <c r="D751" s="220">
        <v>0.012849945945578721</v>
      </c>
      <c r="E751" s="222">
        <v>-0.00599941709951891</v>
      </c>
      <c r="F751" s="210">
        <v>-18.93394078440315</v>
      </c>
      <c r="G751" s="209">
        <v>2838.777136284009</v>
      </c>
      <c r="H751" s="210">
        <v>7746.785000000001</v>
      </c>
      <c r="I751" s="210">
        <v>0.0</v>
      </c>
      <c r="J751" s="215">
        <v>4.433</v>
      </c>
      <c r="K751" s="221">
        <v>35.566</v>
      </c>
      <c r="L751" s="221">
        <v>180.07</v>
      </c>
      <c r="M751" s="221">
        <v>7.87</v>
      </c>
      <c r="N751" s="221">
        <v>105.61</v>
      </c>
      <c r="O751" s="213">
        <v>-0.0027820260097395724</v>
      </c>
      <c r="P751" s="214">
        <v>-0.0021335078051268144</v>
      </c>
      <c r="Q751" s="214">
        <v>-0.0030919414109190266</v>
      </c>
      <c r="R751" s="214">
        <v>-3.479737866995958E-5</v>
      </c>
      <c r="S751" s="214">
        <v>0.0027731201754871058</v>
      </c>
    </row>
    <row r="752">
      <c r="A752" s="208">
        <v>42527.0</v>
      </c>
      <c r="B752" s="220">
        <v>0.007021366189857527</v>
      </c>
      <c r="C752" s="220">
        <v>0.005914285714285701</v>
      </c>
      <c r="D752" s="220">
        <v>0.012935651904143277</v>
      </c>
      <c r="E752" s="222">
        <v>-0.00599941709951891</v>
      </c>
      <c r="F752" s="210">
        <v>-18.93394078440315</v>
      </c>
      <c r="G752" s="209">
        <v>2857.711077068412</v>
      </c>
      <c r="H752" s="210">
        <v>7746.785000000001</v>
      </c>
      <c r="I752" s="210">
        <v>0.0</v>
      </c>
      <c r="J752" s="215">
        <v>4.421</v>
      </c>
      <c r="K752" s="221">
        <v>35.372</v>
      </c>
      <c r="L752" s="221">
        <v>179.55</v>
      </c>
      <c r="M752" s="221">
        <v>7.87</v>
      </c>
      <c r="N752" s="221">
        <v>105.98</v>
      </c>
      <c r="O752" s="213">
        <v>-0.001820069104937927</v>
      </c>
      <c r="P752" s="214">
        <v>-0.003076197457047347</v>
      </c>
      <c r="Q752" s="214">
        <v>-0.0030641041507321423</v>
      </c>
      <c r="R752" s="214">
        <v>0.004624245399813802</v>
      </c>
      <c r="S752" s="214">
        <v>0.004545668501727144</v>
      </c>
    </row>
    <row r="753">
      <c r="A753" s="208">
        <v>42524.0</v>
      </c>
      <c r="B753" s="220">
        <v>0.007121357862707797</v>
      </c>
      <c r="C753" s="220">
        <v>0.005899999999999987</v>
      </c>
      <c r="D753" s="220">
        <v>0.013021357862707833</v>
      </c>
      <c r="E753" s="222">
        <v>-0.00599941709951891</v>
      </c>
      <c r="F753" s="210">
        <v>-18.93394078440315</v>
      </c>
      <c r="G753" s="209">
        <v>2876.6450178528153</v>
      </c>
      <c r="H753" s="210">
        <v>7746.785000000001</v>
      </c>
      <c r="I753" s="210">
        <v>0.0</v>
      </c>
      <c r="J753" s="215">
        <v>4.447</v>
      </c>
      <c r="K753" s="221">
        <v>35.179</v>
      </c>
      <c r="L753" s="221">
        <v>180.31</v>
      </c>
      <c r="M753" s="221">
        <v>7.79</v>
      </c>
      <c r="N753" s="221">
        <v>105.63</v>
      </c>
      <c r="O753" s="213">
        <v>0.002165018599406654</v>
      </c>
      <c r="P753" s="214">
        <v>-0.006613271161147442</v>
      </c>
      <c r="Q753" s="214">
        <v>-0.0022602334241241806</v>
      </c>
      <c r="R753" s="214">
        <v>-4.8236240659356905E-4</v>
      </c>
      <c r="S753" s="214">
        <v>0.0011809456341384712</v>
      </c>
    </row>
    <row r="754">
      <c r="A754" s="208">
        <v>42523.0</v>
      </c>
      <c r="B754" s="220">
        <v>0.007221349535558067</v>
      </c>
      <c r="C754" s="220">
        <v>0.005885714285714273</v>
      </c>
      <c r="D754" s="220">
        <v>0.013107063821272389</v>
      </c>
      <c r="E754" s="222">
        <v>-0.00599941709951891</v>
      </c>
      <c r="F754" s="210">
        <v>-18.93394078440315</v>
      </c>
      <c r="G754" s="209">
        <v>2895.5789586372184</v>
      </c>
      <c r="H754" s="210">
        <v>7746.785000000001</v>
      </c>
      <c r="I754" s="210">
        <v>0.0</v>
      </c>
      <c r="J754" s="215">
        <v>4.47</v>
      </c>
      <c r="K754" s="221">
        <v>35.788</v>
      </c>
      <c r="L754" s="221">
        <v>181.74</v>
      </c>
      <c r="M754" s="221">
        <v>7.87</v>
      </c>
      <c r="N754" s="221">
        <v>104.73</v>
      </c>
      <c r="O754" s="213">
        <v>0.0044926186630504334</v>
      </c>
      <c r="P754" s="214">
        <v>-0.0019669631776679055</v>
      </c>
      <c r="Q754" s="214">
        <v>0.0011362218151565646</v>
      </c>
      <c r="R754" s="214">
        <v>0.003795530574765338</v>
      </c>
      <c r="S754" s="214">
        <v>2.094102946541184E-4</v>
      </c>
    </row>
    <row r="755">
      <c r="A755" s="208">
        <v>42522.0</v>
      </c>
      <c r="B755" s="220">
        <v>0.007321341208408337</v>
      </c>
      <c r="C755" s="220">
        <v>0.005871428571428559</v>
      </c>
      <c r="D755" s="220">
        <v>0.013192769779836945</v>
      </c>
      <c r="E755" s="222">
        <v>-0.00599941709951891</v>
      </c>
      <c r="F755" s="210">
        <v>-18.93394078440315</v>
      </c>
      <c r="G755" s="209">
        <v>2914.5128994216216</v>
      </c>
      <c r="H755" s="210">
        <v>7746.785000000001</v>
      </c>
      <c r="I755" s="210">
        <v>0.0</v>
      </c>
      <c r="J755" s="215">
        <v>4.445</v>
      </c>
      <c r="K755" s="221">
        <v>35.694</v>
      </c>
      <c r="L755" s="221">
        <v>181.2</v>
      </c>
      <c r="M755" s="221">
        <v>7.76</v>
      </c>
      <c r="N755" s="221">
        <v>104.54</v>
      </c>
      <c r="O755" s="213">
        <v>0.0018724803765651037</v>
      </c>
      <c r="P755" s="214">
        <v>-0.0019072782615539758</v>
      </c>
      <c r="Q755" s="214">
        <v>-8.664243271015263E-4</v>
      </c>
      <c r="R755" s="214">
        <v>-8.635122037183862E-4</v>
      </c>
      <c r="S755" s="214">
        <v>-0.002465514881405969</v>
      </c>
    </row>
    <row r="756">
      <c r="A756" s="208">
        <v>42521.0</v>
      </c>
      <c r="B756" s="220">
        <v>0.007421332881258607</v>
      </c>
      <c r="C756" s="220">
        <v>0.005857142857142845</v>
      </c>
      <c r="D756" s="220">
        <v>0.013278475738401501</v>
      </c>
      <c r="E756" s="222">
        <v>-0.00599941709951891</v>
      </c>
      <c r="F756" s="210">
        <v>-18.93394078440315</v>
      </c>
      <c r="G756" s="209">
        <v>2933.4468402060247</v>
      </c>
      <c r="H756" s="210">
        <v>7746.785000000001</v>
      </c>
      <c r="I756" s="210">
        <v>0.0</v>
      </c>
      <c r="J756" s="215">
        <v>4.418</v>
      </c>
      <c r="K756" s="221">
        <v>35.878</v>
      </c>
      <c r="L756" s="221">
        <v>181.53</v>
      </c>
      <c r="M756" s="221">
        <v>7.8</v>
      </c>
      <c r="N756" s="221">
        <v>105.25</v>
      </c>
      <c r="O756" s="213">
        <v>8.281256267911689E-4</v>
      </c>
      <c r="P756" s="214">
        <v>0.00239241907824043</v>
      </c>
      <c r="Q756" s="214">
        <v>0.0012635475271119967</v>
      </c>
      <c r="R756" s="214">
        <v>0.0025684969129699344</v>
      </c>
      <c r="S756" s="214">
        <v>-6.131122061446467E-4</v>
      </c>
    </row>
    <row r="757">
      <c r="A757" s="208">
        <v>42520.0</v>
      </c>
      <c r="B757" s="220">
        <v>0.007521324554108877</v>
      </c>
      <c r="C757" s="220">
        <v>0.0058428571428571306</v>
      </c>
      <c r="D757" s="220">
        <v>0.013364181696966057</v>
      </c>
      <c r="E757" s="222">
        <v>-0.00599941709951891</v>
      </c>
      <c r="F757" s="210">
        <v>-18.93394078440315</v>
      </c>
      <c r="G757" s="209">
        <v>2952.380780990428</v>
      </c>
      <c r="H757" s="210">
        <v>7746.785000000001</v>
      </c>
      <c r="I757" s="210">
        <v>0.0</v>
      </c>
      <c r="J757" s="215">
        <v>4.41</v>
      </c>
      <c r="K757" s="221">
        <v>35.999</v>
      </c>
      <c r="L757" s="221">
        <v>181.12</v>
      </c>
      <c r="M757" s="221">
        <v>7.78</v>
      </c>
      <c r="N757" s="221">
        <v>104.66</v>
      </c>
      <c r="O757" s="213">
        <v>-4.5620093586181315E-4</v>
      </c>
      <c r="P757" s="214">
        <v>0.002992549010946329</v>
      </c>
      <c r="Q757" s="214">
        <v>3.263625755818289E-4</v>
      </c>
      <c r="R757" s="214">
        <v>0.0034364489437127186</v>
      </c>
      <c r="S757" s="214">
        <v>-0.003746221346051737</v>
      </c>
    </row>
    <row r="758">
      <c r="A758" s="208">
        <v>42517.0</v>
      </c>
      <c r="B758" s="220">
        <v>0.007621316226959147</v>
      </c>
      <c r="C758" s="220">
        <v>0.0058285714285714165</v>
      </c>
      <c r="D758" s="220">
        <v>0.013449887655530613</v>
      </c>
      <c r="E758" s="222">
        <v>-0.00599941709951891</v>
      </c>
      <c r="F758" s="210">
        <v>-18.93394078440315</v>
      </c>
      <c r="G758" s="209">
        <v>2971.314721774831</v>
      </c>
      <c r="H758" s="210">
        <v>7746.785000000001</v>
      </c>
      <c r="I758" s="210">
        <v>0.0</v>
      </c>
      <c r="J758" s="215">
        <v>4.42</v>
      </c>
      <c r="K758" s="221">
        <v>35.898</v>
      </c>
      <c r="L758" s="221">
        <v>181.67</v>
      </c>
      <c r="M758" s="221">
        <v>7.78</v>
      </c>
      <c r="N758" s="221">
        <v>105.31</v>
      </c>
      <c r="O758" s="213">
        <v>0.0015828695232397532</v>
      </c>
      <c r="P758" s="214">
        <v>0.004486608692685838</v>
      </c>
      <c r="Q758" s="214">
        <v>0.001578072905083457</v>
      </c>
      <c r="R758" s="214">
        <v>0.004302249809513621</v>
      </c>
      <c r="S758" s="214">
        <v>-0.004321528437697397</v>
      </c>
    </row>
    <row r="759">
      <c r="A759" s="208">
        <v>42516.0</v>
      </c>
      <c r="B759" s="220">
        <v>0.007721307899809417</v>
      </c>
      <c r="C759" s="220">
        <v>0.005814285714285702</v>
      </c>
      <c r="D759" s="220">
        <v>0.013535593614095169</v>
      </c>
      <c r="E759" s="222">
        <v>-0.00599941709951891</v>
      </c>
      <c r="F759" s="210">
        <v>-18.93394078440315</v>
      </c>
      <c r="G759" s="209">
        <v>2990.248662559234</v>
      </c>
      <c r="H759" s="210">
        <v>7746.785000000001</v>
      </c>
      <c r="I759" s="210">
        <v>0.0</v>
      </c>
      <c r="J759" s="215">
        <v>4.407</v>
      </c>
      <c r="K759" s="221">
        <v>35.62</v>
      </c>
      <c r="L759" s="221">
        <v>180.84</v>
      </c>
      <c r="M759" s="221">
        <v>7.74</v>
      </c>
      <c r="N759" s="221">
        <v>105.44</v>
      </c>
      <c r="O759" s="213">
        <v>9.055765555867623E-4</v>
      </c>
      <c r="P759" s="214">
        <v>0.00705355288982612</v>
      </c>
      <c r="Q759" s="214">
        <v>0.0011428630203394647</v>
      </c>
      <c r="R759" s="214">
        <v>0.004758592640133341</v>
      </c>
      <c r="S759" s="214">
        <v>-0.006628455079938478</v>
      </c>
    </row>
    <row r="760">
      <c r="A760" s="208">
        <v>42515.0</v>
      </c>
      <c r="B760" s="220">
        <v>0.007821299572659687</v>
      </c>
      <c r="C760" s="220">
        <v>0.005799999999999988</v>
      </c>
      <c r="D760" s="220">
        <v>0.013621299572659725</v>
      </c>
      <c r="E760" s="222">
        <v>-0.00599941709951891</v>
      </c>
      <c r="F760" s="210">
        <v>-18.93394078440315</v>
      </c>
      <c r="G760" s="209">
        <v>3009.1826033436373</v>
      </c>
      <c r="H760" s="210">
        <v>7746.785000000001</v>
      </c>
      <c r="I760" s="210">
        <v>0.0</v>
      </c>
      <c r="J760" s="215">
        <v>4.416</v>
      </c>
      <c r="K760" s="221">
        <v>35.676</v>
      </c>
      <c r="L760" s="221">
        <v>180.94</v>
      </c>
      <c r="M760" s="221">
        <v>7.7</v>
      </c>
      <c r="N760" s="221">
        <v>105.84</v>
      </c>
      <c r="O760" s="213">
        <v>0.0015104679877456784</v>
      </c>
      <c r="P760" s="214">
        <v>0.0066981207962911364</v>
      </c>
      <c r="Q760" s="214">
        <v>0.0014011716717961347</v>
      </c>
      <c r="R760" s="214">
        <v>0.0012884517686696146</v>
      </c>
      <c r="S760" s="214">
        <v>-0.005890799563583145</v>
      </c>
    </row>
    <row r="761">
      <c r="A761" s="208">
        <v>42514.0</v>
      </c>
      <c r="B761" s="220">
        <v>0.007921291245509958</v>
      </c>
      <c r="C761" s="220">
        <v>0.005785714285714274</v>
      </c>
      <c r="D761" s="220">
        <v>0.013707005531224281</v>
      </c>
      <c r="E761" s="222">
        <v>-0.00599941709951891</v>
      </c>
      <c r="F761" s="210">
        <v>-18.93394078440315</v>
      </c>
      <c r="G761" s="209">
        <v>3028.1165441280405</v>
      </c>
      <c r="H761" s="210">
        <v>7746.785000000001</v>
      </c>
      <c r="I761" s="210">
        <v>0.0</v>
      </c>
      <c r="J761" s="215">
        <v>4.399</v>
      </c>
      <c r="K761" s="221">
        <v>35.416</v>
      </c>
      <c r="L761" s="221">
        <v>180.81</v>
      </c>
      <c r="M761" s="221">
        <v>7.68</v>
      </c>
      <c r="N761" s="221">
        <v>106.68</v>
      </c>
      <c r="O761" s="213">
        <v>7.580409899917706E-4</v>
      </c>
      <c r="P761" s="214">
        <v>0.00899792902033647</v>
      </c>
      <c r="Q761" s="214">
        <v>0.0011431815829228142</v>
      </c>
      <c r="R761" s="214">
        <v>0.0034648064873971838</v>
      </c>
      <c r="S761" s="214">
        <v>-0.0035237967324139863</v>
      </c>
    </row>
    <row r="762">
      <c r="A762" s="208">
        <v>42513.0</v>
      </c>
      <c r="B762" s="220">
        <v>0.00802128291836023</v>
      </c>
      <c r="C762" s="220">
        <v>0.00577142857142856</v>
      </c>
      <c r="D762" s="220">
        <v>0.013792711489788837</v>
      </c>
      <c r="E762" s="222">
        <v>-0.00599941709951891</v>
      </c>
      <c r="F762" s="210">
        <v>-18.93394078440315</v>
      </c>
      <c r="G762" s="209">
        <v>3047.0504849124436</v>
      </c>
      <c r="H762" s="210">
        <v>7746.785000000001</v>
      </c>
      <c r="I762" s="210">
        <v>0.0</v>
      </c>
      <c r="J762" s="215">
        <v>4.395</v>
      </c>
      <c r="K762" s="221">
        <v>34.869</v>
      </c>
      <c r="L762" s="221">
        <v>180.22</v>
      </c>
      <c r="M762" s="221">
        <v>7.63</v>
      </c>
      <c r="N762" s="221">
        <v>107.55</v>
      </c>
      <c r="O762" s="213">
        <v>0.002429575354363056</v>
      </c>
      <c r="P762" s="214">
        <v>0.0021183719022720795</v>
      </c>
      <c r="Q762" s="214">
        <v>0.0011469241476053105</v>
      </c>
      <c r="R762" s="214">
        <v>-0.0030912973137724085</v>
      </c>
      <c r="S762" s="214">
        <v>-0.0043301059474723695</v>
      </c>
    </row>
    <row r="763">
      <c r="A763" s="208">
        <v>42510.0</v>
      </c>
      <c r="B763" s="220">
        <v>0.0081212745912105</v>
      </c>
      <c r="C763" s="220">
        <v>0.005757142857142846</v>
      </c>
      <c r="D763" s="220">
        <v>0.013878417448353393</v>
      </c>
      <c r="E763" s="222">
        <v>-0.00599941709951891</v>
      </c>
      <c r="F763" s="210">
        <v>-18.93394078440315</v>
      </c>
      <c r="G763" s="209">
        <v>3065.9844256968468</v>
      </c>
      <c r="H763" s="210">
        <v>7746.785000000001</v>
      </c>
      <c r="I763" s="210">
        <v>0.0</v>
      </c>
      <c r="J763" s="215">
        <v>4.396</v>
      </c>
      <c r="K763" s="221">
        <v>34.961</v>
      </c>
      <c r="L763" s="221">
        <v>180.18</v>
      </c>
      <c r="M763" s="221">
        <v>7.67</v>
      </c>
      <c r="N763" s="221">
        <v>107.72</v>
      </c>
      <c r="O763" s="213">
        <v>-9.218192282682096E-5</v>
      </c>
      <c r="P763" s="214">
        <v>0.0034115862104685535</v>
      </c>
      <c r="Q763" s="214">
        <v>0.0010915002604269624</v>
      </c>
      <c r="R763" s="214">
        <v>-4.780084619513773E-4</v>
      </c>
      <c r="S763" s="214">
        <v>-0.003986789673275333</v>
      </c>
    </row>
    <row r="764">
      <c r="A764" s="208">
        <v>42509.0</v>
      </c>
      <c r="B764" s="220">
        <v>0.008221266264060771</v>
      </c>
      <c r="C764" s="220">
        <v>0.005742857142857132</v>
      </c>
      <c r="D764" s="220">
        <v>0.01396412340691795</v>
      </c>
      <c r="E764" s="222">
        <v>-0.00599941709951891</v>
      </c>
      <c r="F764" s="210">
        <v>-18.93394078440315</v>
      </c>
      <c r="G764" s="209">
        <v>3084.91836648125</v>
      </c>
      <c r="H764" s="210">
        <v>7746.785000000001</v>
      </c>
      <c r="I764" s="210">
        <v>0.0</v>
      </c>
      <c r="J764" s="215">
        <v>4.389</v>
      </c>
      <c r="K764" s="221">
        <v>34.465</v>
      </c>
      <c r="L764" s="221">
        <v>180.19</v>
      </c>
      <c r="M764" s="221">
        <v>7.6</v>
      </c>
      <c r="N764" s="221">
        <v>107.81</v>
      </c>
      <c r="O764" s="213">
        <v>-0.002366580554976553</v>
      </c>
      <c r="P764" s="214">
        <v>-0.0016161354797081806</v>
      </c>
      <c r="Q764" s="214">
        <v>8.872707282837252E-4</v>
      </c>
      <c r="R764" s="214">
        <v>-4.8196960203542954E-4</v>
      </c>
      <c r="S764" s="214">
        <v>-0.0027909428265594873</v>
      </c>
    </row>
    <row r="765">
      <c r="A765" s="208">
        <v>42508.0</v>
      </c>
      <c r="B765" s="220">
        <v>0.008321257936911042</v>
      </c>
      <c r="C765" s="220">
        <v>0.005728571428571418</v>
      </c>
      <c r="D765" s="220">
        <v>0.014049829365482505</v>
      </c>
      <c r="E765" s="222">
        <v>-0.00599941709951891</v>
      </c>
      <c r="F765" s="210">
        <v>-18.93394078440315</v>
      </c>
      <c r="G765" s="209">
        <v>3103.852307265653</v>
      </c>
      <c r="H765" s="210">
        <v>7746.785000000001</v>
      </c>
      <c r="I765" s="210">
        <v>0.0</v>
      </c>
      <c r="J765" s="215">
        <v>4.363</v>
      </c>
      <c r="K765" s="221">
        <v>34.644</v>
      </c>
      <c r="L765" s="221">
        <v>179.6</v>
      </c>
      <c r="M765" s="221">
        <v>7.7</v>
      </c>
      <c r="N765" s="221">
        <v>108.95</v>
      </c>
      <c r="O765" s="213">
        <v>-0.0043412141085574785</v>
      </c>
      <c r="P765" s="214">
        <v>-0.0017040373846708794</v>
      </c>
      <c r="Q765" s="214">
        <v>-0.001854977571117596</v>
      </c>
      <c r="R765" s="214">
        <v>0.003903995310245323</v>
      </c>
      <c r="S765" s="214">
        <v>0.0010710653984342677</v>
      </c>
    </row>
    <row r="766">
      <c r="A766" s="208">
        <v>42507.0</v>
      </c>
      <c r="B766" s="220">
        <v>0.008421249609761313</v>
      </c>
      <c r="C766" s="220">
        <v>0.005714285714285704</v>
      </c>
      <c r="D766" s="220">
        <v>0.014135535324047061</v>
      </c>
      <c r="E766" s="222">
        <v>-0.00599941709951891</v>
      </c>
      <c r="F766" s="210">
        <v>-18.93394078440315</v>
      </c>
      <c r="G766" s="209">
        <v>3122.786248050056</v>
      </c>
      <c r="H766" s="210">
        <v>7746.785000000001</v>
      </c>
      <c r="I766" s="210">
        <v>0.0</v>
      </c>
      <c r="J766" s="215">
        <v>4.397</v>
      </c>
      <c r="K766" s="221">
        <v>34.601</v>
      </c>
      <c r="L766" s="221">
        <v>179.59</v>
      </c>
      <c r="M766" s="221">
        <v>7.68</v>
      </c>
      <c r="N766" s="221">
        <v>109.01</v>
      </c>
      <c r="O766" s="213">
        <v>0.0027812738083109836</v>
      </c>
      <c r="P766" s="214">
        <v>0.0021421120488940293</v>
      </c>
      <c r="Q766" s="214">
        <v>0.0013195228362516964</v>
      </c>
      <c r="R766" s="214">
        <v>0.008294436231566596</v>
      </c>
      <c r="S766" s="214">
        <v>0.0046923276790744595</v>
      </c>
    </row>
    <row r="767">
      <c r="A767" s="208">
        <v>42506.0</v>
      </c>
      <c r="B767" s="220">
        <v>0.008521241282611584</v>
      </c>
      <c r="C767" s="220">
        <v>0.00569999999999999</v>
      </c>
      <c r="D767" s="220">
        <v>0.014221241282611617</v>
      </c>
      <c r="E767" s="222">
        <v>-0.00599941709951891</v>
      </c>
      <c r="F767" s="210">
        <v>-18.93394078440315</v>
      </c>
      <c r="G767" s="209">
        <v>3141.7201888344593</v>
      </c>
      <c r="H767" s="210">
        <v>7746.785000000001</v>
      </c>
      <c r="I767" s="210">
        <v>0.0</v>
      </c>
      <c r="J767" s="215">
        <v>4.42</v>
      </c>
      <c r="K767" s="221">
        <v>34.632</v>
      </c>
      <c r="L767" s="221">
        <v>179.71</v>
      </c>
      <c r="M767" s="221">
        <v>7.61</v>
      </c>
      <c r="N767" s="221">
        <v>108.71</v>
      </c>
      <c r="O767" s="213">
        <v>0.00605393886559565</v>
      </c>
      <c r="P767" s="214">
        <v>9.183747150054433E-4</v>
      </c>
      <c r="Q767" s="214">
        <v>-4.331114714007563E-4</v>
      </c>
      <c r="R767" s="214">
        <v>0.0048112039589067734</v>
      </c>
      <c r="S767" s="214">
        <v>0.0038990347342742946</v>
      </c>
    </row>
    <row r="768">
      <c r="A768" s="208">
        <v>42503.0</v>
      </c>
      <c r="B768" s="220">
        <v>0.008621232955461855</v>
      </c>
      <c r="C768" s="220">
        <v>0.005685714285714276</v>
      </c>
      <c r="D768" s="220">
        <v>0.014306947241176173</v>
      </c>
      <c r="E768" s="222">
        <v>-0.00599941709951891</v>
      </c>
      <c r="F768" s="210">
        <v>-18.93394078440315</v>
      </c>
      <c r="G768" s="209">
        <v>3160.6541296188625</v>
      </c>
      <c r="H768" s="210">
        <v>7746.785000000001</v>
      </c>
      <c r="I768" s="210">
        <v>0.0</v>
      </c>
      <c r="J768" s="215">
        <v>4.42</v>
      </c>
      <c r="K768" s="221">
        <v>34.821</v>
      </c>
      <c r="L768" s="221">
        <v>180.6</v>
      </c>
      <c r="M768" s="221">
        <v>7.61</v>
      </c>
      <c r="N768" s="221">
        <v>108.6</v>
      </c>
      <c r="O768" s="213">
        <v>0.005285889710449743</v>
      </c>
      <c r="P768" s="214">
        <v>0.0012510006991821587</v>
      </c>
      <c r="Q768" s="214">
        <v>-2.352712723596717E-5</v>
      </c>
      <c r="R768" s="214">
        <v>0.010588981736684544</v>
      </c>
      <c r="S768" s="214">
        <v>0.005795550837434845</v>
      </c>
    </row>
    <row r="769">
      <c r="A769" s="208">
        <v>42502.0</v>
      </c>
      <c r="B769" s="220">
        <v>0.008721224628312126</v>
      </c>
      <c r="C769" s="220">
        <v>0.005671428571428562</v>
      </c>
      <c r="D769" s="220">
        <v>0.01439265319974073</v>
      </c>
      <c r="E769" s="222">
        <v>-0.00599941709951891</v>
      </c>
      <c r="F769" s="210">
        <v>-18.93394078440315</v>
      </c>
      <c r="G769" s="209">
        <v>3179.5880704032656</v>
      </c>
      <c r="H769" s="210">
        <v>7746.785000000001</v>
      </c>
      <c r="I769" s="210">
        <v>0.0</v>
      </c>
      <c r="J769" s="215">
        <v>4.36</v>
      </c>
      <c r="K769" s="221">
        <v>34.376</v>
      </c>
      <c r="L769" s="221">
        <v>178.87</v>
      </c>
      <c r="M769" s="221">
        <v>7.49</v>
      </c>
      <c r="N769" s="221">
        <v>107.48</v>
      </c>
      <c r="O769" s="213">
        <v>0.001527286357525896</v>
      </c>
      <c r="P769" s="214">
        <v>7.965794689290817E-4</v>
      </c>
      <c r="Q769" s="214">
        <v>-0.0029028183786202386</v>
      </c>
      <c r="R769" s="214">
        <v>0.008951012224551006</v>
      </c>
      <c r="S769" s="214">
        <v>0.0012021868380350427</v>
      </c>
    </row>
    <row r="770">
      <c r="A770" s="208">
        <v>42501.0</v>
      </c>
      <c r="B770" s="220">
        <v>0.008821216301162397</v>
      </c>
      <c r="C770" s="220">
        <v>0.005657142857142848</v>
      </c>
      <c r="D770" s="220">
        <v>0.014478359158305285</v>
      </c>
      <c r="E770" s="222">
        <v>-0.00599941709951891</v>
      </c>
      <c r="F770" s="210">
        <v>-18.93394078440315</v>
      </c>
      <c r="G770" s="209">
        <v>3198.522011187669</v>
      </c>
      <c r="H770" s="210">
        <v>7746.785000000001</v>
      </c>
      <c r="I770" s="210">
        <v>0.0</v>
      </c>
      <c r="J770" s="215">
        <v>4.34</v>
      </c>
      <c r="K770" s="221">
        <v>34.533</v>
      </c>
      <c r="L770" s="221">
        <v>179.93</v>
      </c>
      <c r="M770" s="221">
        <v>7.5</v>
      </c>
      <c r="N770" s="221">
        <v>107.44</v>
      </c>
      <c r="O770" s="213">
        <v>7.662835249041914E-4</v>
      </c>
      <c r="P770" s="214">
        <v>0.004438077171061557</v>
      </c>
      <c r="Q770" s="214">
        <v>-2.25427880261068E-4</v>
      </c>
      <c r="R770" s="214">
        <v>0.002537339490352212</v>
      </c>
      <c r="S770" s="214">
        <v>-0.005582931152183594</v>
      </c>
    </row>
    <row r="771">
      <c r="A771" s="208">
        <v>42500.0</v>
      </c>
      <c r="B771" s="220">
        <v>0.008921207974012668</v>
      </c>
      <c r="C771" s="220">
        <v>0.0056428571428571335</v>
      </c>
      <c r="D771" s="220">
        <v>0.014564065116869841</v>
      </c>
      <c r="E771" s="222">
        <v>-0.00599941709951891</v>
      </c>
      <c r="F771" s="210">
        <v>-18.93394078440315</v>
      </c>
      <c r="G771" s="209">
        <v>3217.455951972072</v>
      </c>
      <c r="H771" s="210">
        <v>7746.785000000001</v>
      </c>
      <c r="I771" s="210">
        <v>0.0</v>
      </c>
      <c r="J771" s="215">
        <v>4.35</v>
      </c>
      <c r="K771" s="221">
        <v>34.687</v>
      </c>
      <c r="L771" s="221">
        <v>180.6</v>
      </c>
      <c r="M771" s="221">
        <v>7.37</v>
      </c>
      <c r="N771" s="221">
        <v>106.72</v>
      </c>
      <c r="O771" s="213">
        <v>0.0023041556207736846</v>
      </c>
      <c r="P771" s="214">
        <v>0.004095172513882102</v>
      </c>
      <c r="Q771" s="214">
        <v>0.0011268758139681978</v>
      </c>
      <c r="R771" s="214">
        <v>-0.0018963522659202203</v>
      </c>
      <c r="S771" s="214">
        <v>-0.004063188506360375</v>
      </c>
    </row>
    <row r="772">
      <c r="A772" s="208">
        <v>42499.0</v>
      </c>
      <c r="B772" s="220">
        <v>0.009021199646862939</v>
      </c>
      <c r="C772" s="220">
        <v>0.005628571428571419</v>
      </c>
      <c r="D772" s="220">
        <v>0.014649771075434397</v>
      </c>
      <c r="E772" s="222">
        <v>-0.00599941709951891</v>
      </c>
      <c r="F772" s="210">
        <v>-18.93394078440315</v>
      </c>
      <c r="G772" s="209">
        <v>3236.389892756475</v>
      </c>
      <c r="H772" s="210">
        <v>7746.785000000001</v>
      </c>
      <c r="I772" s="210">
        <v>0.0</v>
      </c>
      <c r="J772" s="215">
        <v>4.34</v>
      </c>
      <c r="K772" s="221">
        <v>34.291</v>
      </c>
      <c r="L772" s="221">
        <v>180.43</v>
      </c>
      <c r="M772" s="221">
        <v>7.29</v>
      </c>
      <c r="N772" s="221">
        <v>107.09</v>
      </c>
      <c r="O772" s="213">
        <v>0.0053958967872276276</v>
      </c>
      <c r="P772" s="214">
        <v>0.0037436916284143695</v>
      </c>
      <c r="Q772" s="214">
        <v>0.00407254723482627</v>
      </c>
      <c r="R772" s="214">
        <v>-0.004614939430697425</v>
      </c>
      <c r="S772" s="214">
        <v>-0.0013025780708374086</v>
      </c>
    </row>
    <row r="773">
      <c r="A773" s="208">
        <v>42496.0</v>
      </c>
      <c r="B773" s="220">
        <v>0.00912119131971321</v>
      </c>
      <c r="C773" s="220">
        <v>0.005614285714285705</v>
      </c>
      <c r="D773" s="220">
        <v>0.014735477033998953</v>
      </c>
      <c r="E773" s="222">
        <v>-0.00599941709951891</v>
      </c>
      <c r="F773" s="210">
        <v>-18.93394078440315</v>
      </c>
      <c r="G773" s="209">
        <v>3255.3238335408782</v>
      </c>
      <c r="H773" s="210">
        <v>7746.785000000001</v>
      </c>
      <c r="I773" s="210">
        <v>0.0</v>
      </c>
      <c r="J773" s="215">
        <v>4.33</v>
      </c>
      <c r="K773" s="221">
        <v>34.073</v>
      </c>
      <c r="L773" s="221">
        <v>180.05</v>
      </c>
      <c r="M773" s="221">
        <v>7.44</v>
      </c>
      <c r="N773" s="221">
        <v>109.23</v>
      </c>
      <c r="O773" s="213">
        <v>0.004627847632081757</v>
      </c>
      <c r="P773" s="214">
        <v>0.0012411496075834065</v>
      </c>
      <c r="Q773" s="214">
        <v>0.00359494970321809</v>
      </c>
      <c r="R773" s="214">
        <v>0.00269483112269564</v>
      </c>
      <c r="S773" s="214">
        <v>0.003993890868395004</v>
      </c>
    </row>
    <row r="774">
      <c r="A774" s="208">
        <v>42495.0</v>
      </c>
      <c r="B774" s="220">
        <v>0.00922118299256348</v>
      </c>
      <c r="C774" s="220">
        <v>0.005599999999999991</v>
      </c>
      <c r="D774" s="220">
        <v>0.01482118299256351</v>
      </c>
      <c r="E774" s="222">
        <v>-0.00599941709951891</v>
      </c>
      <c r="F774" s="210">
        <v>-18.93394078440315</v>
      </c>
      <c r="G774" s="209">
        <v>3274.2577743252814</v>
      </c>
      <c r="H774" s="210">
        <v>7746.785000000001</v>
      </c>
      <c r="I774" s="210">
        <v>0.0</v>
      </c>
      <c r="J774" s="215">
        <v>4.32</v>
      </c>
      <c r="K774" s="221">
        <v>34.26</v>
      </c>
      <c r="L774" s="221">
        <v>179.99</v>
      </c>
      <c r="M774" s="221">
        <v>7.41</v>
      </c>
      <c r="N774" s="221">
        <v>108.0</v>
      </c>
      <c r="O774" s="213">
        <v>0.007761225315870202</v>
      </c>
      <c r="P774" s="214">
        <v>1.1470625062826034E-4</v>
      </c>
      <c r="Q774" s="214">
        <v>0.005168221814248586</v>
      </c>
      <c r="R774" s="214">
        <v>-0.0049726514661087755</v>
      </c>
      <c r="S774" s="214">
        <v>-0.0022923969932568955</v>
      </c>
    </row>
    <row r="775">
      <c r="A775" s="208">
        <v>42494.0</v>
      </c>
      <c r="B775" s="220">
        <v>0.009321174665413752</v>
      </c>
      <c r="C775" s="220">
        <v>0.005585714285714277</v>
      </c>
      <c r="D775" s="220">
        <v>0.014906888951128065</v>
      </c>
      <c r="E775" s="222">
        <v>-0.00599941709951891</v>
      </c>
      <c r="F775" s="210">
        <v>-18.93394078440315</v>
      </c>
      <c r="G775" s="209">
        <v>3293.1917151096845</v>
      </c>
      <c r="H775" s="210">
        <v>7746.785000000001</v>
      </c>
      <c r="I775" s="210">
        <v>0.0</v>
      </c>
      <c r="J775" s="215">
        <v>4.27</v>
      </c>
      <c r="K775" s="221">
        <v>33.905</v>
      </c>
      <c r="L775" s="221">
        <v>178.23</v>
      </c>
      <c r="M775" s="221">
        <v>7.39</v>
      </c>
      <c r="N775" s="221">
        <v>107.48</v>
      </c>
      <c r="O775" s="213">
        <v>0.0015335323780666006</v>
      </c>
      <c r="P775" s="214">
        <v>-0.002288024765366196</v>
      </c>
      <c r="Q775" s="214">
        <v>-2.3556703809316884E-4</v>
      </c>
      <c r="R775" s="214">
        <v>-0.007202123810362744</v>
      </c>
      <c r="S775" s="214">
        <v>-0.005031539176332626</v>
      </c>
    </row>
    <row r="776">
      <c r="A776" s="208">
        <v>42493.0</v>
      </c>
      <c r="B776" s="220">
        <v>0.009421166338264023</v>
      </c>
      <c r="C776" s="220">
        <v>0.005571428571428563</v>
      </c>
      <c r="D776" s="220">
        <v>0.014992594909692621</v>
      </c>
      <c r="E776" s="222">
        <v>-0.00599941709951891</v>
      </c>
      <c r="F776" s="210">
        <v>-18.93394078440315</v>
      </c>
      <c r="G776" s="209">
        <v>3312.1256558940877</v>
      </c>
      <c r="H776" s="210">
        <v>7746.785000000001</v>
      </c>
      <c r="I776" s="210">
        <v>0.0</v>
      </c>
      <c r="J776" s="215">
        <v>4.27</v>
      </c>
      <c r="K776" s="221">
        <v>33.944</v>
      </c>
      <c r="L776" s="221">
        <v>178.11</v>
      </c>
      <c r="M776" s="221">
        <v>7.38</v>
      </c>
      <c r="N776" s="221">
        <v>107.92</v>
      </c>
      <c r="O776" s="213">
        <v>-8.19408798403994E-4</v>
      </c>
      <c r="P776" s="214">
        <v>-0.012743279930392407</v>
      </c>
      <c r="Q776" s="214">
        <v>-0.003581199772377882</v>
      </c>
      <c r="R776" s="214">
        <v>-0.010302190423858123</v>
      </c>
      <c r="S776" s="214">
        <v>5.184344569152769E-4</v>
      </c>
    </row>
    <row r="777">
      <c r="A777" s="208">
        <v>42492.0</v>
      </c>
      <c r="B777" s="220">
        <v>0.009521158011114294</v>
      </c>
      <c r="C777" s="220">
        <v>0.005557142857142849</v>
      </c>
      <c r="D777" s="220">
        <v>0.015078300868257177</v>
      </c>
      <c r="E777" s="222">
        <v>-0.00599941709951891</v>
      </c>
      <c r="F777" s="210">
        <v>-18.93394078440315</v>
      </c>
      <c r="G777" s="209">
        <v>3331.059596678491</v>
      </c>
      <c r="H777" s="210">
        <v>7746.785000000001</v>
      </c>
      <c r="I777" s="210">
        <v>0.0</v>
      </c>
      <c r="J777" s="215">
        <v>4.22</v>
      </c>
      <c r="K777" s="221">
        <v>34.245</v>
      </c>
      <c r="L777" s="221">
        <v>177.21</v>
      </c>
      <c r="M777" s="221">
        <v>7.52</v>
      </c>
      <c r="N777" s="221">
        <v>108.74</v>
      </c>
      <c r="O777" s="213">
        <v>-0.003943793223539105</v>
      </c>
      <c r="P777" s="214">
        <v>-0.0086052973772572</v>
      </c>
      <c r="Q777" s="214">
        <v>-0.00456192661580294</v>
      </c>
      <c r="R777" s="214">
        <v>8.394277816362964E-4</v>
      </c>
      <c r="S777" s="214">
        <v>0.006763816302831997</v>
      </c>
    </row>
    <row r="778">
      <c r="A778" s="208">
        <v>42489.0</v>
      </c>
      <c r="B778" s="220">
        <v>0.009621149683964565</v>
      </c>
      <c r="C778" s="220">
        <v>0.005542857142857135</v>
      </c>
      <c r="D778" s="220">
        <v>0.015164006826821733</v>
      </c>
      <c r="E778" s="222">
        <v>-0.00599941709951891</v>
      </c>
      <c r="F778" s="210">
        <v>-18.93394078440315</v>
      </c>
      <c r="G778" s="209">
        <v>3349.993537462894</v>
      </c>
      <c r="H778" s="210">
        <v>7746.785000000001</v>
      </c>
      <c r="I778" s="210">
        <v>0.0</v>
      </c>
      <c r="J778" s="215">
        <v>4.25</v>
      </c>
      <c r="K778" s="221">
        <v>34.137</v>
      </c>
      <c r="L778" s="221">
        <v>178.35</v>
      </c>
      <c r="M778" s="221">
        <v>7.55</v>
      </c>
      <c r="N778" s="221">
        <v>109.11</v>
      </c>
      <c r="O778" s="213">
        <v>-1.2844727288759591E-5</v>
      </c>
      <c r="P778" s="214">
        <v>-0.009495203366175634</v>
      </c>
      <c r="Q778" s="214">
        <v>-0.001601130392504017</v>
      </c>
      <c r="R778" s="214">
        <v>0.0021692150156788306</v>
      </c>
      <c r="S778" s="214">
        <v>0.009556239349525911</v>
      </c>
    </row>
    <row r="779">
      <c r="A779" s="208">
        <v>42488.0</v>
      </c>
      <c r="B779" s="220">
        <v>0.009721141356814835</v>
      </c>
      <c r="C779" s="220">
        <v>0.005528571428571421</v>
      </c>
      <c r="D779" s="220">
        <v>0.01524971278538629</v>
      </c>
      <c r="E779" s="222">
        <v>-0.00599941709951891</v>
      </c>
      <c r="F779" s="210">
        <v>-18.93394078440315</v>
      </c>
      <c r="G779" s="209">
        <v>3368.927478247297</v>
      </c>
      <c r="H779" s="210">
        <v>7746.785000000001</v>
      </c>
      <c r="I779" s="210">
        <v>0.0</v>
      </c>
      <c r="J779" s="215">
        <v>4.28</v>
      </c>
      <c r="K779" s="221">
        <v>35.247</v>
      </c>
      <c r="L779" s="221">
        <v>180.02</v>
      </c>
      <c r="M779" s="221">
        <v>7.61</v>
      </c>
      <c r="N779" s="221">
        <v>107.74</v>
      </c>
      <c r="O779" s="213">
        <v>-0.0015814721782691683</v>
      </c>
      <c r="P779" s="214">
        <v>0.0013529713961096073</v>
      </c>
      <c r="Q779" s="214">
        <v>-5.074565285794197E-4</v>
      </c>
      <c r="R779" s="214">
        <v>0.004373777193750909</v>
      </c>
      <c r="S779" s="214">
        <v>0.004553327742537694</v>
      </c>
    </row>
    <row r="780">
      <c r="A780" s="208">
        <v>42487.0</v>
      </c>
      <c r="B780" s="220">
        <v>0.009821133029665106</v>
      </c>
      <c r="C780" s="220">
        <v>0.005514285714285707</v>
      </c>
      <c r="D780" s="220">
        <v>0.015335418743950845</v>
      </c>
      <c r="E780" s="222">
        <v>-0.00599941709951891</v>
      </c>
      <c r="F780" s="210">
        <v>-18.93394078440315</v>
      </c>
      <c r="G780" s="209">
        <v>3387.8614190317003</v>
      </c>
      <c r="H780" s="210">
        <v>7746.785000000001</v>
      </c>
      <c r="I780" s="210">
        <v>0.0</v>
      </c>
      <c r="J780" s="215">
        <v>4.27</v>
      </c>
      <c r="K780" s="221">
        <v>35.122</v>
      </c>
      <c r="L780" s="221">
        <v>179.64</v>
      </c>
      <c r="M780" s="221">
        <v>7.5</v>
      </c>
      <c r="N780" s="221">
        <v>106.54</v>
      </c>
      <c r="O780" s="213">
        <v>-0.003910675974545419</v>
      </c>
      <c r="P780" s="214">
        <v>-0.001500386859748885</v>
      </c>
      <c r="Q780" s="214">
        <v>-0.002486804498837943</v>
      </c>
      <c r="R780" s="214">
        <v>-0.0022198550081372983</v>
      </c>
      <c r="S780" s="214">
        <v>3.0745323800858887E-4</v>
      </c>
    </row>
    <row r="781">
      <c r="A781" s="208">
        <v>42486.0</v>
      </c>
      <c r="B781" s="220">
        <v>0.009921124702515377</v>
      </c>
      <c r="C781" s="220">
        <v>0.005499999999999993</v>
      </c>
      <c r="D781" s="220">
        <v>0.015421124702515401</v>
      </c>
      <c r="E781" s="222">
        <v>-0.00599941709951891</v>
      </c>
      <c r="F781" s="210">
        <v>-18.93394078440315</v>
      </c>
      <c r="G781" s="209">
        <v>3406.7953598161034</v>
      </c>
      <c r="H781" s="210">
        <v>7746.785000000001</v>
      </c>
      <c r="I781" s="210">
        <v>0.0</v>
      </c>
      <c r="J781" s="215">
        <v>4.25</v>
      </c>
      <c r="K781" s="221">
        <v>35.105</v>
      </c>
      <c r="L781" s="221">
        <v>179.2</v>
      </c>
      <c r="M781" s="221">
        <v>7.5</v>
      </c>
      <c r="N781" s="221">
        <v>106.01</v>
      </c>
      <c r="O781" s="213">
        <v>-0.00392874634780697</v>
      </c>
      <c r="P781" s="214">
        <v>-0.0021435886386857264</v>
      </c>
      <c r="Q781" s="214">
        <v>-0.0016824469635581263</v>
      </c>
      <c r="R781" s="214">
        <v>-0.001778353904384522</v>
      </c>
      <c r="S781" s="214">
        <v>-0.002853960185076184</v>
      </c>
    </row>
    <row r="782">
      <c r="A782" s="208">
        <v>42485.0</v>
      </c>
      <c r="B782" s="220">
        <v>0.010021116375365648</v>
      </c>
      <c r="C782" s="220">
        <v>0.005485714285714279</v>
      </c>
      <c r="D782" s="220">
        <v>0.015506830661079957</v>
      </c>
      <c r="E782" s="222">
        <v>-0.00599941709951891</v>
      </c>
      <c r="F782" s="210">
        <v>-18.93394078440315</v>
      </c>
      <c r="G782" s="209">
        <v>3425.7293006005066</v>
      </c>
      <c r="H782" s="210">
        <v>7746.785000000001</v>
      </c>
      <c r="I782" s="210">
        <v>0.0</v>
      </c>
      <c r="J782" s="215">
        <v>4.3</v>
      </c>
      <c r="K782" s="221">
        <v>35.104</v>
      </c>
      <c r="L782" s="221">
        <v>180.29</v>
      </c>
      <c r="M782" s="221">
        <v>7.51</v>
      </c>
      <c r="N782" s="221">
        <v>106.27</v>
      </c>
      <c r="O782" s="213">
        <v>-0.006208728107952884</v>
      </c>
      <c r="P782" s="214">
        <v>-0.002096476450422028</v>
      </c>
      <c r="Q782" s="214">
        <v>-0.0011725925671909703</v>
      </c>
      <c r="R782" s="214">
        <v>0.0022027837319254693</v>
      </c>
      <c r="S782" s="214">
        <v>-0.0016623157627093654</v>
      </c>
    </row>
    <row r="783">
      <c r="A783" s="208">
        <v>42482.0</v>
      </c>
      <c r="B783" s="220">
        <v>0.01012110804821592</v>
      </c>
      <c r="C783" s="220">
        <v>0.005471428571428565</v>
      </c>
      <c r="D783" s="220">
        <v>0.015592536619644513</v>
      </c>
      <c r="E783" s="222">
        <v>-0.00599941709951891</v>
      </c>
      <c r="F783" s="210">
        <v>-18.93394078440315</v>
      </c>
      <c r="G783" s="209">
        <v>3444.6632413849097</v>
      </c>
      <c r="H783" s="210">
        <v>7746.785000000001</v>
      </c>
      <c r="I783" s="210">
        <v>0.0</v>
      </c>
      <c r="J783" s="215">
        <v>4.32</v>
      </c>
      <c r="K783" s="221">
        <v>35.28</v>
      </c>
      <c r="L783" s="221">
        <v>180.98</v>
      </c>
      <c r="M783" s="221">
        <v>7.55</v>
      </c>
      <c r="N783" s="221">
        <v>106.44</v>
      </c>
      <c r="O783" s="213">
        <v>-0.0016142004806122638</v>
      </c>
      <c r="P783" s="214">
        <v>0.001726198915257197</v>
      </c>
      <c r="Q783" s="214">
        <v>0.0018534430939210293</v>
      </c>
      <c r="R783" s="214">
        <v>0.007552814492222448</v>
      </c>
      <c r="S783" s="214">
        <v>-1.9275321462419726E-4</v>
      </c>
    </row>
    <row r="784">
      <c r="A784" s="208">
        <v>42481.0</v>
      </c>
      <c r="B784" s="220">
        <v>0.01022109972106619</v>
      </c>
      <c r="C784" s="220">
        <v>0.0054571428571428505</v>
      </c>
      <c r="D784" s="220">
        <v>0.01567824257820907</v>
      </c>
      <c r="E784" s="222">
        <v>-0.00599941709951891</v>
      </c>
      <c r="F784" s="210">
        <v>-18.93394078440315</v>
      </c>
      <c r="G784" s="209">
        <v>3463.597182169313</v>
      </c>
      <c r="H784" s="210">
        <v>7746.785000000001</v>
      </c>
      <c r="I784" s="210">
        <v>0.0</v>
      </c>
      <c r="J784" s="215">
        <v>4.3</v>
      </c>
      <c r="K784" s="221">
        <v>35.331</v>
      </c>
      <c r="L784" s="221">
        <v>180.1</v>
      </c>
      <c r="M784" s="221">
        <v>7.54</v>
      </c>
      <c r="N784" s="221">
        <v>106.92</v>
      </c>
      <c r="O784" s="213">
        <v>-0.00546155782259324</v>
      </c>
      <c r="P784" s="214">
        <v>0.002511977938950342</v>
      </c>
      <c r="Q784" s="214">
        <v>-0.0016750875132284608</v>
      </c>
      <c r="R784" s="214">
        <v>0.012983038772390229</v>
      </c>
      <c r="S784" s="214">
        <v>0.004847217286070034</v>
      </c>
    </row>
    <row r="785">
      <c r="A785" s="208">
        <v>42480.0</v>
      </c>
      <c r="B785" s="220">
        <v>0.010321091393916461</v>
      </c>
      <c r="C785" s="220">
        <v>0.0054428571428571364</v>
      </c>
      <c r="D785" s="220">
        <v>0.015763948536773625</v>
      </c>
      <c r="E785" s="222">
        <v>-0.00599941709951891</v>
      </c>
      <c r="F785" s="210">
        <v>-18.93394078440315</v>
      </c>
      <c r="G785" s="209">
        <v>3482.531122953716</v>
      </c>
      <c r="H785" s="210">
        <v>7746.785000000001</v>
      </c>
      <c r="I785" s="210">
        <v>0.0</v>
      </c>
      <c r="J785" s="215">
        <v>4.38</v>
      </c>
      <c r="K785" s="221">
        <v>35.325</v>
      </c>
      <c r="L785" s="221">
        <v>180.92</v>
      </c>
      <c r="M785" s="221">
        <v>7.46</v>
      </c>
      <c r="N785" s="221">
        <v>106.8</v>
      </c>
      <c r="O785" s="213">
        <v>-0.002311113460930788</v>
      </c>
      <c r="P785" s="214">
        <v>0.0025504319794886765</v>
      </c>
      <c r="Q785" s="214">
        <v>-0.001870119330011318</v>
      </c>
      <c r="R785" s="214">
        <v>0.010825655925352265</v>
      </c>
      <c r="S785" s="214">
        <v>0.004662913146391741</v>
      </c>
    </row>
    <row r="786">
      <c r="A786" s="208">
        <v>42479.0</v>
      </c>
      <c r="B786" s="220">
        <v>0.010421083066766732</v>
      </c>
      <c r="C786" s="220">
        <v>0.005428571428571422</v>
      </c>
      <c r="D786" s="220">
        <v>0.01584965449533818</v>
      </c>
      <c r="E786" s="222">
        <v>-0.00599941709951891</v>
      </c>
      <c r="F786" s="210">
        <v>-18.93394078440315</v>
      </c>
      <c r="G786" s="209">
        <v>3501.465063738119</v>
      </c>
      <c r="H786" s="210">
        <v>7746.785000000001</v>
      </c>
      <c r="I786" s="210">
        <v>0.0</v>
      </c>
      <c r="J786" s="215">
        <v>4.34</v>
      </c>
      <c r="K786" s="221">
        <v>35.097</v>
      </c>
      <c r="L786" s="221">
        <v>179.97</v>
      </c>
      <c r="M786" s="221">
        <v>7.38</v>
      </c>
      <c r="N786" s="221">
        <v>106.5</v>
      </c>
      <c r="O786" s="213">
        <v>-0.0038435376939420784</v>
      </c>
      <c r="P786" s="214">
        <v>-0.0011509641583971793</v>
      </c>
      <c r="Q786" s="214">
        <v>-0.003638754609218031</v>
      </c>
      <c r="R786" s="214">
        <v>0.003557591592090644</v>
      </c>
      <c r="S786" s="214">
        <v>0.0029669216079447613</v>
      </c>
    </row>
    <row r="787">
      <c r="A787" s="208">
        <v>42478.0</v>
      </c>
      <c r="B787" s="220">
        <v>0.010521074739617003</v>
      </c>
      <c r="C787" s="220">
        <v>0.005414285714285708</v>
      </c>
      <c r="D787" s="220">
        <v>0.015935360453902737</v>
      </c>
      <c r="E787" s="222">
        <v>-0.00599941709951891</v>
      </c>
      <c r="F787" s="210">
        <v>-18.93394078440315</v>
      </c>
      <c r="G787" s="209">
        <v>3520.3990045225223</v>
      </c>
      <c r="H787" s="210">
        <v>7746.785000000001</v>
      </c>
      <c r="I787" s="210">
        <v>0.0</v>
      </c>
      <c r="J787" s="215">
        <v>4.37</v>
      </c>
      <c r="K787" s="221">
        <v>35.065</v>
      </c>
      <c r="L787" s="221">
        <v>181.0</v>
      </c>
      <c r="M787" s="221">
        <v>7.25</v>
      </c>
      <c r="N787" s="221">
        <v>105.37</v>
      </c>
      <c r="O787" s="213">
        <v>-0.001539390228504282</v>
      </c>
      <c r="P787" s="214">
        <v>2.2986077185046158E-4</v>
      </c>
      <c r="Q787" s="214">
        <v>-0.0015478186653405206</v>
      </c>
      <c r="R787" s="214">
        <v>-0.0023141337918298754</v>
      </c>
      <c r="S787" s="214">
        <v>-0.0037910767744756177</v>
      </c>
    </row>
    <row r="788">
      <c r="A788" s="208">
        <v>42475.0</v>
      </c>
      <c r="B788" s="220">
        <v>0.010621066412467274</v>
      </c>
      <c r="C788" s="220">
        <v>0.005399999999999994</v>
      </c>
      <c r="D788" s="220">
        <v>0.016021066412467293</v>
      </c>
      <c r="E788" s="222">
        <v>-0.00599941709951891</v>
      </c>
      <c r="F788" s="210">
        <v>-18.93394078440315</v>
      </c>
      <c r="G788" s="209">
        <v>3539.3329453069255</v>
      </c>
      <c r="H788" s="210">
        <v>7746.785000000001</v>
      </c>
      <c r="I788" s="210">
        <v>0.0</v>
      </c>
      <c r="J788" s="215">
        <v>4.41</v>
      </c>
      <c r="K788" s="221">
        <v>35.055</v>
      </c>
      <c r="L788" s="221">
        <v>181.93</v>
      </c>
      <c r="M788" s="221">
        <v>7.22</v>
      </c>
      <c r="N788" s="221">
        <v>105.31</v>
      </c>
      <c r="O788" s="213">
        <v>0.004548921568121071</v>
      </c>
      <c r="P788" s="214">
        <v>0.0070316789759641285</v>
      </c>
      <c r="Q788" s="214">
        <v>0.003061207625353705</v>
      </c>
      <c r="R788" s="214">
        <v>8.727659090046469E-4</v>
      </c>
      <c r="S788" s="214">
        <v>-0.00357426562200606</v>
      </c>
    </row>
    <row r="789">
      <c r="A789" s="208">
        <v>42474.0</v>
      </c>
      <c r="B789" s="220">
        <v>0.010721058085317545</v>
      </c>
      <c r="C789" s="220">
        <v>0.00538571428571428</v>
      </c>
      <c r="D789" s="220">
        <v>0.01610677237103185</v>
      </c>
      <c r="E789" s="222">
        <v>-0.00599941709951891</v>
      </c>
      <c r="F789" s="210">
        <v>-18.93394078440315</v>
      </c>
      <c r="G789" s="209">
        <v>3558.2668860913286</v>
      </c>
      <c r="H789" s="210">
        <v>7746.785000000001</v>
      </c>
      <c r="I789" s="210">
        <v>0.0</v>
      </c>
      <c r="J789" s="215">
        <v>4.39</v>
      </c>
      <c r="K789" s="221">
        <v>35.218</v>
      </c>
      <c r="L789" s="221">
        <v>181.94</v>
      </c>
      <c r="M789" s="221">
        <v>7.3</v>
      </c>
      <c r="N789" s="221">
        <v>105.55</v>
      </c>
      <c r="O789" s="213">
        <v>0.0015046387208825045</v>
      </c>
      <c r="P789" s="214">
        <v>0.010592406756630387</v>
      </c>
      <c r="Q789" s="214">
        <v>0.0030055624581007967</v>
      </c>
      <c r="R789" s="214">
        <v>0.011510654490106612</v>
      </c>
      <c r="S789" s="214">
        <v>-0.0026267043855912795</v>
      </c>
    </row>
    <row r="790">
      <c r="A790" s="208">
        <v>42473.0</v>
      </c>
      <c r="B790" s="220">
        <v>0.010821049758167816</v>
      </c>
      <c r="C790" s="220">
        <v>0.005371428571428566</v>
      </c>
      <c r="D790" s="220">
        <v>0.016192478329596405</v>
      </c>
      <c r="E790" s="222">
        <v>-0.00599941709951891</v>
      </c>
      <c r="F790" s="210">
        <v>-18.93394078440315</v>
      </c>
      <c r="G790" s="209">
        <v>3577.2008268757318</v>
      </c>
      <c r="H790" s="210">
        <v>7746.785000000001</v>
      </c>
      <c r="I790" s="210">
        <v>0.0</v>
      </c>
      <c r="J790" s="215">
        <v>4.39</v>
      </c>
      <c r="K790" s="221">
        <v>35.04</v>
      </c>
      <c r="L790" s="221">
        <v>181.84</v>
      </c>
      <c r="M790" s="221">
        <v>7.3</v>
      </c>
      <c r="N790" s="221">
        <v>106.57</v>
      </c>
      <c r="O790" s="213">
        <v>0.0015046387208825045</v>
      </c>
      <c r="P790" s="214">
        <v>0.008243106488168284</v>
      </c>
      <c r="Q790" s="214">
        <v>0.002692937936127534</v>
      </c>
      <c r="R790" s="214">
        <v>0.012456280967647873</v>
      </c>
      <c r="S790" s="214">
        <v>0.00491863885938663</v>
      </c>
    </row>
    <row r="791">
      <c r="A791" s="208">
        <v>42472.0</v>
      </c>
      <c r="B791" s="220">
        <v>0.010921041431018087</v>
      </c>
      <c r="C791" s="220">
        <v>0.005357142857142852</v>
      </c>
      <c r="D791" s="220">
        <v>0.01627818428816096</v>
      </c>
      <c r="E791" s="222">
        <v>-0.00599941709951891</v>
      </c>
      <c r="F791" s="210">
        <v>-18.93394078440315</v>
      </c>
      <c r="G791" s="209">
        <v>3596.134767660135</v>
      </c>
      <c r="H791" s="210">
        <v>7746.785000000001</v>
      </c>
      <c r="I791" s="210">
        <v>0.0</v>
      </c>
      <c r="J791" s="215">
        <v>4.35</v>
      </c>
      <c r="K791" s="221">
        <v>34.315</v>
      </c>
      <c r="L791" s="221">
        <v>180.26</v>
      </c>
      <c r="M791" s="221">
        <v>7.2</v>
      </c>
      <c r="N791" s="221">
        <v>106.44</v>
      </c>
      <c r="O791" s="213">
        <v>-0.0038208965692592876</v>
      </c>
      <c r="P791" s="214">
        <v>0.0014925282298268172</v>
      </c>
      <c r="Q791" s="214">
        <v>-0.0013306935486575948</v>
      </c>
      <c r="R791" s="214">
        <v>0.014054129717623506</v>
      </c>
      <c r="S791" s="214">
        <v>0.004226306075658511</v>
      </c>
    </row>
    <row r="792">
      <c r="A792" s="208">
        <v>42471.0</v>
      </c>
      <c r="B792" s="220">
        <v>0.011021033103868358</v>
      </c>
      <c r="C792" s="220">
        <v>0.005342857142857138</v>
      </c>
      <c r="D792" s="220">
        <v>0.016363890246725517</v>
      </c>
      <c r="E792" s="222">
        <v>-0.00599941709951891</v>
      </c>
      <c r="F792" s="210">
        <v>-18.93394078440315</v>
      </c>
      <c r="G792" s="209">
        <v>3615.068708444538</v>
      </c>
      <c r="H792" s="210">
        <v>7746.785000000001</v>
      </c>
      <c r="I792" s="210">
        <v>0.0</v>
      </c>
      <c r="J792" s="215">
        <v>4.37</v>
      </c>
      <c r="K792" s="221">
        <v>34.108</v>
      </c>
      <c r="L792" s="221">
        <v>180.3</v>
      </c>
      <c r="M792" s="221">
        <v>7.05</v>
      </c>
      <c r="N792" s="221">
        <v>106.38</v>
      </c>
      <c r="O792" s="213">
        <v>7.419735108522563E-4</v>
      </c>
      <c r="P792" s="214">
        <v>-0.001942880750248177</v>
      </c>
      <c r="Q792" s="214">
        <v>5.0968825126303706E-5</v>
      </c>
      <c r="R792" s="214">
        <v>0.0061435016982999135</v>
      </c>
      <c r="S792" s="214">
        <v>0.008923108791134856</v>
      </c>
    </row>
    <row r="793">
      <c r="A793" s="208">
        <v>42468.0</v>
      </c>
      <c r="B793" s="220">
        <v>0.011121024776718629</v>
      </c>
      <c r="C793" s="220">
        <v>0.005328571428571424</v>
      </c>
      <c r="D793" s="220">
        <v>0.016449596205290073</v>
      </c>
      <c r="E793" s="222">
        <v>-0.00599941709951891</v>
      </c>
      <c r="F793" s="210">
        <v>-18.93394078440315</v>
      </c>
      <c r="G793" s="209">
        <v>3634.002649228941</v>
      </c>
      <c r="H793" s="210">
        <v>7746.785000000001</v>
      </c>
      <c r="I793" s="210">
        <v>0.0</v>
      </c>
      <c r="J793" s="215">
        <v>4.37</v>
      </c>
      <c r="K793" s="221">
        <v>34.176</v>
      </c>
      <c r="L793" s="221">
        <v>180.37</v>
      </c>
      <c r="M793" s="221">
        <v>7.03</v>
      </c>
      <c r="N793" s="221">
        <v>105.0</v>
      </c>
      <c r="O793" s="213">
        <v>-7.870784769152817E-4</v>
      </c>
      <c r="P793" s="214">
        <v>-1.8039554540375904E-4</v>
      </c>
      <c r="Q793" s="214">
        <v>-5.999740562856459E-5</v>
      </c>
      <c r="R793" s="214">
        <v>0.007124657494361679</v>
      </c>
      <c r="S793" s="214">
        <v>0.0025066007851154057</v>
      </c>
    </row>
    <row r="794">
      <c r="A794" s="208">
        <v>42467.0</v>
      </c>
      <c r="B794" s="220">
        <v>0.0112210164495689</v>
      </c>
      <c r="C794" s="220">
        <v>0.00531428571428571</v>
      </c>
      <c r="D794" s="220">
        <v>0.01653530216385463</v>
      </c>
      <c r="E794" s="222">
        <v>-0.00599941709951891</v>
      </c>
      <c r="F794" s="210">
        <v>-18.93394078440315</v>
      </c>
      <c r="G794" s="209">
        <v>3652.9365900133444</v>
      </c>
      <c r="H794" s="210">
        <v>7746.785000000001</v>
      </c>
      <c r="I794" s="210">
        <v>0.0</v>
      </c>
      <c r="J794" s="215">
        <v>4.4</v>
      </c>
      <c r="K794" s="221">
        <v>34.161</v>
      </c>
      <c r="L794" s="221">
        <v>180.98</v>
      </c>
      <c r="M794" s="221">
        <v>6.9</v>
      </c>
      <c r="N794" s="221">
        <v>105.09</v>
      </c>
      <c r="O794" s="213">
        <v>0.004545391072976875</v>
      </c>
      <c r="P794" s="214">
        <v>-0.003524139089893944</v>
      </c>
      <c r="Q794" s="214">
        <v>0.0017694583558529968</v>
      </c>
      <c r="R794" s="214">
        <v>-0.002430874169493169</v>
      </c>
      <c r="S794" s="214">
        <v>0.005575424475820083</v>
      </c>
    </row>
    <row r="795">
      <c r="A795" s="208">
        <v>42466.0</v>
      </c>
      <c r="B795" s="220">
        <v>0.01132100812241917</v>
      </c>
      <c r="C795" s="220">
        <v>0.005299999999999996</v>
      </c>
      <c r="D795" s="220">
        <v>0.016621008122419186</v>
      </c>
      <c r="E795" s="222">
        <v>-0.00599941709951891</v>
      </c>
      <c r="F795" s="210">
        <v>-18.93394078440315</v>
      </c>
      <c r="G795" s="209">
        <v>3671.8705307977475</v>
      </c>
      <c r="H795" s="210">
        <v>7746.785000000001</v>
      </c>
      <c r="I795" s="210">
        <v>0.0</v>
      </c>
      <c r="J795" s="215">
        <v>4.36</v>
      </c>
      <c r="K795" s="221">
        <v>34.307</v>
      </c>
      <c r="L795" s="221">
        <v>180.27</v>
      </c>
      <c r="M795" s="221">
        <v>6.92</v>
      </c>
      <c r="N795" s="221">
        <v>103.55</v>
      </c>
      <c r="O795" s="213">
        <v>0.0022831371978197326</v>
      </c>
      <c r="P795" s="214">
        <v>-0.0015394832132079594</v>
      </c>
      <c r="Q795" s="214">
        <v>7.209936704604866E-4</v>
      </c>
      <c r="R795" s="214">
        <v>-0.0019443069015684007</v>
      </c>
      <c r="S795" s="214">
        <v>0.0017552729437310492</v>
      </c>
    </row>
    <row r="796">
      <c r="A796" s="208">
        <v>42465.0</v>
      </c>
      <c r="B796" s="220">
        <v>0.011420999795269442</v>
      </c>
      <c r="C796" s="220">
        <v>0.005285714285714282</v>
      </c>
      <c r="D796" s="220">
        <v>0.01670671408098374</v>
      </c>
      <c r="E796" s="222">
        <v>-0.00599941709951891</v>
      </c>
      <c r="F796" s="210">
        <v>-18.93394078440315</v>
      </c>
      <c r="G796" s="209">
        <v>3690.8044715821507</v>
      </c>
      <c r="H796" s="210">
        <v>7746.785000000001</v>
      </c>
      <c r="I796" s="210">
        <v>0.0</v>
      </c>
      <c r="J796" s="215">
        <v>4.38</v>
      </c>
      <c r="K796" s="221">
        <v>34.194</v>
      </c>
      <c r="L796" s="221">
        <v>180.4</v>
      </c>
      <c r="M796" s="221">
        <v>6.88</v>
      </c>
      <c r="N796" s="221">
        <v>104.2</v>
      </c>
      <c r="O796" s="213">
        <v>0.004582012126310893</v>
      </c>
      <c r="P796" s="214">
        <v>-0.002221519780689185</v>
      </c>
      <c r="Q796" s="214">
        <v>0.0018323248453188112</v>
      </c>
      <c r="R796" s="214">
        <v>-0.009139288408887966</v>
      </c>
      <c r="S796" s="214">
        <v>-0.001945220384539333</v>
      </c>
    </row>
    <row r="797">
      <c r="A797" s="208">
        <v>42464.0</v>
      </c>
      <c r="B797" s="220">
        <v>0.011520991468119713</v>
      </c>
      <c r="C797" s="220">
        <v>0.0052714285714285675</v>
      </c>
      <c r="D797" s="220">
        <v>0.016792420039548298</v>
      </c>
      <c r="E797" s="222">
        <v>-0.00599941709951891</v>
      </c>
      <c r="F797" s="210">
        <v>-18.93394078440315</v>
      </c>
      <c r="G797" s="209">
        <v>3709.738412366554</v>
      </c>
      <c r="H797" s="210">
        <v>7746.785000000001</v>
      </c>
      <c r="I797" s="210">
        <v>0.0</v>
      </c>
      <c r="J797" s="215">
        <v>4.34</v>
      </c>
      <c r="K797" s="221">
        <v>34.522</v>
      </c>
      <c r="L797" s="221">
        <v>180.02</v>
      </c>
      <c r="M797" s="221">
        <v>6.95</v>
      </c>
      <c r="N797" s="221">
        <v>103.33</v>
      </c>
      <c r="O797" s="213">
        <v>0.00230947703414112</v>
      </c>
      <c r="P797" s="214">
        <v>-7.187796120559827E-4</v>
      </c>
      <c r="Q797" s="214">
        <v>7.214342703855126E-4</v>
      </c>
      <c r="R797" s="214">
        <v>-0.007633718416672745</v>
      </c>
      <c r="S797" s="214">
        <v>-0.003678611304941478</v>
      </c>
    </row>
    <row r="798">
      <c r="A798" s="208">
        <v>42461.0</v>
      </c>
      <c r="B798" s="220">
        <v>0.011620983140969984</v>
      </c>
      <c r="C798" s="220">
        <v>0.0052571428571428535</v>
      </c>
      <c r="D798" s="220">
        <v>0.016878125998112854</v>
      </c>
      <c r="E798" s="222">
        <v>-0.00599941709951891</v>
      </c>
      <c r="F798" s="210">
        <v>-18.93394078440315</v>
      </c>
      <c r="G798" s="209">
        <v>3728.672353150957</v>
      </c>
      <c r="H798" s="210">
        <v>7746.785000000001</v>
      </c>
      <c r="I798" s="210">
        <v>0.0</v>
      </c>
      <c r="J798" s="215">
        <v>4.33</v>
      </c>
      <c r="K798" s="221">
        <v>34.464</v>
      </c>
      <c r="L798" s="221">
        <v>179.88</v>
      </c>
      <c r="M798" s="221">
        <v>6.96</v>
      </c>
      <c r="N798" s="221">
        <v>103.0</v>
      </c>
      <c r="O798" s="213">
        <v>-0.004645733760602584</v>
      </c>
      <c r="P798" s="214">
        <v>-5.754521225237822E-4</v>
      </c>
      <c r="Q798" s="214">
        <v>-0.0033975820416014177</v>
      </c>
      <c r="R798" s="214">
        <v>-0.009967041631518589</v>
      </c>
      <c r="S798" s="214">
        <v>-0.008987210533007032</v>
      </c>
    </row>
    <row r="799">
      <c r="A799" s="208">
        <v>42460.0</v>
      </c>
      <c r="B799" s="220">
        <v>0.011720974813820255</v>
      </c>
      <c r="C799" s="220">
        <v>0.005242857142857139</v>
      </c>
      <c r="D799" s="220">
        <v>0.01696383195667741</v>
      </c>
      <c r="E799" s="222">
        <v>-0.00599941709951891</v>
      </c>
      <c r="F799" s="210">
        <v>-18.93394078440315</v>
      </c>
      <c r="G799" s="209">
        <v>3747.60629393536</v>
      </c>
      <c r="H799" s="210">
        <v>7746.785000000001</v>
      </c>
      <c r="I799" s="210">
        <v>0.0</v>
      </c>
      <c r="J799" s="215">
        <v>4.32</v>
      </c>
      <c r="K799" s="221">
        <v>34.421</v>
      </c>
      <c r="L799" s="221">
        <v>179.41</v>
      </c>
      <c r="M799" s="221">
        <v>7.07</v>
      </c>
      <c r="N799" s="221">
        <v>104.79</v>
      </c>
      <c r="O799" s="213">
        <v>-0.0038969538159808006</v>
      </c>
      <c r="P799" s="214">
        <v>-3.546055212622079E-5</v>
      </c>
      <c r="Q799" s="214">
        <v>-0.0036081401121791</v>
      </c>
      <c r="R799" s="214">
        <v>-0.007023342630252172</v>
      </c>
      <c r="S799" s="214">
        <v>-0.002280570309397323</v>
      </c>
    </row>
    <row r="800">
      <c r="A800" s="208">
        <v>42459.0</v>
      </c>
      <c r="B800" s="220">
        <v>0.011820966486670526</v>
      </c>
      <c r="C800" s="220">
        <v>0.005228571428571425</v>
      </c>
      <c r="D800" s="220">
        <v>0.017049537915241966</v>
      </c>
      <c r="E800" s="222">
        <v>-0.00599941709951891</v>
      </c>
      <c r="F800" s="210">
        <v>-18.93394078440315</v>
      </c>
      <c r="G800" s="209">
        <v>3766.5402347197632</v>
      </c>
      <c r="H800" s="210">
        <v>7746.785000000001</v>
      </c>
      <c r="I800" s="210">
        <v>0.0</v>
      </c>
      <c r="J800" s="215">
        <v>4.31</v>
      </c>
      <c r="K800" s="221">
        <v>34.596</v>
      </c>
      <c r="L800" s="221">
        <v>179.63</v>
      </c>
      <c r="M800" s="221">
        <v>7.11</v>
      </c>
      <c r="N800" s="221">
        <v>104.46</v>
      </c>
      <c r="O800" s="213">
        <v>-0.0039057822477688298</v>
      </c>
      <c r="P800" s="214">
        <v>-0.0016814512144848193</v>
      </c>
      <c r="Q800" s="214">
        <v>-0.0015083718764563603</v>
      </c>
      <c r="R800" s="214">
        <v>-0.007445842339661206</v>
      </c>
      <c r="S800" s="214">
        <v>-0.004025391479609637</v>
      </c>
    </row>
    <row r="801">
      <c r="A801" s="208">
        <v>42458.0</v>
      </c>
      <c r="B801" s="220">
        <v>0.011920958159520796</v>
      </c>
      <c r="C801" s="220">
        <v>0.005214285714285711</v>
      </c>
      <c r="D801" s="220">
        <v>0.01713524387380652</v>
      </c>
      <c r="E801" s="222">
        <v>-0.00599941709951891</v>
      </c>
      <c r="F801" s="210">
        <v>-18.93394078440315</v>
      </c>
      <c r="G801" s="209">
        <v>3785.4741755041664</v>
      </c>
      <c r="H801" s="210">
        <v>7746.785000000001</v>
      </c>
      <c r="I801" s="210">
        <v>0.0</v>
      </c>
      <c r="J801" s="215">
        <v>4.39</v>
      </c>
      <c r="K801" s="221">
        <v>34.523</v>
      </c>
      <c r="L801" s="221">
        <v>181.71</v>
      </c>
      <c r="M801" s="221">
        <v>7.17</v>
      </c>
      <c r="N801" s="221">
        <v>105.79</v>
      </c>
      <c r="O801" s="213">
        <v>0.0038104313795966163</v>
      </c>
      <c r="P801" s="214">
        <v>-0.002250588877358887</v>
      </c>
      <c r="Q801" s="214">
        <v>0.0016309129543270091</v>
      </c>
      <c r="R801" s="214">
        <v>-0.008300945000346024</v>
      </c>
      <c r="S801" s="214">
        <v>-0.006150367818656521</v>
      </c>
    </row>
    <row r="802">
      <c r="A802" s="208">
        <v>42453.0</v>
      </c>
      <c r="B802" s="220">
        <v>0.012020949832371067</v>
      </c>
      <c r="C802" s="220">
        <v>0.005199999999999997</v>
      </c>
      <c r="D802" s="220">
        <v>0.017220949832371078</v>
      </c>
      <c r="E802" s="222">
        <v>-0.00599941709951891</v>
      </c>
      <c r="F802" s="210">
        <v>-18.93394078440315</v>
      </c>
      <c r="G802" s="209">
        <v>3804.4081162885695</v>
      </c>
      <c r="H802" s="210">
        <v>7746.785000000001</v>
      </c>
      <c r="I802" s="210">
        <v>0.0</v>
      </c>
      <c r="J802" s="215">
        <v>4.37</v>
      </c>
      <c r="K802" s="221">
        <v>34.424</v>
      </c>
      <c r="L802" s="221">
        <v>181.35</v>
      </c>
      <c r="M802" s="221">
        <v>7.22</v>
      </c>
      <c r="N802" s="221">
        <v>105.5</v>
      </c>
      <c r="O802" s="213">
        <v>0.004595975959689007</v>
      </c>
      <c r="P802" s="214">
        <v>-0.0013458298076810167</v>
      </c>
      <c r="Q802" s="214">
        <v>0.0024084140588013967</v>
      </c>
      <c r="R802" s="214">
        <v>-0.004615900550208885</v>
      </c>
      <c r="S802" s="214">
        <v>-0.004589033420393962</v>
      </c>
    </row>
    <row r="803">
      <c r="A803" s="208">
        <v>42452.0</v>
      </c>
      <c r="B803" s="220">
        <v>0.012120941505221338</v>
      </c>
      <c r="C803" s="220">
        <v>0.005185714285714283</v>
      </c>
      <c r="D803" s="220">
        <v>0.017306655790935634</v>
      </c>
      <c r="E803" s="222">
        <v>-0.00599941709951891</v>
      </c>
      <c r="F803" s="210">
        <v>-18.93394078440315</v>
      </c>
      <c r="G803" s="209">
        <v>3823.3420570729727</v>
      </c>
      <c r="H803" s="210">
        <v>7746.785000000001</v>
      </c>
      <c r="I803" s="210">
        <v>0.0</v>
      </c>
      <c r="J803" s="215">
        <v>4.36</v>
      </c>
      <c r="K803" s="221">
        <v>34.769</v>
      </c>
      <c r="L803" s="221">
        <v>180.43</v>
      </c>
      <c r="M803" s="221">
        <v>7.27</v>
      </c>
      <c r="N803" s="221">
        <v>105.72</v>
      </c>
      <c r="O803" s="213">
        <v>0.003059804248255619</v>
      </c>
      <c r="P803" s="214">
        <v>0.002766445344793126</v>
      </c>
      <c r="Q803" s="214">
        <v>8.284794381804664E-4</v>
      </c>
      <c r="R803" s="214">
        <v>-0.0013967511524117793</v>
      </c>
      <c r="S803" s="214">
        <v>-0.004797864404740541</v>
      </c>
    </row>
    <row r="804">
      <c r="A804" s="208">
        <v>42451.0</v>
      </c>
      <c r="B804" s="220">
        <v>0.01222093317807161</v>
      </c>
      <c r="C804" s="220">
        <v>0.005171428571428569</v>
      </c>
      <c r="D804" s="220">
        <v>0.01739236174950019</v>
      </c>
      <c r="E804" s="222">
        <v>-0.00599941709951891</v>
      </c>
      <c r="F804" s="210">
        <v>-18.93394078440315</v>
      </c>
      <c r="G804" s="209">
        <v>3842.275997857376</v>
      </c>
      <c r="H804" s="210">
        <v>7746.785000000001</v>
      </c>
      <c r="I804" s="210">
        <v>0.0</v>
      </c>
      <c r="J804" s="215">
        <v>4.34</v>
      </c>
      <c r="K804" s="221">
        <v>34.755</v>
      </c>
      <c r="L804" s="221">
        <v>180.82</v>
      </c>
      <c r="M804" s="221">
        <v>7.35</v>
      </c>
      <c r="N804" s="221">
        <v>107.74</v>
      </c>
      <c r="O804" s="213">
        <v>0.003073962137031261</v>
      </c>
      <c r="P804" s="214">
        <v>0.005522706912723756</v>
      </c>
      <c r="Q804" s="214">
        <v>0.0038084907794699494</v>
      </c>
      <c r="R804" s="214">
        <v>0.0027279120346394756</v>
      </c>
      <c r="S804" s="214">
        <v>-1.696456733757031E-4</v>
      </c>
    </row>
    <row r="805">
      <c r="A805" s="208">
        <v>42450.0</v>
      </c>
      <c r="B805" s="220">
        <v>0.01232092485092188</v>
      </c>
      <c r="C805" s="220">
        <v>0.005157142857142855</v>
      </c>
      <c r="D805" s="220">
        <v>0.017478067708064746</v>
      </c>
      <c r="E805" s="222">
        <v>-0.00599941709951891</v>
      </c>
      <c r="F805" s="210">
        <v>-18.93394078440315</v>
      </c>
      <c r="G805" s="209">
        <v>3861.209938641779</v>
      </c>
      <c r="H805" s="210">
        <v>7746.785000000001</v>
      </c>
      <c r="I805" s="210">
        <v>0.0</v>
      </c>
      <c r="J805" s="215">
        <v>4.31</v>
      </c>
      <c r="K805" s="221">
        <v>34.561</v>
      </c>
      <c r="L805" s="221">
        <v>180.04</v>
      </c>
      <c r="M805" s="221">
        <v>7.32</v>
      </c>
      <c r="N805" s="221">
        <v>106.94</v>
      </c>
      <c r="O805" s="213">
        <v>-0.0031061543206546047</v>
      </c>
      <c r="P805" s="214">
        <v>-0.0016331212398446409</v>
      </c>
      <c r="Q805" s="214">
        <v>-0.002365735025787593</v>
      </c>
      <c r="R805" s="214">
        <v>0.0013673678169524213</v>
      </c>
      <c r="S805" s="214">
        <v>-5.418857208582631E-4</v>
      </c>
    </row>
    <row r="806">
      <c r="A806" s="208">
        <v>42447.0</v>
      </c>
      <c r="B806" s="220">
        <v>0.012420916523772151</v>
      </c>
      <c r="C806" s="220">
        <v>0.005142857142857141</v>
      </c>
      <c r="D806" s="220">
        <v>0.0175637736666293</v>
      </c>
      <c r="E806" s="222">
        <v>-0.00599941709951891</v>
      </c>
      <c r="F806" s="210">
        <v>-18.93394078440315</v>
      </c>
      <c r="G806" s="209">
        <v>3880.143879426182</v>
      </c>
      <c r="H806" s="210">
        <v>7746.785000000001</v>
      </c>
      <c r="I806" s="210">
        <v>0.0</v>
      </c>
      <c r="J806" s="215">
        <v>4.32</v>
      </c>
      <c r="K806" s="221">
        <v>34.481</v>
      </c>
      <c r="L806" s="221">
        <v>179.98</v>
      </c>
      <c r="M806" s="221">
        <v>7.3</v>
      </c>
      <c r="N806" s="221">
        <v>107.23</v>
      </c>
      <c r="O806" s="213">
        <v>-0.0023327591157048153</v>
      </c>
      <c r="P806" s="214">
        <v>-5.232543681891929E-4</v>
      </c>
      <c r="Q806" s="214">
        <v>-0.0024952071836978527</v>
      </c>
      <c r="R806" s="214">
        <v>0.004114599971187165</v>
      </c>
      <c r="S806" s="214">
        <v>3.30927294333853E-4</v>
      </c>
    </row>
    <row r="807">
      <c r="A807" s="208">
        <v>42446.0</v>
      </c>
      <c r="B807" s="220">
        <v>0.012520908196622422</v>
      </c>
      <c r="C807" s="220">
        <v>0.005128571428571427</v>
      </c>
      <c r="D807" s="220">
        <v>0.017649479625193858</v>
      </c>
      <c r="E807" s="222">
        <v>-0.00599941709951891</v>
      </c>
      <c r="F807" s="210">
        <v>-18.93394078440315</v>
      </c>
      <c r="G807" s="209">
        <v>3899.0778202105853</v>
      </c>
      <c r="H807" s="210">
        <v>7746.785000000001</v>
      </c>
      <c r="I807" s="210">
        <v>0.0</v>
      </c>
      <c r="J807" s="215">
        <v>4.3</v>
      </c>
      <c r="K807" s="221">
        <v>34.182</v>
      </c>
      <c r="L807" s="221">
        <v>178.76</v>
      </c>
      <c r="M807" s="221">
        <v>7.29</v>
      </c>
      <c r="N807" s="221">
        <v>107.79</v>
      </c>
      <c r="O807" s="213">
        <v>-0.003875968992248069</v>
      </c>
      <c r="P807" s="214">
        <v>-0.004861793270056092</v>
      </c>
      <c r="Q807" s="214">
        <v>-0.004773102218280719</v>
      </c>
      <c r="R807" s="214">
        <v>0.0013463747132691495</v>
      </c>
      <c r="S807" s="214">
        <v>-0.001226747793109828</v>
      </c>
    </row>
    <row r="808">
      <c r="A808" s="208">
        <v>42445.0</v>
      </c>
      <c r="B808" s="220">
        <v>0.012620899869472693</v>
      </c>
      <c r="C808" s="220">
        <v>0.005114285714285713</v>
      </c>
      <c r="D808" s="220">
        <v>0.017735185583758414</v>
      </c>
      <c r="E808" s="222">
        <v>-0.00599941709951891</v>
      </c>
      <c r="F808" s="210">
        <v>-18.93394078440315</v>
      </c>
      <c r="G808" s="209">
        <v>3918.0117609949884</v>
      </c>
      <c r="H808" s="210">
        <v>7746.785000000001</v>
      </c>
      <c r="I808" s="210">
        <v>0.0</v>
      </c>
      <c r="J808" s="215">
        <v>4.35</v>
      </c>
      <c r="K808" s="221">
        <v>34.725</v>
      </c>
      <c r="L808" s="221">
        <v>181.3</v>
      </c>
      <c r="M808" s="221">
        <v>7.29</v>
      </c>
      <c r="N808" s="221">
        <v>107.11</v>
      </c>
      <c r="O808" s="213">
        <v>0.003065134099616914</v>
      </c>
      <c r="P808" s="214">
        <v>0.002653755239019784</v>
      </c>
      <c r="Q808" s="214">
        <v>0.0024634133857535843</v>
      </c>
      <c r="R808" s="214">
        <v>-3.1035755050479175E-5</v>
      </c>
      <c r="S808" s="214">
        <v>-0.006010319431580073</v>
      </c>
    </row>
    <row r="809">
      <c r="A809" s="208">
        <v>42444.0</v>
      </c>
      <c r="B809" s="220">
        <v>0.012720891542322964</v>
      </c>
      <c r="C809" s="220">
        <v>0.005099999999999999</v>
      </c>
      <c r="D809" s="220">
        <v>0.01782089154232297</v>
      </c>
      <c r="E809" s="222">
        <v>-0.00599941709951891</v>
      </c>
      <c r="F809" s="210">
        <v>-18.93394078440315</v>
      </c>
      <c r="G809" s="209">
        <v>3936.9457017793916</v>
      </c>
      <c r="H809" s="210">
        <v>7746.785000000001</v>
      </c>
      <c r="I809" s="210">
        <v>0.0</v>
      </c>
      <c r="J809" s="215">
        <v>4.35</v>
      </c>
      <c r="K809" s="221">
        <v>34.529</v>
      </c>
      <c r="L809" s="221">
        <v>181.31</v>
      </c>
      <c r="M809" s="221">
        <v>7.21</v>
      </c>
      <c r="N809" s="221">
        <v>107.12</v>
      </c>
      <c r="O809" s="213">
        <v>0.0015183436897173348</v>
      </c>
      <c r="P809" s="214">
        <v>0.008048973969872511</v>
      </c>
      <c r="Q809" s="214">
        <v>0.0017223710973833424</v>
      </c>
      <c r="R809" s="214">
        <v>0.0013407063574323679</v>
      </c>
      <c r="S809" s="214">
        <v>-0.006804508267860647</v>
      </c>
    </row>
    <row r="810">
      <c r="A810" s="208">
        <v>42443.0</v>
      </c>
      <c r="B810" s="220">
        <v>0.012820883215173235</v>
      </c>
      <c r="C810" s="220">
        <v>0.0050857142857142846</v>
      </c>
      <c r="D810" s="220">
        <v>0.017906597500887526</v>
      </c>
      <c r="E810" s="222">
        <v>-0.00599941709951891</v>
      </c>
      <c r="F810" s="210">
        <v>-18.93394078440315</v>
      </c>
      <c r="G810" s="209">
        <v>3955.8796425637947</v>
      </c>
      <c r="H810" s="210">
        <v>7746.785000000001</v>
      </c>
      <c r="I810" s="210">
        <v>0.0</v>
      </c>
      <c r="J810" s="215">
        <v>4.35</v>
      </c>
      <c r="K810" s="221">
        <v>34.679</v>
      </c>
      <c r="L810" s="221">
        <v>181.32</v>
      </c>
      <c r="M810" s="221">
        <v>7.26</v>
      </c>
      <c r="N810" s="221">
        <v>108.18</v>
      </c>
      <c r="O810" s="213">
        <v>-0.0054100627767953435</v>
      </c>
      <c r="P810" s="214">
        <v>0.002137108097297206</v>
      </c>
      <c r="Q810" s="214">
        <v>-0.004635027296485794</v>
      </c>
      <c r="R810" s="214">
        <v>-0.0033114776900514675</v>
      </c>
      <c r="S810" s="214">
        <v>-0.005426992785499296</v>
      </c>
    </row>
    <row r="811">
      <c r="A811" s="208">
        <v>42440.0</v>
      </c>
      <c r="B811" s="220">
        <v>0.012920874888023506</v>
      </c>
      <c r="C811" s="220">
        <v>0.0050714285714285705</v>
      </c>
      <c r="D811" s="220">
        <v>0.01799230345945208</v>
      </c>
      <c r="E811" s="222">
        <v>-0.00599941709951891</v>
      </c>
      <c r="F811" s="210">
        <v>-18.93394078440315</v>
      </c>
      <c r="G811" s="209">
        <v>3974.813583348198</v>
      </c>
      <c r="H811" s="210">
        <v>7746.785000000001</v>
      </c>
      <c r="I811" s="210">
        <v>0.0</v>
      </c>
      <c r="J811" s="215">
        <v>4.31</v>
      </c>
      <c r="K811" s="221">
        <v>34.448</v>
      </c>
      <c r="L811" s="221">
        <v>179.96</v>
      </c>
      <c r="M811" s="221">
        <v>7.29</v>
      </c>
      <c r="N811" s="221">
        <v>109.05</v>
      </c>
      <c r="O811" s="213">
        <v>-0.011491788128297578</v>
      </c>
      <c r="P811" s="214">
        <v>0.0012524004020082098</v>
      </c>
      <c r="Q811" s="214">
        <v>-0.007933093119533385</v>
      </c>
      <c r="R811" s="214">
        <v>0.0017039500588501566</v>
      </c>
      <c r="S811" s="214">
        <v>-0.005808273340342322</v>
      </c>
    </row>
    <row r="812">
      <c r="A812" s="208">
        <v>42439.0</v>
      </c>
      <c r="B812" s="220">
        <v>0.013020866560873777</v>
      </c>
      <c r="C812" s="220">
        <v>0.005057142857142856</v>
      </c>
      <c r="D812" s="220">
        <v>0.018078009418016638</v>
      </c>
      <c r="E812" s="222">
        <v>-0.00599941709951891</v>
      </c>
      <c r="F812" s="210">
        <v>-18.93394078440315</v>
      </c>
      <c r="G812" s="209">
        <v>3993.747524132601</v>
      </c>
      <c r="H812" s="210">
        <v>7746.785000000001</v>
      </c>
      <c r="I812" s="210">
        <v>0.0</v>
      </c>
      <c r="J812" s="215">
        <v>4.33</v>
      </c>
      <c r="K812" s="221">
        <v>33.696</v>
      </c>
      <c r="L812" s="221">
        <v>180.37</v>
      </c>
      <c r="M812" s="221">
        <v>7.18</v>
      </c>
      <c r="N812" s="221">
        <v>109.32</v>
      </c>
      <c r="O812" s="213">
        <v>-0.0047133086302067655</v>
      </c>
      <c r="P812" s="214">
        <v>-0.009784981473896726</v>
      </c>
      <c r="Q812" s="214">
        <v>-0.006468140296581382</v>
      </c>
      <c r="R812" s="214">
        <v>-0.007003931939793835</v>
      </c>
      <c r="S812" s="214">
        <v>-0.00585414866062665</v>
      </c>
    </row>
    <row r="813">
      <c r="A813" s="208">
        <v>42438.0</v>
      </c>
      <c r="B813" s="220">
        <v>0.013120858233724048</v>
      </c>
      <c r="C813" s="220">
        <v>0.005042857142857142</v>
      </c>
      <c r="D813" s="220">
        <v>0.018163715376581194</v>
      </c>
      <c r="E813" s="222">
        <v>-0.00599941709951891</v>
      </c>
      <c r="F813" s="210">
        <v>-18.93394078440315</v>
      </c>
      <c r="G813" s="209">
        <v>4012.681464917004</v>
      </c>
      <c r="H813" s="210">
        <v>7746.785000000001</v>
      </c>
      <c r="I813" s="210">
        <v>0.0</v>
      </c>
      <c r="J813" s="215">
        <v>4.42</v>
      </c>
      <c r="K813" s="221">
        <v>34.44</v>
      </c>
      <c r="L813" s="221">
        <v>183.82</v>
      </c>
      <c r="M813" s="221">
        <v>7.33</v>
      </c>
      <c r="N813" s="221">
        <v>109.95</v>
      </c>
      <c r="O813" s="213">
        <v>0.002974399278978653</v>
      </c>
      <c r="P813" s="214">
        <v>-0.0021367816249992697</v>
      </c>
      <c r="Q813" s="214">
        <v>5.058915786223898E-4</v>
      </c>
      <c r="R813" s="214">
        <v>0.004052625801696741</v>
      </c>
      <c r="S813" s="214">
        <v>-0.0046822463595787385</v>
      </c>
    </row>
    <row r="814">
      <c r="A814" s="208">
        <v>42437.0</v>
      </c>
      <c r="B814" s="220">
        <v>0.013220849906574319</v>
      </c>
      <c r="C814" s="220">
        <v>0.005028571428571428</v>
      </c>
      <c r="D814" s="220">
        <v>0.01824942133514575</v>
      </c>
      <c r="E814" s="222">
        <v>-0.00599941709951891</v>
      </c>
      <c r="F814" s="210">
        <v>-18.93394078440315</v>
      </c>
      <c r="G814" s="209">
        <v>4031.6154057014073</v>
      </c>
      <c r="H814" s="210">
        <v>7746.785000000001</v>
      </c>
      <c r="I814" s="210">
        <v>0.0</v>
      </c>
      <c r="J814" s="215">
        <v>4.46</v>
      </c>
      <c r="K814" s="221">
        <v>34.302</v>
      </c>
      <c r="L814" s="221">
        <v>184.26</v>
      </c>
      <c r="M814" s="221">
        <v>7.25</v>
      </c>
      <c r="N814" s="221">
        <v>110.96</v>
      </c>
      <c r="O814" s="213">
        <v>-9.72895300187145E-5</v>
      </c>
      <c r="P814" s="214">
        <v>-0.0016066405950830494</v>
      </c>
      <c r="Q814" s="214">
        <v>-0.0023284955138701915</v>
      </c>
      <c r="R814" s="214">
        <v>0.004558254929954468</v>
      </c>
      <c r="S814" s="214">
        <v>-4.244338330260759E-4</v>
      </c>
    </row>
    <row r="815">
      <c r="A815" s="208">
        <v>42436.0</v>
      </c>
      <c r="B815" s="220">
        <v>0.01332084157942459</v>
      </c>
      <c r="C815" s="220">
        <v>0.005014285714285714</v>
      </c>
      <c r="D815" s="220">
        <v>0.018335127293710306</v>
      </c>
      <c r="E815" s="222">
        <v>-0.00599941709951891</v>
      </c>
      <c r="F815" s="210">
        <v>-18.93394078440315</v>
      </c>
      <c r="G815" s="209">
        <v>4050.5493464858105</v>
      </c>
      <c r="H815" s="210">
        <v>7746.785000000001</v>
      </c>
      <c r="I815" s="210">
        <v>0.0</v>
      </c>
      <c r="J815" s="215">
        <v>4.39</v>
      </c>
      <c r="K815" s="221">
        <v>34.689</v>
      </c>
      <c r="L815" s="221">
        <v>183.87</v>
      </c>
      <c r="M815" s="221">
        <v>7.33</v>
      </c>
      <c r="N815" s="221">
        <v>111.25</v>
      </c>
      <c r="O815" s="213">
        <v>-0.006823746929121873</v>
      </c>
      <c r="P815" s="214">
        <v>-0.0011729736964880184</v>
      </c>
      <c r="Q815" s="214">
        <v>-0.005872581632298128</v>
      </c>
      <c r="R815" s="214">
        <v>0.005905413518492275</v>
      </c>
      <c r="S815" s="214">
        <v>0.002636970000219637</v>
      </c>
    </row>
    <row r="816">
      <c r="A816" s="208">
        <v>42433.0</v>
      </c>
      <c r="B816" s="30">
        <v>0.01342083325227486</v>
      </c>
      <c r="C816" s="30">
        <v>0.005</v>
      </c>
      <c r="D816" s="164">
        <v>0.018420833252274862</v>
      </c>
      <c r="E816" s="164">
        <v>0.01698228097820644</v>
      </c>
      <c r="F816" s="210">
        <v>117.24006264076434</v>
      </c>
      <c r="G816" s="209">
        <v>4069.4832872702136</v>
      </c>
      <c r="H816" s="210">
        <v>7746.785000000001</v>
      </c>
      <c r="I816" s="210">
        <v>0.0</v>
      </c>
      <c r="J816" s="215">
        <v>4.38</v>
      </c>
      <c r="K816" s="221">
        <v>34.659</v>
      </c>
      <c r="L816" s="221">
        <v>183.54</v>
      </c>
      <c r="M816" s="221">
        <v>7.24</v>
      </c>
      <c r="N816" s="221">
        <v>111.5</v>
      </c>
      <c r="O816" s="213">
        <v>-0.0075830483717946135</v>
      </c>
      <c r="P816" s="214">
        <v>0.0019382544409090041</v>
      </c>
      <c r="Q816" s="214">
        <v>-0.0072546411403437245</v>
      </c>
      <c r="R816" s="214">
        <v>0.005053384818578273</v>
      </c>
      <c r="S816" s="214">
        <v>0.005349127506516986</v>
      </c>
    </row>
    <row r="817">
      <c r="A817" s="208">
        <v>42432.0</v>
      </c>
      <c r="B817" s="220">
        <v>0.012921386971705905</v>
      </c>
      <c r="C817" s="220">
        <v>0.004968750000000001</v>
      </c>
      <c r="D817" s="220">
        <v>0.0178901369717059</v>
      </c>
      <c r="E817" s="222">
        <v>0.01698228097820644</v>
      </c>
      <c r="F817" s="210">
        <v>117.24006264076615</v>
      </c>
      <c r="G817" s="209">
        <v>3952.2432246294493</v>
      </c>
      <c r="H817" s="210">
        <v>7746.785000000001</v>
      </c>
      <c r="I817" s="210">
        <v>0.0</v>
      </c>
      <c r="J817" s="215">
        <v>4.46</v>
      </c>
      <c r="K817" s="221">
        <v>34.465</v>
      </c>
      <c r="L817" s="221">
        <v>185.54</v>
      </c>
      <c r="M817" s="221">
        <v>7.15</v>
      </c>
      <c r="N817" s="221">
        <v>111.1</v>
      </c>
      <c r="O817" s="213">
        <v>-0.005215006406149876</v>
      </c>
      <c r="P817" s="214">
        <v>0.0013978959465381635</v>
      </c>
      <c r="Q817" s="214">
        <v>-0.005008595137132958</v>
      </c>
      <c r="R817" s="214">
        <v>0.0013772465911316238</v>
      </c>
      <c r="S817" s="214">
        <v>0.0033026627180378445</v>
      </c>
    </row>
    <row r="818">
      <c r="A818" s="208">
        <v>42431.0</v>
      </c>
      <c r="B818" s="220">
        <v>0.012421940691136954</v>
      </c>
      <c r="C818" s="220">
        <v>0.004937500000000001</v>
      </c>
      <c r="D818" s="220">
        <v>0.01735944069113695</v>
      </c>
      <c r="E818" s="222">
        <v>0.01698228097820644</v>
      </c>
      <c r="F818" s="210">
        <v>117.24006264076615</v>
      </c>
      <c r="G818" s="209">
        <v>3835.003161988683</v>
      </c>
      <c r="H818" s="210">
        <v>7746.785000000001</v>
      </c>
      <c r="I818" s="210">
        <v>0.0</v>
      </c>
      <c r="J818" s="215">
        <v>4.48</v>
      </c>
      <c r="K818" s="221">
        <v>34.809</v>
      </c>
      <c r="L818" s="221">
        <v>187.12</v>
      </c>
      <c r="M818" s="221">
        <v>7.2</v>
      </c>
      <c r="N818" s="221">
        <v>110.37</v>
      </c>
      <c r="O818" s="213">
        <v>-7.76897403552986E-4</v>
      </c>
      <c r="P818" s="214">
        <v>0.007104715610625682</v>
      </c>
      <c r="Q818" s="214">
        <v>2.7235759915737273E-4</v>
      </c>
      <c r="R818" s="214">
        <v>0.006985402480186272</v>
      </c>
      <c r="S818" s="214">
        <v>0.008536686120378167</v>
      </c>
    </row>
    <row r="819">
      <c r="A819" s="208">
        <v>42430.0</v>
      </c>
      <c r="B819" s="220">
        <v>0.011922494410568004</v>
      </c>
      <c r="C819" s="220">
        <v>0.004906250000000001</v>
      </c>
      <c r="D819" s="220">
        <v>0.016828744410568</v>
      </c>
      <c r="E819" s="222">
        <v>0.01698228097820644</v>
      </c>
      <c r="F819" s="210">
        <v>117.24006264076615</v>
      </c>
      <c r="G819" s="209">
        <v>3717.763099347917</v>
      </c>
      <c r="H819" s="210">
        <v>7746.785000000001</v>
      </c>
      <c r="I819" s="210">
        <v>0.0</v>
      </c>
      <c r="J819" s="215">
        <v>4.48</v>
      </c>
      <c r="K819" s="221">
        <v>34.454</v>
      </c>
      <c r="L819" s="221">
        <v>187.56</v>
      </c>
      <c r="M819" s="221">
        <v>7.13</v>
      </c>
      <c r="N819" s="221">
        <v>109.72</v>
      </c>
      <c r="O819" s="213">
        <v>-0.002261678398356226</v>
      </c>
      <c r="P819" s="214">
        <v>0.010426272932912909</v>
      </c>
      <c r="Q819" s="214">
        <v>0.0022863780150078985</v>
      </c>
      <c r="R819" s="214">
        <v>0.008945607365923128</v>
      </c>
      <c r="S819" s="214">
        <v>0.0038151853419853645</v>
      </c>
    </row>
    <row r="820">
      <c r="A820" s="208">
        <v>42429.0</v>
      </c>
      <c r="B820" s="220">
        <v>0.011423048129999053</v>
      </c>
      <c r="C820" s="220">
        <v>0.004875000000000001</v>
      </c>
      <c r="D820" s="220">
        <v>0.01629804812999905</v>
      </c>
      <c r="E820" s="222">
        <v>0.01698228097820644</v>
      </c>
      <c r="F820" s="210">
        <v>117.24006264076615</v>
      </c>
      <c r="G820" s="209">
        <v>3600.523036707151</v>
      </c>
      <c r="H820" s="210">
        <v>7746.785000000001</v>
      </c>
      <c r="I820" s="210">
        <v>0.0</v>
      </c>
      <c r="J820" s="215">
        <v>4.53</v>
      </c>
      <c r="K820" s="221">
        <v>34.317</v>
      </c>
      <c r="L820" s="221">
        <v>188.34</v>
      </c>
      <c r="M820" s="221">
        <v>7.12</v>
      </c>
      <c r="N820" s="221">
        <v>110.0</v>
      </c>
      <c r="O820" s="213">
        <v>-1.9636903266044097E-5</v>
      </c>
      <c r="P820" s="214">
        <v>0.01546097596390339</v>
      </c>
      <c r="Q820" s="214">
        <v>0.0030999556472955936</v>
      </c>
      <c r="R820" s="214">
        <v>0.0089584065812639</v>
      </c>
      <c r="S820" s="214">
        <v>0.0018685896929732844</v>
      </c>
    </row>
    <row r="821">
      <c r="A821" s="208">
        <v>42426.0</v>
      </c>
      <c r="B821" s="220">
        <v>0.010923601849430102</v>
      </c>
      <c r="C821" s="220">
        <v>0.004843750000000001</v>
      </c>
      <c r="D821" s="220">
        <v>0.015767351849430098</v>
      </c>
      <c r="E821" s="222">
        <v>0.01698228097820644</v>
      </c>
      <c r="F821" s="210">
        <v>117.24006264076615</v>
      </c>
      <c r="G821" s="209">
        <v>3483.2829740663847</v>
      </c>
      <c r="H821" s="210">
        <v>7746.785000000001</v>
      </c>
      <c r="I821" s="210">
        <v>0.0</v>
      </c>
      <c r="J821" s="215">
        <v>4.49</v>
      </c>
      <c r="K821" s="221">
        <v>34.072</v>
      </c>
      <c r="L821" s="221">
        <v>186.96</v>
      </c>
      <c r="M821" s="221">
        <v>7.05</v>
      </c>
      <c r="N821" s="221">
        <v>107.55</v>
      </c>
      <c r="O821" s="213">
        <v>-1.9636903266044097E-5</v>
      </c>
      <c r="P821" s="214">
        <v>0.007971476259577096</v>
      </c>
      <c r="Q821" s="214">
        <v>0.0019259423113787328</v>
      </c>
      <c r="R821" s="214">
        <v>0.004719252061210488</v>
      </c>
      <c r="S821" s="214">
        <v>1.7518098310365104E-4</v>
      </c>
    </row>
    <row r="822">
      <c r="A822" s="208">
        <v>42425.0</v>
      </c>
      <c r="B822" s="220">
        <v>0.010424155568861152</v>
      </c>
      <c r="C822" s="220">
        <v>0.004812500000000001</v>
      </c>
      <c r="D822" s="220">
        <v>0.015236655568861147</v>
      </c>
      <c r="E822" s="222">
        <v>0.01698228097820644</v>
      </c>
      <c r="F822" s="210">
        <v>117.24006264076615</v>
      </c>
      <c r="G822" s="209">
        <v>3366.0429114256185</v>
      </c>
      <c r="H822" s="210">
        <v>7746.785000000001</v>
      </c>
      <c r="I822" s="210">
        <v>0.0</v>
      </c>
      <c r="J822" s="215">
        <v>4.51</v>
      </c>
      <c r="K822" s="221">
        <v>33.385</v>
      </c>
      <c r="L822" s="221">
        <v>186.27</v>
      </c>
      <c r="M822" s="221">
        <v>6.94</v>
      </c>
      <c r="N822" s="221">
        <v>108.44</v>
      </c>
      <c r="O822" s="213">
        <v>0.00294992508634051</v>
      </c>
      <c r="P822" s="214">
        <v>-0.0018373043206596125</v>
      </c>
      <c r="Q822" s="214">
        <v>0.001448906731672232</v>
      </c>
      <c r="R822" s="214">
        <v>-0.005277856634811358</v>
      </c>
      <c r="S822" s="214">
        <v>0.0074309670391621285</v>
      </c>
    </row>
    <row r="823">
      <c r="A823" s="208">
        <v>42424.0</v>
      </c>
      <c r="B823" s="220">
        <v>0.009924709288292201</v>
      </c>
      <c r="C823" s="220">
        <v>0.004781250000000001</v>
      </c>
      <c r="D823" s="220">
        <v>0.014705959288292197</v>
      </c>
      <c r="E823" s="222">
        <v>0.01698228097820644</v>
      </c>
      <c r="F823" s="210">
        <v>117.24006264076615</v>
      </c>
      <c r="G823" s="209">
        <v>3248.8028487848524</v>
      </c>
      <c r="H823" s="210">
        <v>7746.785000000001</v>
      </c>
      <c r="I823" s="210">
        <v>0.0</v>
      </c>
      <c r="J823" s="215">
        <v>4.53</v>
      </c>
      <c r="K823" s="221">
        <v>32.748</v>
      </c>
      <c r="L823" s="221">
        <v>186.59</v>
      </c>
      <c r="M823" s="221">
        <v>6.93</v>
      </c>
      <c r="N823" s="221">
        <v>109.35</v>
      </c>
      <c r="O823" s="213">
        <v>0.005919545996704671</v>
      </c>
      <c r="P823" s="214">
        <v>-0.0010853814168706084</v>
      </c>
      <c r="Q823" s="214">
        <v>0.004483898053383155</v>
      </c>
      <c r="R823" s="214">
        <v>0.0018068477887856667</v>
      </c>
      <c r="S823" s="214">
        <v>0.006801186480693759</v>
      </c>
    </row>
    <row r="824">
      <c r="A824" s="208">
        <v>42423.0</v>
      </c>
      <c r="B824" s="220">
        <v>0.00942526300772325</v>
      </c>
      <c r="C824" s="220">
        <v>0.004750000000000001</v>
      </c>
      <c r="D824" s="220">
        <v>0.014175263007723246</v>
      </c>
      <c r="E824" s="222">
        <v>0.01698228097820644</v>
      </c>
      <c r="F824" s="210">
        <v>117.24006264076615</v>
      </c>
      <c r="G824" s="209">
        <v>3131.562786144086</v>
      </c>
      <c r="H824" s="210">
        <v>7746.785000000001</v>
      </c>
      <c r="I824" s="210">
        <v>0.0</v>
      </c>
      <c r="J824" s="215">
        <v>4.49</v>
      </c>
      <c r="K824" s="221">
        <v>33.25</v>
      </c>
      <c r="L824" s="221">
        <v>185.88</v>
      </c>
      <c r="M824" s="221">
        <v>6.95</v>
      </c>
      <c r="N824" s="221">
        <v>107.47</v>
      </c>
      <c r="O824" s="213">
        <v>0.0052233963162555685</v>
      </c>
      <c r="P824" s="214">
        <v>0.002583101450173079</v>
      </c>
      <c r="Q824" s="214">
        <v>0.0031068774577123945</v>
      </c>
      <c r="R824" s="214">
        <v>-6.177018055752251E-4</v>
      </c>
      <c r="S824" s="214">
        <v>0.003528884493828562</v>
      </c>
    </row>
    <row r="825">
      <c r="A825" s="208">
        <v>42422.0</v>
      </c>
      <c r="B825" s="220">
        <v>0.0089258167271543</v>
      </c>
      <c r="C825" s="220">
        <v>0.004718750000000001</v>
      </c>
      <c r="D825" s="220">
        <v>0.013644566727154295</v>
      </c>
      <c r="E825" s="222">
        <v>0.01698228097820644</v>
      </c>
      <c r="F825" s="210">
        <v>117.24006264076615</v>
      </c>
      <c r="G825" s="209">
        <v>3014.32272350332</v>
      </c>
      <c r="H825" s="210">
        <v>7746.785000000001</v>
      </c>
      <c r="I825" s="210">
        <v>0.0</v>
      </c>
      <c r="J825" s="215">
        <v>4.47</v>
      </c>
      <c r="K825" s="221">
        <v>33.558</v>
      </c>
      <c r="L825" s="221">
        <v>185.46</v>
      </c>
      <c r="M825" s="221">
        <v>7.05</v>
      </c>
      <c r="N825" s="221">
        <v>106.02</v>
      </c>
      <c r="O825" s="213">
        <v>0.008263502199280256</v>
      </c>
      <c r="P825" s="214">
        <v>0.006408552173756281</v>
      </c>
      <c r="Q825" s="214">
        <v>0.0053041966242094825</v>
      </c>
      <c r="R825" s="214">
        <v>0.004657388467034229</v>
      </c>
      <c r="S825" s="214">
        <v>0.002825084512457036</v>
      </c>
    </row>
    <row r="826">
      <c r="A826" s="208">
        <v>42419.0</v>
      </c>
      <c r="B826" s="220">
        <v>0.00842637044658535</v>
      </c>
      <c r="C826" s="220">
        <v>0.004687500000000001</v>
      </c>
      <c r="D826" s="220">
        <v>0.013113870446585345</v>
      </c>
      <c r="E826" s="222">
        <v>0.01698228097820644</v>
      </c>
      <c r="F826" s="210">
        <v>117.24006264076615</v>
      </c>
      <c r="G826" s="209">
        <v>2897.082660862554</v>
      </c>
      <c r="H826" s="210">
        <v>7746.785000000001</v>
      </c>
      <c r="I826" s="210">
        <v>0.0</v>
      </c>
      <c r="J826" s="215">
        <v>4.45</v>
      </c>
      <c r="K826" s="221">
        <v>32.842</v>
      </c>
      <c r="L826" s="221">
        <v>184.09</v>
      </c>
      <c r="M826" s="221">
        <v>6.89</v>
      </c>
      <c r="N826" s="221">
        <v>107.11</v>
      </c>
      <c r="O826" s="213">
        <v>0.003713973913528864</v>
      </c>
      <c r="P826" s="214">
        <v>0.006710422040484702</v>
      </c>
      <c r="Q826" s="214">
        <v>0.0011434067393572</v>
      </c>
      <c r="R826" s="214">
        <v>0.0028477723301565394</v>
      </c>
      <c r="S826" s="214">
        <v>0.006188685242080198</v>
      </c>
    </row>
    <row r="827">
      <c r="A827" s="208">
        <v>42418.0</v>
      </c>
      <c r="B827" s="220">
        <v>0.007926924166016399</v>
      </c>
      <c r="C827" s="220">
        <v>0.004656250000000001</v>
      </c>
      <c r="D827" s="220">
        <v>0.012583174166016394</v>
      </c>
      <c r="E827" s="222">
        <v>0.01698228097820644</v>
      </c>
      <c r="F827" s="210">
        <v>117.24006264076615</v>
      </c>
      <c r="G827" s="209">
        <v>2779.8425982217877</v>
      </c>
      <c r="H827" s="210">
        <v>7746.785000000001</v>
      </c>
      <c r="I827" s="210">
        <v>0.0</v>
      </c>
      <c r="J827" s="215">
        <v>4.42</v>
      </c>
      <c r="K827" s="221">
        <v>32.984</v>
      </c>
      <c r="L827" s="221">
        <v>184.15</v>
      </c>
      <c r="M827" s="221">
        <v>6.96</v>
      </c>
      <c r="N827" s="221">
        <v>106.32</v>
      </c>
      <c r="O827" s="213">
        <v>-4.836861285858104E-5</v>
      </c>
      <c r="P827" s="214">
        <v>0.007436914119294628</v>
      </c>
      <c r="Q827" s="214">
        <v>0.0012702195064641468</v>
      </c>
      <c r="R827" s="214">
        <v>0.004282151095400755</v>
      </c>
      <c r="S827" s="214">
        <v>0.007154485294273982</v>
      </c>
    </row>
    <row r="828">
      <c r="A828" s="208">
        <v>42417.0</v>
      </c>
      <c r="B828" s="220">
        <v>0.007427477885447447</v>
      </c>
      <c r="C828" s="220">
        <v>0.004625000000000001</v>
      </c>
      <c r="D828" s="220">
        <v>0.012052477885447443</v>
      </c>
      <c r="E828" s="222">
        <v>0.01698228097820644</v>
      </c>
      <c r="F828" s="210">
        <v>117.24006264076615</v>
      </c>
      <c r="G828" s="209">
        <v>2662.6025355810216</v>
      </c>
      <c r="H828" s="210">
        <v>7746.785000000001</v>
      </c>
      <c r="I828" s="210">
        <v>0.0</v>
      </c>
      <c r="J828" s="215">
        <v>4.36</v>
      </c>
      <c r="K828" s="221">
        <v>32.911</v>
      </c>
      <c r="L828" s="221">
        <v>182.52</v>
      </c>
      <c r="M828" s="221">
        <v>6.95</v>
      </c>
      <c r="N828" s="221">
        <v>105.11</v>
      </c>
      <c r="O828" s="213">
        <v>-0.0038191076777152797</v>
      </c>
      <c r="P828" s="214">
        <v>0.013852081064915497</v>
      </c>
      <c r="Q828" s="214">
        <v>-2.629165768363399E-4</v>
      </c>
      <c r="R828" s="214">
        <v>0.0057440293265908675</v>
      </c>
      <c r="S828" s="214">
        <v>-0.00442381272305703</v>
      </c>
    </row>
    <row r="829">
      <c r="A829" s="208">
        <v>42416.0</v>
      </c>
      <c r="B829" s="220">
        <v>0.006928031604878496</v>
      </c>
      <c r="C829" s="220">
        <v>0.004593750000000001</v>
      </c>
      <c r="D829" s="220">
        <v>0.011521781604878493</v>
      </c>
      <c r="E829" s="222">
        <v>0.01698228097820644</v>
      </c>
      <c r="F829" s="210">
        <v>117.24006264076615</v>
      </c>
      <c r="G829" s="209">
        <v>2545.3624729402554</v>
      </c>
      <c r="H829" s="210">
        <v>7746.785000000001</v>
      </c>
      <c r="I829" s="210">
        <v>0.0</v>
      </c>
      <c r="J829" s="215">
        <v>4.4</v>
      </c>
      <c r="K829" s="221">
        <v>32.179</v>
      </c>
      <c r="L829" s="221">
        <v>183.45</v>
      </c>
      <c r="M829" s="221">
        <v>6.83</v>
      </c>
      <c r="N829" s="221">
        <v>105.13</v>
      </c>
      <c r="O829" s="213">
        <v>-0.006052008993185476</v>
      </c>
      <c r="P829" s="214">
        <v>0.018902759688619764</v>
      </c>
      <c r="Q829" s="214">
        <v>0.0015085227940942285</v>
      </c>
      <c r="R829" s="214">
        <v>0.008773406703166842</v>
      </c>
      <c r="S829" s="214">
        <v>-0.005769102357140565</v>
      </c>
    </row>
    <row r="830">
      <c r="A830" s="208">
        <v>42415.0</v>
      </c>
      <c r="B830" s="220">
        <v>0.006428585324309544</v>
      </c>
      <c r="C830" s="220">
        <v>0.004562500000000001</v>
      </c>
      <c r="D830" s="220">
        <v>0.010991085324309542</v>
      </c>
      <c r="E830" s="222">
        <v>0.01698228097820644</v>
      </c>
      <c r="F830" s="210">
        <v>117.24006264076615</v>
      </c>
      <c r="G830" s="209">
        <v>2428.1224102994893</v>
      </c>
      <c r="H830" s="210">
        <v>7746.785000000001</v>
      </c>
      <c r="I830" s="210">
        <v>0.0</v>
      </c>
      <c r="J830" s="215">
        <v>4.42</v>
      </c>
      <c r="K830" s="221">
        <v>32.248</v>
      </c>
      <c r="L830" s="221">
        <v>183.44</v>
      </c>
      <c r="M830" s="221">
        <v>6.87</v>
      </c>
      <c r="N830" s="221">
        <v>104.05</v>
      </c>
      <c r="O830" s="213">
        <v>-8.16619382795869E-4</v>
      </c>
      <c r="P830" s="214">
        <v>0.006032224915625273</v>
      </c>
      <c r="Q830" s="214">
        <v>0.0016546280836493565</v>
      </c>
      <c r="R830" s="214">
        <v>0.008219312830124115</v>
      </c>
      <c r="S830" s="214">
        <v>0.004242146772787485</v>
      </c>
    </row>
    <row r="831">
      <c r="A831" s="208">
        <v>42412.0</v>
      </c>
      <c r="B831" s="220">
        <v>0.005929139043740593</v>
      </c>
      <c r="C831" s="220">
        <v>0.0045312500000000006</v>
      </c>
      <c r="D831" s="220">
        <v>0.010460389043740592</v>
      </c>
      <c r="E831" s="222">
        <v>0.01698228097820644</v>
      </c>
      <c r="F831" s="210">
        <v>117.24006264076615</v>
      </c>
      <c r="G831" s="209">
        <v>2310.882347658723</v>
      </c>
      <c r="H831" s="210">
        <v>7746.785000000001</v>
      </c>
      <c r="I831" s="210">
        <v>0.0</v>
      </c>
      <c r="J831" s="215">
        <v>4.41</v>
      </c>
      <c r="K831" s="221">
        <v>31.556</v>
      </c>
      <c r="L831" s="221">
        <v>182.66</v>
      </c>
      <c r="M831" s="221">
        <v>6.83</v>
      </c>
      <c r="N831" s="221">
        <v>106.48</v>
      </c>
      <c r="O831" s="213">
        <v>0.0021914600427580164</v>
      </c>
      <c r="P831" s="214">
        <v>0.003824393076372279</v>
      </c>
      <c r="Q831" s="214">
        <v>0.0029948084833737085</v>
      </c>
      <c r="R831" s="214">
        <v>0.005283482520246981</v>
      </c>
      <c r="S831" s="214">
        <v>0.014365591052598825</v>
      </c>
    </row>
    <row r="832">
      <c r="A832" s="208">
        <v>42411.0</v>
      </c>
      <c r="B832" s="220">
        <v>0.005429692763171641</v>
      </c>
      <c r="C832" s="220">
        <v>0.0045000000000000005</v>
      </c>
      <c r="D832" s="220">
        <v>0.00992969276317164</v>
      </c>
      <c r="E832" s="222">
        <v>0.01698228097820644</v>
      </c>
      <c r="F832" s="210">
        <v>117.24006264076615</v>
      </c>
      <c r="G832" s="209">
        <v>2193.642285017957</v>
      </c>
      <c r="H832" s="210">
        <v>7746.785000000001</v>
      </c>
      <c r="I832" s="210">
        <v>0.0</v>
      </c>
      <c r="J832" s="215">
        <v>4.48</v>
      </c>
      <c r="K832" s="221">
        <v>30.376</v>
      </c>
      <c r="L832" s="221">
        <v>182.62</v>
      </c>
      <c r="M832" s="221">
        <v>6.65</v>
      </c>
      <c r="N832" s="221">
        <v>106.93</v>
      </c>
      <c r="O832" s="213">
        <v>0.005199360310932229</v>
      </c>
      <c r="P832" s="214">
        <v>-0.010416856262268329</v>
      </c>
      <c r="Q832" s="214">
        <v>-8.530920484370874E-4</v>
      </c>
      <c r="R832" s="214">
        <v>-0.014910020698512438</v>
      </c>
      <c r="S832" s="214">
        <v>0.010932958577760074</v>
      </c>
    </row>
    <row r="833">
      <c r="A833" s="208">
        <v>42410.0</v>
      </c>
      <c r="B833" s="220">
        <v>0.00493024648260269</v>
      </c>
      <c r="C833" s="220">
        <v>0.0044687500000000005</v>
      </c>
      <c r="D833" s="220">
        <v>0.00939899648260269</v>
      </c>
      <c r="E833" s="222">
        <v>0.01698228097820644</v>
      </c>
      <c r="F833" s="210">
        <v>117.24006264076593</v>
      </c>
      <c r="G833" s="209">
        <v>2076.402222377191</v>
      </c>
      <c r="H833" s="210">
        <v>7746.785000000001</v>
      </c>
      <c r="I833" s="210">
        <v>0.0</v>
      </c>
      <c r="J833" s="215">
        <v>4.43</v>
      </c>
      <c r="K833" s="221">
        <v>31.614</v>
      </c>
      <c r="L833" s="221">
        <v>182.53</v>
      </c>
      <c r="M833" s="221">
        <v>6.7</v>
      </c>
      <c r="N833" s="221">
        <v>102.62</v>
      </c>
      <c r="O833" s="213">
        <v>0.007525985405414419</v>
      </c>
      <c r="P833" s="214">
        <v>-0.006498034027307531</v>
      </c>
      <c r="Q833" s="214">
        <v>7.123896944563057E-4</v>
      </c>
      <c r="R833" s="214">
        <v>-0.012403755034352018</v>
      </c>
      <c r="S833" s="214">
        <v>0.007879785612929865</v>
      </c>
    </row>
    <row r="834">
      <c r="A834" s="208">
        <v>42409.0</v>
      </c>
      <c r="B834" s="220">
        <v>0.004430800202033738</v>
      </c>
      <c r="C834" s="220">
        <v>0.0044375000000000005</v>
      </c>
      <c r="D834" s="220">
        <v>0.00886830020203374</v>
      </c>
      <c r="E834" s="222">
        <v>0.01698228097820644</v>
      </c>
      <c r="F834" s="210">
        <v>117.24006264076615</v>
      </c>
      <c r="G834" s="209">
        <v>1959.1621597364249</v>
      </c>
      <c r="H834" s="210">
        <v>7746.785000000001</v>
      </c>
      <c r="I834" s="210">
        <v>0.0</v>
      </c>
      <c r="J834" s="215">
        <v>4.38</v>
      </c>
      <c r="K834" s="221">
        <v>31.145</v>
      </c>
      <c r="L834" s="221">
        <v>181.02</v>
      </c>
      <c r="M834" s="221">
        <v>6.72</v>
      </c>
      <c r="N834" s="221">
        <v>101.9</v>
      </c>
      <c r="O834" s="213">
        <v>0.004533581107612816</v>
      </c>
      <c r="P834" s="214">
        <v>-0.014029566102118954</v>
      </c>
      <c r="Q834" s="214">
        <v>-7.273354479119624E-4</v>
      </c>
      <c r="R834" s="214">
        <v>-0.011408730158730155</v>
      </c>
      <c r="S834" s="214">
        <v>0.007637705585682071</v>
      </c>
    </row>
    <row r="835">
      <c r="A835" s="208">
        <v>42408.0</v>
      </c>
      <c r="B835" s="220">
        <v>0.003931353921464787</v>
      </c>
      <c r="C835" s="220">
        <v>0.0044062500000000004</v>
      </c>
      <c r="D835" s="220">
        <v>0.008337603921464789</v>
      </c>
      <c r="E835" s="222">
        <v>0.01698228097820644</v>
      </c>
      <c r="F835" s="210">
        <v>117.24006264076615</v>
      </c>
      <c r="G835" s="209">
        <v>1841.9220970956587</v>
      </c>
      <c r="H835" s="210">
        <v>7746.785000000001</v>
      </c>
      <c r="I835" s="210">
        <v>0.0</v>
      </c>
      <c r="J835" s="215">
        <v>4.41</v>
      </c>
      <c r="K835" s="221">
        <v>31.311</v>
      </c>
      <c r="L835" s="221">
        <v>183.07</v>
      </c>
      <c r="M835" s="221">
        <v>6.95</v>
      </c>
      <c r="N835" s="221">
        <v>103.38</v>
      </c>
      <c r="O835" s="213">
        <v>6.438466242710827E-4</v>
      </c>
      <c r="P835" s="214">
        <v>-0.012365858166918006</v>
      </c>
      <c r="Q835" s="214">
        <v>-0.0015463295826227963</v>
      </c>
      <c r="R835" s="214">
        <v>-0.0023980815347721673</v>
      </c>
      <c r="S835" s="214">
        <v>0.011842729255812867</v>
      </c>
    </row>
    <row r="836">
      <c r="A836" s="208">
        <v>42405.0</v>
      </c>
      <c r="B836" s="220">
        <v>0.003431907640895835</v>
      </c>
      <c r="C836" s="220">
        <v>0.004375</v>
      </c>
      <c r="D836" s="220">
        <v>0.007806907640895838</v>
      </c>
      <c r="E836" s="222">
        <v>0.01698228097820644</v>
      </c>
      <c r="F836" s="210">
        <v>117.24006264076615</v>
      </c>
      <c r="G836" s="209">
        <v>1724.6820344548926</v>
      </c>
      <c r="H836" s="210">
        <v>7746.785000000001</v>
      </c>
      <c r="I836" s="210">
        <v>0.0</v>
      </c>
      <c r="J836" s="215">
        <v>4.33</v>
      </c>
      <c r="K836" s="221">
        <v>32.219</v>
      </c>
      <c r="L836" s="221">
        <v>182.12</v>
      </c>
      <c r="M836" s="221">
        <v>6.95</v>
      </c>
      <c r="N836" s="221">
        <v>100.16</v>
      </c>
      <c r="O836" s="213">
        <v>-0.007675743838176448</v>
      </c>
      <c r="P836" s="214">
        <v>-0.0126542377786516</v>
      </c>
      <c r="Q836" s="214">
        <v>-0.006756239127024573</v>
      </c>
      <c r="R836" s="214">
        <v>-0.002874272010962612</v>
      </c>
      <c r="S836" s="214">
        <v>0.0012597597386110326</v>
      </c>
    </row>
    <row r="837">
      <c r="A837" s="208">
        <v>42404.0</v>
      </c>
      <c r="B837" s="220">
        <v>0.002932461360326884</v>
      </c>
      <c r="C837" s="220">
        <v>0.00434375</v>
      </c>
      <c r="D837" s="220">
        <v>0.007276211360326887</v>
      </c>
      <c r="E837" s="222">
        <v>0.01698228097820644</v>
      </c>
      <c r="F837" s="210">
        <v>117.24006264076615</v>
      </c>
      <c r="G837" s="209">
        <v>1607.4419718141264</v>
      </c>
      <c r="H837" s="210">
        <v>7746.785000000001</v>
      </c>
      <c r="I837" s="210">
        <v>0.0</v>
      </c>
      <c r="J837" s="215">
        <v>4.32</v>
      </c>
      <c r="K837" s="221">
        <v>32.469</v>
      </c>
      <c r="L837" s="221">
        <v>181.4</v>
      </c>
      <c r="M837" s="221">
        <v>6.95</v>
      </c>
      <c r="N837" s="221">
        <v>99.53</v>
      </c>
      <c r="O837" s="213">
        <v>-0.004683339540374846</v>
      </c>
      <c r="P837" s="214">
        <v>-0.01328650666504235</v>
      </c>
      <c r="Q837" s="214">
        <v>-0.006549278480499539</v>
      </c>
      <c r="R837" s="214">
        <v>-0.008104894930601217</v>
      </c>
      <c r="S837" s="214">
        <v>-0.0016720563376939612</v>
      </c>
    </row>
    <row r="838">
      <c r="A838" s="208">
        <v>42403.0</v>
      </c>
      <c r="B838" s="220">
        <v>0.002433015079757933</v>
      </c>
      <c r="C838" s="220">
        <v>0.0043125</v>
      </c>
      <c r="D838" s="220">
        <v>0.006745515079757935</v>
      </c>
      <c r="E838" s="222">
        <v>0.01698228097820644</v>
      </c>
      <c r="F838" s="210">
        <v>117.24006264076615</v>
      </c>
      <c r="G838" s="209">
        <v>1490.2019091733603</v>
      </c>
      <c r="H838" s="210">
        <v>7746.785000000001</v>
      </c>
      <c r="I838" s="210">
        <v>0.0</v>
      </c>
      <c r="J838" s="215">
        <v>4.4</v>
      </c>
      <c r="K838" s="221">
        <v>32.48</v>
      </c>
      <c r="L838" s="221">
        <v>183.9</v>
      </c>
      <c r="M838" s="221">
        <v>7.0</v>
      </c>
      <c r="N838" s="221">
        <v>99.72</v>
      </c>
      <c r="O838" s="213">
        <v>-0.0038377450874745125</v>
      </c>
      <c r="P838" s="214">
        <v>-0.012354383615744924</v>
      </c>
      <c r="Q838" s="214">
        <v>-0.00518112749831956</v>
      </c>
      <c r="R838" s="214">
        <v>-0.010388461335903912</v>
      </c>
      <c r="S838" s="214">
        <v>4.3049451733145894E-4</v>
      </c>
    </row>
    <row r="839">
      <c r="A839" s="208">
        <v>42402.0</v>
      </c>
      <c r="B839" s="220">
        <v>0.001933568799188982</v>
      </c>
      <c r="C839" s="220">
        <v>0.00428125</v>
      </c>
      <c r="D839" s="220">
        <v>0.006214818799188984</v>
      </c>
      <c r="E839" s="222">
        <v>0.01698228097820644</v>
      </c>
      <c r="F839" s="210">
        <v>117.24006264076615</v>
      </c>
      <c r="G839" s="209">
        <v>1372.961846532594</v>
      </c>
      <c r="H839" s="210">
        <v>7746.785000000001</v>
      </c>
      <c r="I839" s="210">
        <v>0.0</v>
      </c>
      <c r="J839" s="215">
        <v>4.43</v>
      </c>
      <c r="K839" s="221">
        <v>33.45</v>
      </c>
      <c r="L839" s="221">
        <v>185.82</v>
      </c>
      <c r="M839" s="221">
        <v>7.01</v>
      </c>
      <c r="N839" s="221">
        <v>99.78</v>
      </c>
      <c r="O839" s="213">
        <v>0.006674682559784502</v>
      </c>
      <c r="P839" s="214">
        <v>0.006930627601667257</v>
      </c>
      <c r="Q839" s="214">
        <v>0.00454590132006083</v>
      </c>
      <c r="R839" s="214">
        <v>-0.0034487436205629476</v>
      </c>
      <c r="S839" s="214">
        <v>0.0045471119186326625</v>
      </c>
    </row>
    <row r="840">
      <c r="A840" s="208">
        <v>42401.0</v>
      </c>
      <c r="B840" s="220">
        <v>0.001434122518620031</v>
      </c>
      <c r="C840" s="220">
        <v>0.00425</v>
      </c>
      <c r="D840" s="220">
        <v>0.005684122518620032</v>
      </c>
      <c r="E840" s="222">
        <v>0.01698228097820644</v>
      </c>
      <c r="F840" s="210">
        <v>117.24006264076615</v>
      </c>
      <c r="G840" s="209">
        <v>1255.721783891828</v>
      </c>
      <c r="H840" s="210">
        <v>7746.785000000001</v>
      </c>
      <c r="I840" s="210">
        <v>0.0</v>
      </c>
      <c r="J840" s="215">
        <v>4.38</v>
      </c>
      <c r="K840" s="221">
        <v>33.773</v>
      </c>
      <c r="L840" s="221">
        <v>184.97</v>
      </c>
      <c r="M840" s="221">
        <v>7.12</v>
      </c>
      <c r="N840" s="221">
        <v>100.03</v>
      </c>
      <c r="O840" s="213">
        <v>0.0029124553212593143</v>
      </c>
      <c r="P840" s="214">
        <v>0.004449094322162635</v>
      </c>
      <c r="Q840" s="214">
        <v>0.0017297025809982862</v>
      </c>
      <c r="R840" s="214">
        <v>-1.013598722992004E-4</v>
      </c>
      <c r="S840" s="214">
        <v>0.0025034639592332133</v>
      </c>
    </row>
    <row r="841">
      <c r="A841" s="208">
        <v>42398.0</v>
      </c>
      <c r="B841" s="220">
        <v>9.346762380510799E-4</v>
      </c>
      <c r="C841" s="220">
        <v>0.00421875</v>
      </c>
      <c r="D841" s="220">
        <v>0.005153426238051081</v>
      </c>
      <c r="E841" s="222">
        <v>0.01698228097820644</v>
      </c>
      <c r="F841" s="210">
        <v>117.24006264076604</v>
      </c>
      <c r="G841" s="209">
        <v>1138.4817212510618</v>
      </c>
      <c r="H841" s="210">
        <v>7746.785000000001</v>
      </c>
      <c r="I841" s="210">
        <v>0.0</v>
      </c>
      <c r="J841" s="215">
        <v>4.45</v>
      </c>
      <c r="K841" s="221">
        <v>33.69</v>
      </c>
      <c r="L841" s="221">
        <v>186.76</v>
      </c>
      <c r="M841" s="221">
        <v>7.22</v>
      </c>
      <c r="N841" s="221">
        <v>99.59</v>
      </c>
      <c r="O841" s="213">
        <v>0.005935552909094051</v>
      </c>
      <c r="P841" s="214">
        <v>0.004530611063976638</v>
      </c>
      <c r="Q841" s="214">
        <v>0.0038139604401444074</v>
      </c>
      <c r="R841" s="214">
        <v>0.006921112037813167</v>
      </c>
      <c r="S841" s="214">
        <v>-7.085188945935943E-5</v>
      </c>
    </row>
    <row r="842">
      <c r="A842" s="208">
        <v>42397.0</v>
      </c>
      <c r="B842" s="220">
        <v>4.352299574821287E-4</v>
      </c>
      <c r="C842" s="220">
        <v>0.0041875</v>
      </c>
      <c r="D842" s="220">
        <v>0.004622729957482129</v>
      </c>
      <c r="E842" s="222">
        <v>0.01698228097820644</v>
      </c>
      <c r="F842" s="210">
        <v>117.24006264076604</v>
      </c>
      <c r="G842" s="209">
        <v>1021.2416586102958</v>
      </c>
      <c r="H842" s="210">
        <v>7746.785000000001</v>
      </c>
      <c r="I842" s="210">
        <v>0.0</v>
      </c>
      <c r="J842" s="215">
        <v>4.34</v>
      </c>
      <c r="K842" s="221">
        <v>32.747</v>
      </c>
      <c r="L842" s="221">
        <v>183.26</v>
      </c>
      <c r="M842" s="221">
        <v>7.08</v>
      </c>
      <c r="N842" s="221">
        <v>98.42</v>
      </c>
      <c r="O842" s="213">
        <v>-0.0030669239719213572</v>
      </c>
      <c r="P842" s="214">
        <v>-0.005231062102653006</v>
      </c>
      <c r="Q842" s="214">
        <v>-0.0026857149659228843</v>
      </c>
      <c r="R842" s="214">
        <v>0.0032864391126655366</v>
      </c>
      <c r="S842" s="214">
        <v>-0.001376465951289596</v>
      </c>
    </row>
    <row r="843">
      <c r="A843" s="208">
        <v>42396.0</v>
      </c>
      <c r="B843" s="220">
        <v>-6.421632308682246E-5</v>
      </c>
      <c r="C843" s="220">
        <v>0.00415625</v>
      </c>
      <c r="D843" s="220">
        <v>0.0040920336769131775</v>
      </c>
      <c r="E843" s="222">
        <v>0.01698228097820644</v>
      </c>
      <c r="F843" s="210">
        <v>117.24006264076604</v>
      </c>
      <c r="G843" s="209">
        <v>904.0015959695297</v>
      </c>
      <c r="H843" s="210">
        <v>7746.785000000001</v>
      </c>
      <c r="I843" s="210">
        <v>0.0</v>
      </c>
      <c r="J843" s="215">
        <v>4.34</v>
      </c>
      <c r="K843" s="221">
        <v>33.307</v>
      </c>
      <c r="L843" s="221">
        <v>183.97</v>
      </c>
      <c r="M843" s="221">
        <v>7.12</v>
      </c>
      <c r="N843" s="221">
        <v>99.27</v>
      </c>
      <c r="O843" s="213">
        <v>-7.83818949090298E-4</v>
      </c>
      <c r="P843" s="214">
        <v>-5.029330988029305E-4</v>
      </c>
      <c r="Q843" s="214">
        <v>-0.0011958121657070404</v>
      </c>
      <c r="R843" s="214">
        <v>0.0018411000624520464</v>
      </c>
      <c r="S843" s="214">
        <v>0.0033575777051967717</v>
      </c>
    </row>
    <row r="844">
      <c r="A844" s="208">
        <v>42395.0</v>
      </c>
      <c r="B844" s="220">
        <v>-5.636626036557736E-4</v>
      </c>
      <c r="C844" s="220">
        <v>0.004125</v>
      </c>
      <c r="D844" s="220">
        <v>0.0035613373963442265</v>
      </c>
      <c r="E844" s="222">
        <v>0.01698228097820644</v>
      </c>
      <c r="F844" s="210">
        <v>117.24006264076604</v>
      </c>
      <c r="G844" s="209">
        <v>786.7615333287637</v>
      </c>
      <c r="H844" s="210">
        <v>7746.785000000001</v>
      </c>
      <c r="I844" s="210">
        <v>0.0</v>
      </c>
      <c r="J844" s="215">
        <v>4.37</v>
      </c>
      <c r="K844" s="221">
        <v>33.217</v>
      </c>
      <c r="L844" s="221">
        <v>184.6</v>
      </c>
      <c r="M844" s="221">
        <v>7.07</v>
      </c>
      <c r="N844" s="221">
        <v>99.6</v>
      </c>
      <c r="O844" s="213">
        <v>-7.785220583651498E-4</v>
      </c>
      <c r="P844" s="214">
        <v>0.0031631129411654837</v>
      </c>
      <c r="Q844" s="214">
        <v>-0.0010834069027277533</v>
      </c>
      <c r="R844" s="214">
        <v>0.0060916131922263235</v>
      </c>
      <c r="S844" s="214">
        <v>0.00622951465730089</v>
      </c>
    </row>
    <row r="845">
      <c r="A845" s="208">
        <v>42394.0</v>
      </c>
      <c r="B845" s="220">
        <v>-0.0010631088842247248</v>
      </c>
      <c r="C845" s="220">
        <v>0.00409375</v>
      </c>
      <c r="D845" s="220">
        <v>0.0030306411157752754</v>
      </c>
      <c r="E845" s="222">
        <v>0.01698228097820644</v>
      </c>
      <c r="F845" s="210">
        <v>117.24006264076604</v>
      </c>
      <c r="G845" s="209">
        <v>669.5214706879976</v>
      </c>
      <c r="H845" s="210">
        <v>7746.785000000001</v>
      </c>
      <c r="I845" s="210">
        <v>0.0</v>
      </c>
      <c r="J845" s="215">
        <v>4.38</v>
      </c>
      <c r="K845" s="221">
        <v>33.26</v>
      </c>
      <c r="L845" s="221">
        <v>184.74</v>
      </c>
      <c r="M845" s="221">
        <v>7.01</v>
      </c>
      <c r="N845" s="221">
        <v>98.82</v>
      </c>
      <c r="O845" s="213">
        <v>-7.767805594918927E-4</v>
      </c>
      <c r="P845" s="214">
        <v>0.012449735411642182</v>
      </c>
      <c r="Q845" s="214">
        <v>8.79255152563522E-4</v>
      </c>
      <c r="R845" s="214">
        <v>0.010467369829232132</v>
      </c>
      <c r="S845" s="214">
        <v>0.0037554752772744524</v>
      </c>
    </row>
    <row r="846">
      <c r="A846" s="208">
        <v>42391.0</v>
      </c>
      <c r="B846" s="220">
        <v>-0.0015625551647936759</v>
      </c>
      <c r="C846" s="220">
        <v>0.0040625</v>
      </c>
      <c r="D846" s="220">
        <v>0.0024999448352063243</v>
      </c>
      <c r="E846" s="222">
        <v>0.01698228097820644</v>
      </c>
      <c r="F846" s="210">
        <v>117.24006264076604</v>
      </c>
      <c r="G846" s="209">
        <v>552.2814080472316</v>
      </c>
      <c r="H846" s="210">
        <v>7746.785000000001</v>
      </c>
      <c r="I846" s="210">
        <v>0.0</v>
      </c>
      <c r="J846" s="215">
        <v>4.35</v>
      </c>
      <c r="K846" s="221">
        <v>33.357</v>
      </c>
      <c r="L846" s="221">
        <v>184.63</v>
      </c>
      <c r="M846" s="221">
        <v>7.08</v>
      </c>
      <c r="N846" s="221">
        <v>98.27</v>
      </c>
      <c r="O846" s="213">
        <v>0.001495923073713416</v>
      </c>
      <c r="P846" s="214">
        <v>0.003201011900677453</v>
      </c>
      <c r="Q846" s="214">
        <v>0.0025984623192651934</v>
      </c>
      <c r="R846" s="214">
        <v>0.007414013833834591</v>
      </c>
      <c r="S846" s="214">
        <v>0.006744517337830029</v>
      </c>
    </row>
    <row r="847">
      <c r="A847" s="208">
        <v>42390.0</v>
      </c>
      <c r="B847" s="220">
        <v>-0.002062001445362627</v>
      </c>
      <c r="C847" s="220">
        <v>0.00403125</v>
      </c>
      <c r="D847" s="220">
        <v>0.001969248554637373</v>
      </c>
      <c r="E847" s="222">
        <v>0.01698228097820644</v>
      </c>
      <c r="F847" s="210">
        <v>117.24006264076604</v>
      </c>
      <c r="G847" s="209">
        <v>435.04134540646555</v>
      </c>
      <c r="H847" s="210">
        <v>7746.785000000001</v>
      </c>
      <c r="I847" s="210">
        <v>0.0</v>
      </c>
      <c r="J847" s="215">
        <v>4.38</v>
      </c>
      <c r="K847" s="221">
        <v>32.9</v>
      </c>
      <c r="L847" s="221">
        <v>185.2</v>
      </c>
      <c r="M847" s="221">
        <v>6.94</v>
      </c>
      <c r="N847" s="221">
        <v>97.75</v>
      </c>
      <c r="O847" s="213">
        <v>0.00456459658914965</v>
      </c>
      <c r="P847" s="214">
        <v>4.620940141994619E-4</v>
      </c>
      <c r="Q847" s="214">
        <v>0.0029724899262072446</v>
      </c>
      <c r="R847" s="214">
        <v>0.0027494590076260206</v>
      </c>
      <c r="S847" s="214">
        <v>0.003145934087711096</v>
      </c>
    </row>
    <row r="848">
      <c r="A848" s="208">
        <v>42389.0</v>
      </c>
      <c r="B848" s="220">
        <v>-0.002561447725931578</v>
      </c>
      <c r="C848" s="220">
        <v>0.004</v>
      </c>
      <c r="D848" s="220">
        <v>0.001438552274068422</v>
      </c>
      <c r="E848" s="220">
        <v>0.0011275319964809813</v>
      </c>
      <c r="F848" s="210">
        <v>9.225610366146952</v>
      </c>
      <c r="G848" s="209">
        <v>317.8012827656995</v>
      </c>
      <c r="H848" s="134">
        <v>7746.785000000001</v>
      </c>
      <c r="I848" s="210">
        <v>0.0</v>
      </c>
      <c r="J848" s="215">
        <v>4.39</v>
      </c>
      <c r="K848" s="221">
        <v>32.026</v>
      </c>
      <c r="L848" s="221">
        <v>184.25</v>
      </c>
      <c r="M848" s="221">
        <v>6.79</v>
      </c>
      <c r="N848" s="221">
        <v>97.71</v>
      </c>
      <c r="O848" s="213">
        <v>0.006868841473303244</v>
      </c>
      <c r="P848" s="214">
        <v>-0.006362173910408127</v>
      </c>
      <c r="Q848" s="214">
        <v>0.0029878605298469343</v>
      </c>
      <c r="R848" s="214">
        <v>-0.0034861596953206972</v>
      </c>
      <c r="S848" s="214">
        <v>0.005419502092461559</v>
      </c>
    </row>
    <row r="849">
      <c r="A849" s="208">
        <v>42388.0</v>
      </c>
      <c r="B849" s="220">
        <v>-0.0025661711332086484</v>
      </c>
      <c r="C849" s="220">
        <v>0.003962962962962968</v>
      </c>
      <c r="D849" s="220">
        <v>0.0013967918297543127</v>
      </c>
      <c r="E849" s="222">
        <v>0.0011275319964809813</v>
      </c>
      <c r="F849" s="210">
        <v>9.225610366146896</v>
      </c>
      <c r="G849" s="209">
        <v>308.57567239955256</v>
      </c>
      <c r="H849" s="134">
        <v>7246.285000000001</v>
      </c>
      <c r="I849" s="210">
        <v>0.0</v>
      </c>
      <c r="J849" s="215">
        <v>4.33</v>
      </c>
      <c r="K849" s="221">
        <v>33.008</v>
      </c>
      <c r="L849" s="221">
        <v>183.19</v>
      </c>
      <c r="M849" s="221">
        <v>6.92</v>
      </c>
      <c r="N849" s="221">
        <v>96.29</v>
      </c>
      <c r="O849" s="213">
        <v>0.0023130328172668766</v>
      </c>
      <c r="P849" s="214">
        <v>-0.003068090129330551</v>
      </c>
      <c r="Q849" s="214">
        <v>-2.98936590793053E-4</v>
      </c>
      <c r="R849" s="214">
        <v>-0.003906946566770301</v>
      </c>
      <c r="S849" s="214">
        <v>-2.91736797042752E-4</v>
      </c>
    </row>
    <row r="850">
      <c r="A850" s="208">
        <v>42387.0</v>
      </c>
      <c r="B850" s="220">
        <v>-0.002570894540485722</v>
      </c>
      <c r="C850" s="220">
        <v>0.003925925925925931</v>
      </c>
      <c r="D850" s="220">
        <v>0.0013550313854402021</v>
      </c>
      <c r="E850" s="222">
        <v>0.0011275319964809813</v>
      </c>
      <c r="F850" s="210">
        <v>9.225610366146896</v>
      </c>
      <c r="G850" s="209">
        <v>299.35006203340566</v>
      </c>
      <c r="H850" s="134">
        <v>7246.285000000001</v>
      </c>
      <c r="I850" s="210">
        <v>0.0</v>
      </c>
      <c r="J850" s="215">
        <v>4.32</v>
      </c>
      <c r="K850" s="221">
        <v>32.827</v>
      </c>
      <c r="L850" s="221">
        <v>183.55</v>
      </c>
      <c r="M850" s="221">
        <v>6.88</v>
      </c>
      <c r="N850" s="221">
        <v>96.82</v>
      </c>
      <c r="O850" s="213">
        <v>0.0023184036749928083</v>
      </c>
      <c r="P850" s="214">
        <v>-0.01109119582103472</v>
      </c>
      <c r="Q850" s="214">
        <v>9.197061283114927E-4</v>
      </c>
      <c r="R850" s="214">
        <v>-0.00726230026894481</v>
      </c>
      <c r="S850" s="214">
        <v>-6.015139182646845E-4</v>
      </c>
    </row>
    <row r="851">
      <c r="A851" s="208">
        <v>42384.0</v>
      </c>
      <c r="B851" s="220">
        <v>-0.0025756179477627954</v>
      </c>
      <c r="C851" s="220">
        <v>0.003888888888888894</v>
      </c>
      <c r="D851" s="220">
        <v>0.0013132709411260916</v>
      </c>
      <c r="E851" s="222">
        <v>0.0011275319964809813</v>
      </c>
      <c r="F851" s="210">
        <v>9.225610366146896</v>
      </c>
      <c r="G851" s="209">
        <v>290.12445166725877</v>
      </c>
      <c r="H851" s="134">
        <v>7246.285000000001</v>
      </c>
      <c r="I851" s="210">
        <v>0.0</v>
      </c>
      <c r="J851" s="215">
        <v>4.3</v>
      </c>
      <c r="K851" s="221">
        <v>32.627</v>
      </c>
      <c r="L851" s="221">
        <v>182.6</v>
      </c>
      <c r="M851" s="221">
        <v>6.86</v>
      </c>
      <c r="N851" s="221">
        <v>96.12</v>
      </c>
      <c r="O851" s="213">
        <v>0.0015521945754503423</v>
      </c>
      <c r="P851" s="214">
        <v>-0.011677639270214849</v>
      </c>
      <c r="Q851" s="214">
        <v>-8.419495976932367E-4</v>
      </c>
      <c r="R851" s="214">
        <v>-0.005386342303635476</v>
      </c>
      <c r="S851" s="214">
        <v>-0.0033207945482258694</v>
      </c>
    </row>
    <row r="852">
      <c r="A852" s="208">
        <v>42383.0</v>
      </c>
      <c r="B852" s="220">
        <v>-0.002580341355039869</v>
      </c>
      <c r="C852" s="220">
        <v>0.0038518518518518567</v>
      </c>
      <c r="D852" s="220">
        <v>0.001271510496811981</v>
      </c>
      <c r="E852" s="222">
        <v>0.0011275319964809813</v>
      </c>
      <c r="F852" s="210">
        <v>9.225610366146896</v>
      </c>
      <c r="G852" s="209">
        <v>280.8988413011119</v>
      </c>
      <c r="H852" s="134">
        <v>7246.285000000001</v>
      </c>
      <c r="I852" s="210">
        <v>0.0</v>
      </c>
      <c r="J852" s="215">
        <v>4.3</v>
      </c>
      <c r="K852" s="221">
        <v>33.305</v>
      </c>
      <c r="L852" s="221">
        <v>183.35</v>
      </c>
      <c r="M852" s="221">
        <v>7.0</v>
      </c>
      <c r="N852" s="221">
        <v>96.37</v>
      </c>
      <c r="O852" s="213">
        <v>0.005446275572335124</v>
      </c>
      <c r="P852" s="214">
        <v>-0.0013165712298236858</v>
      </c>
      <c r="Q852" s="214">
        <v>0.002839701911255673</v>
      </c>
      <c r="R852" s="214">
        <v>-0.0019313017508290065</v>
      </c>
      <c r="S852" s="214">
        <v>-0.004479643336505745</v>
      </c>
    </row>
    <row r="853">
      <c r="A853" s="208">
        <v>42382.0</v>
      </c>
      <c r="B853" s="220">
        <v>-0.0025850647623169424</v>
      </c>
      <c r="C853" s="220">
        <v>0.0038148148148148195</v>
      </c>
      <c r="D853" s="220">
        <v>0.0012297500524978706</v>
      </c>
      <c r="E853" s="222">
        <v>0.0011275319964809813</v>
      </c>
      <c r="F853" s="210">
        <v>9.225610366146896</v>
      </c>
      <c r="G853" s="209">
        <v>271.673230934965</v>
      </c>
      <c r="H853" s="134">
        <v>7246.285000000001</v>
      </c>
      <c r="I853" s="210">
        <v>0.0</v>
      </c>
      <c r="J853" s="215">
        <v>4.29</v>
      </c>
      <c r="K853" s="221">
        <v>33.924</v>
      </c>
      <c r="L853" s="221">
        <v>183.04</v>
      </c>
      <c r="M853" s="221">
        <v>7.03</v>
      </c>
      <c r="N853" s="221">
        <v>96.99</v>
      </c>
      <c r="O853" s="213">
        <v>0.003883059709267648</v>
      </c>
      <c r="P853" s="214">
        <v>0.0021265932774713705</v>
      </c>
      <c r="Q853" s="214">
        <v>0.002422806186155165</v>
      </c>
      <c r="R853" s="214">
        <v>-0.005237578807106069</v>
      </c>
      <c r="S853" s="214">
        <v>-0.0035637578765204867</v>
      </c>
    </row>
    <row r="854">
      <c r="A854" s="208">
        <v>42381.0</v>
      </c>
      <c r="B854" s="220">
        <v>-0.002589788169594016</v>
      </c>
      <c r="C854" s="220">
        <v>0.0037777777777777822</v>
      </c>
      <c r="D854" s="220">
        <v>0.00118798960818376</v>
      </c>
      <c r="E854" s="222">
        <v>0.0011275319964809813</v>
      </c>
      <c r="F854" s="210">
        <v>9.225610366146896</v>
      </c>
      <c r="G854" s="209">
        <v>262.4476205688181</v>
      </c>
      <c r="H854" s="134">
        <v>7246.285000000001</v>
      </c>
      <c r="I854" s="210">
        <v>0.0</v>
      </c>
      <c r="J854" s="215">
        <v>4.28</v>
      </c>
      <c r="K854" s="221">
        <v>33.777</v>
      </c>
      <c r="L854" s="221">
        <v>183.06</v>
      </c>
      <c r="M854" s="221">
        <v>6.97</v>
      </c>
      <c r="N854" s="221">
        <v>97.08</v>
      </c>
      <c r="O854" s="213">
        <v>0.00467838597629211</v>
      </c>
      <c r="P854" s="214">
        <v>-0.006962572779220781</v>
      </c>
      <c r="Q854" s="214">
        <v>0.0026426705791869898</v>
      </c>
      <c r="R854" s="214">
        <v>-0.012751063100776191</v>
      </c>
      <c r="S854" s="214">
        <v>-0.004886601060773321</v>
      </c>
    </row>
    <row r="855">
      <c r="A855" s="208">
        <v>42380.0</v>
      </c>
      <c r="B855" s="220">
        <v>-0.0025945115768710894</v>
      </c>
      <c r="C855" s="220">
        <v>0.003740740740740745</v>
      </c>
      <c r="D855" s="220">
        <v>0.0011462291638696495</v>
      </c>
      <c r="E855" s="222">
        <v>0.0011275319964809813</v>
      </c>
      <c r="F855" s="210">
        <v>9.225610366146924</v>
      </c>
      <c r="G855" s="209">
        <v>253.22201020267119</v>
      </c>
      <c r="H855" s="134">
        <v>7246.285000000001</v>
      </c>
      <c r="I855" s="210">
        <v>0.0</v>
      </c>
      <c r="J855" s="215">
        <v>4.23</v>
      </c>
      <c r="K855" s="221">
        <v>33.429</v>
      </c>
      <c r="L855" s="221">
        <v>181.79</v>
      </c>
      <c r="M855" s="221">
        <v>7.04</v>
      </c>
      <c r="N855" s="221">
        <v>97.67</v>
      </c>
      <c r="O855" s="213">
        <v>-0.003955031513483605</v>
      </c>
      <c r="P855" s="214">
        <v>-0.018633999109441524</v>
      </c>
      <c r="Q855" s="214">
        <v>-0.002367957427128512</v>
      </c>
      <c r="R855" s="214">
        <v>-0.010324192878222801</v>
      </c>
      <c r="S855" s="214">
        <v>-0.001304254867498263</v>
      </c>
    </row>
    <row r="856">
      <c r="A856" s="208">
        <v>42377.0</v>
      </c>
      <c r="B856" s="220">
        <v>-0.002599234984148163</v>
      </c>
      <c r="C856" s="220">
        <v>0.0037037037037037077</v>
      </c>
      <c r="D856" s="220">
        <v>0.001104468719555539</v>
      </c>
      <c r="E856" s="222">
        <v>0.0011275319964809813</v>
      </c>
      <c r="F856" s="210">
        <v>9.225610366146924</v>
      </c>
      <c r="G856" s="209">
        <v>243.99639983652426</v>
      </c>
      <c r="H856" s="134">
        <v>7246.285000000001</v>
      </c>
      <c r="I856" s="210">
        <v>0.0</v>
      </c>
      <c r="J856" s="215">
        <v>4.24</v>
      </c>
      <c r="K856" s="221">
        <v>33.705</v>
      </c>
      <c r="L856" s="221">
        <v>181.71</v>
      </c>
      <c r="M856" s="221">
        <v>7.14</v>
      </c>
      <c r="N856" s="221">
        <v>98.03</v>
      </c>
      <c r="O856" s="213">
        <v>-5.174465135800629E-5</v>
      </c>
      <c r="P856" s="214">
        <v>-0.019363358155799853</v>
      </c>
      <c r="Q856" s="214">
        <v>-0.0022961631076899858</v>
      </c>
      <c r="R856" s="214">
        <v>-0.011098986266652547</v>
      </c>
      <c r="S856" s="214">
        <v>0.0027800580163725996</v>
      </c>
    </row>
    <row r="857">
      <c r="A857" s="208">
        <v>42376.0</v>
      </c>
      <c r="B857" s="220">
        <v>-0.0026039583914252364</v>
      </c>
      <c r="C857" s="220">
        <v>0.0036666666666666705</v>
      </c>
      <c r="D857" s="220">
        <v>0.0010627082752414285</v>
      </c>
      <c r="E857" s="222">
        <v>0.0011275319964809813</v>
      </c>
      <c r="F857" s="210">
        <v>9.225610366146924</v>
      </c>
      <c r="G857" s="209">
        <v>234.77078947037734</v>
      </c>
      <c r="H857" s="134">
        <v>7246.285000000001</v>
      </c>
      <c r="I857" s="210">
        <v>0.0</v>
      </c>
      <c r="J857" s="215">
        <v>4.22</v>
      </c>
      <c r="K857" s="221">
        <v>34.478</v>
      </c>
      <c r="L857" s="221">
        <v>181.61</v>
      </c>
      <c r="M857" s="221">
        <v>7.24</v>
      </c>
      <c r="N857" s="221">
        <v>98.51</v>
      </c>
      <c r="O857" s="213">
        <v>-0.003196398739408283</v>
      </c>
      <c r="P857" s="214">
        <v>-0.006573728569553368</v>
      </c>
      <c r="Q857" s="214">
        <v>-0.0012589380481250838</v>
      </c>
      <c r="R857" s="214">
        <v>-0.004623767452839693</v>
      </c>
      <c r="S857" s="214">
        <v>0.007326863566490409</v>
      </c>
    </row>
    <row r="858">
      <c r="A858" s="208">
        <v>42375.0</v>
      </c>
      <c r="B858" s="220">
        <v>-0.00260868179870231</v>
      </c>
      <c r="C858" s="220">
        <v>0.0036296296296296333</v>
      </c>
      <c r="D858" s="220">
        <v>0.001020947830927318</v>
      </c>
      <c r="E858" s="222">
        <v>0.0011275319964809813</v>
      </c>
      <c r="F858" s="210">
        <v>9.225610366146924</v>
      </c>
      <c r="G858" s="209">
        <v>225.5451791042304</v>
      </c>
      <c r="H858" s="134">
        <v>7246.285000000001</v>
      </c>
      <c r="I858" s="210">
        <v>0.0</v>
      </c>
      <c r="J858" s="215">
        <v>4.28</v>
      </c>
      <c r="K858" s="221">
        <v>35.33</v>
      </c>
      <c r="L858" s="221">
        <v>183.08</v>
      </c>
      <c r="M858" s="221">
        <v>7.26</v>
      </c>
      <c r="N858" s="221">
        <v>98.05</v>
      </c>
      <c r="O858" s="213">
        <v>0.010932609114985023</v>
      </c>
      <c r="P858" s="214">
        <v>-0.005857171488856634</v>
      </c>
      <c r="Q858" s="214">
        <v>0.006303195735401131</v>
      </c>
      <c r="R858" s="214">
        <v>-0.003248824533043093</v>
      </c>
      <c r="S858" s="214">
        <v>0.013761205582158468</v>
      </c>
    </row>
    <row r="859">
      <c r="A859" s="208">
        <v>42374.0</v>
      </c>
      <c r="B859" s="220">
        <v>-0.0026134052059793834</v>
      </c>
      <c r="C859" s="220">
        <v>0.003592592592592596</v>
      </c>
      <c r="D859" s="220">
        <v>9.791873866132074E-4</v>
      </c>
      <c r="E859" s="222">
        <v>0.0011275319964809813</v>
      </c>
      <c r="F859" s="210">
        <v>9.225610366146924</v>
      </c>
      <c r="G859" s="209">
        <v>216.3195687380835</v>
      </c>
      <c r="H859" s="134">
        <v>7246.285000000001</v>
      </c>
      <c r="I859" s="210">
        <v>0.0</v>
      </c>
      <c r="J859" s="215">
        <v>4.24</v>
      </c>
      <c r="K859" s="221">
        <v>35.699</v>
      </c>
      <c r="L859" s="221">
        <v>182.96</v>
      </c>
      <c r="M859" s="221">
        <v>7.38</v>
      </c>
      <c r="N859" s="221">
        <v>97.21</v>
      </c>
      <c r="O859" s="213">
        <v>0.007817344317477234</v>
      </c>
      <c r="P859" s="214">
        <v>-0.0036555863249838247</v>
      </c>
      <c r="Q859" s="214">
        <v>0.0076991416734082385</v>
      </c>
      <c r="R859" s="214">
        <v>0.002715569500307824</v>
      </c>
      <c r="S859" s="214">
        <v>0.011295383255362945</v>
      </c>
    </row>
    <row r="860">
      <c r="A860" s="208">
        <v>42373.0</v>
      </c>
      <c r="B860" s="220">
        <v>-0.002618128613256457</v>
      </c>
      <c r="C860" s="220">
        <v>0.0035555555555555588</v>
      </c>
      <c r="D860" s="220">
        <v>9.37426942299097E-4</v>
      </c>
      <c r="E860" s="222">
        <v>0.0011275319964809813</v>
      </c>
      <c r="F860" s="210">
        <v>9.225610366146924</v>
      </c>
      <c r="G860" s="209">
        <v>207.09395837193657</v>
      </c>
      <c r="H860" s="134">
        <v>7246.285000000001</v>
      </c>
      <c r="I860" s="210">
        <v>0.0</v>
      </c>
      <c r="J860" s="215">
        <v>4.26</v>
      </c>
      <c r="K860" s="221">
        <v>35.148</v>
      </c>
      <c r="L860" s="221">
        <v>182.29</v>
      </c>
      <c r="M860" s="221">
        <v>7.34</v>
      </c>
      <c r="N860" s="221">
        <v>96.36</v>
      </c>
      <c r="O860" s="213">
        <v>0.0069742124243042936</v>
      </c>
      <c r="P860" s="214">
        <v>-0.009511856826608156</v>
      </c>
      <c r="Q860" s="214">
        <v>0.0055834193101255885</v>
      </c>
      <c r="R860" s="214">
        <v>-1.8620455922343144E-6</v>
      </c>
      <c r="S860" s="214">
        <v>0.0057549416166314815</v>
      </c>
    </row>
    <row r="861">
      <c r="A861" s="208">
        <v>42369.0</v>
      </c>
      <c r="B861" s="220">
        <v>-0.0026228520205335303</v>
      </c>
      <c r="C861" s="220">
        <v>0.0035185185185185215</v>
      </c>
      <c r="D861" s="220">
        <v>8.956664979849866E-4</v>
      </c>
      <c r="E861" s="222">
        <v>0.0011275319964809813</v>
      </c>
      <c r="F861" s="210">
        <v>9.225610366146924</v>
      </c>
      <c r="G861" s="209">
        <v>197.86834800578964</v>
      </c>
      <c r="H861" s="134">
        <v>7246.285000000001</v>
      </c>
      <c r="I861" s="210">
        <v>0.0</v>
      </c>
      <c r="J861" s="215">
        <v>4.14</v>
      </c>
      <c r="K861" s="221">
        <v>35.941</v>
      </c>
      <c r="L861" s="221">
        <v>179.63</v>
      </c>
      <c r="M861" s="221">
        <v>7.33</v>
      </c>
      <c r="N861" s="221">
        <v>94.05</v>
      </c>
      <c r="O861" s="213">
        <v>-0.004813540471970246</v>
      </c>
      <c r="P861" s="214">
        <v>0.005190564466713103</v>
      </c>
      <c r="Q861" s="214">
        <v>0.0015190475309692826</v>
      </c>
      <c r="R861" s="214">
        <v>0.004993596628340573</v>
      </c>
      <c r="S861" s="214">
        <v>-5.460231326898842E-4</v>
      </c>
    </row>
    <row r="862">
      <c r="A862" s="208">
        <v>42368.0</v>
      </c>
      <c r="B862" s="220">
        <v>-0.002627575427810604</v>
      </c>
      <c r="C862" s="220">
        <v>0.0034814814814814843</v>
      </c>
      <c r="D862" s="220">
        <v>8.539060536708762E-4</v>
      </c>
      <c r="E862" s="222">
        <v>0.0011275319964809813</v>
      </c>
      <c r="F862" s="210">
        <v>9.225610366146924</v>
      </c>
      <c r="G862" s="209">
        <v>188.64273763964272</v>
      </c>
      <c r="H862" s="134">
        <v>7246.285000000001</v>
      </c>
      <c r="I862" s="210">
        <v>0.0</v>
      </c>
      <c r="J862" s="215">
        <v>4.14</v>
      </c>
      <c r="K862" s="221">
        <v>36.079</v>
      </c>
      <c r="L862" s="221">
        <v>178.76</v>
      </c>
      <c r="M862" s="221">
        <v>7.32</v>
      </c>
      <c r="N862" s="221">
        <v>93.94</v>
      </c>
      <c r="O862" s="213">
        <v>-0.003226238884668664</v>
      </c>
      <c r="P862" s="214">
        <v>0.0027863135966152974</v>
      </c>
      <c r="Q862" s="214">
        <v>-1.5130741382129997E-4</v>
      </c>
      <c r="R862" s="214">
        <v>0.0013070808486925767</v>
      </c>
      <c r="S862" s="214">
        <v>-0.002952871818452422</v>
      </c>
    </row>
    <row r="863">
      <c r="A863" s="208">
        <v>42367.0</v>
      </c>
      <c r="B863" s="220">
        <v>-0.0026322988350876773</v>
      </c>
      <c r="C863" s="220">
        <v>0.003444444444444447</v>
      </c>
      <c r="D863" s="220">
        <v>8.121456093567658E-4</v>
      </c>
      <c r="E863" s="222">
        <v>0.0011275319964809813</v>
      </c>
      <c r="F863" s="210">
        <v>9.225610366146924</v>
      </c>
      <c r="G863" s="209">
        <v>179.4171272734958</v>
      </c>
      <c r="H863" s="134">
        <v>7246.285000000001</v>
      </c>
      <c r="I863" s="210">
        <v>0.0</v>
      </c>
      <c r="J863" s="215">
        <v>4.17</v>
      </c>
      <c r="K863" s="221">
        <v>36.156</v>
      </c>
      <c r="L863" s="221">
        <v>179.24</v>
      </c>
      <c r="M863" s="221">
        <v>7.34</v>
      </c>
      <c r="N863" s="221">
        <v>94.68</v>
      </c>
      <c r="O863" s="213">
        <v>-8.107799474705857E-4</v>
      </c>
      <c r="P863" s="214">
        <v>0.0020252633290718247</v>
      </c>
      <c r="Q863" s="214">
        <v>-0.0011946705444458121</v>
      </c>
      <c r="R863" s="214">
        <v>0.001760580290251094</v>
      </c>
      <c r="S863" s="214">
        <v>-0.0013119227984302873</v>
      </c>
    </row>
    <row r="864">
      <c r="A864" s="208">
        <v>42366.0</v>
      </c>
      <c r="B864" s="220">
        <v>-0.002637022242364751</v>
      </c>
      <c r="C864" s="220">
        <v>0.0034074074074074098</v>
      </c>
      <c r="D864" s="220">
        <v>7.703851650426554E-4</v>
      </c>
      <c r="E864" s="222">
        <v>0.0011275319964809813</v>
      </c>
      <c r="F864" s="210">
        <v>9.225610366146924</v>
      </c>
      <c r="G864" s="209">
        <v>170.19151690734887</v>
      </c>
      <c r="H864" s="134">
        <v>7246.285000000001</v>
      </c>
      <c r="I864" s="210">
        <v>0.0</v>
      </c>
      <c r="J864" s="215">
        <v>4.2</v>
      </c>
      <c r="K864" s="221">
        <v>35.377</v>
      </c>
      <c r="L864" s="221">
        <v>178.81</v>
      </c>
      <c r="M864" s="221">
        <v>7.22</v>
      </c>
      <c r="N864" s="221">
        <v>94.2</v>
      </c>
      <c r="O864" s="213">
        <v>7.898534214323775E-4</v>
      </c>
      <c r="P864" s="214">
        <v>0.003036188292774226</v>
      </c>
      <c r="Q864" s="214">
        <v>-3.0070758604949788E-5</v>
      </c>
      <c r="R864" s="214">
        <v>4.205780506930286E-4</v>
      </c>
      <c r="S864" s="214">
        <v>-0.002054955560632473</v>
      </c>
    </row>
    <row r="865">
      <c r="A865" s="208">
        <v>42362.0</v>
      </c>
      <c r="B865" s="220">
        <v>-0.0026417456496418243</v>
      </c>
      <c r="C865" s="220">
        <v>0.0033703703703703725</v>
      </c>
      <c r="D865" s="220">
        <v>7.28624720728545E-4</v>
      </c>
      <c r="E865" s="222">
        <v>0.0011275319964809813</v>
      </c>
      <c r="F865" s="210">
        <v>9.225610366146924</v>
      </c>
      <c r="G865" s="209">
        <v>160.96590654120195</v>
      </c>
      <c r="H865" s="134">
        <v>7246.285000000001</v>
      </c>
      <c r="I865" s="210">
        <v>0.0</v>
      </c>
      <c r="J865" s="215">
        <v>4.18</v>
      </c>
      <c r="K865" s="221">
        <v>35.768</v>
      </c>
      <c r="L865" s="221">
        <v>178.84</v>
      </c>
      <c r="M865" s="221">
        <v>7.29</v>
      </c>
      <c r="N865" s="221">
        <v>94.77</v>
      </c>
      <c r="O865" s="213">
        <v>-0.0047751729073171045</v>
      </c>
      <c r="P865" s="214">
        <v>0.008394448197521553</v>
      </c>
      <c r="Q865" s="214">
        <v>-0.002266953885476486</v>
      </c>
      <c r="R865" s="214">
        <v>0.0022653791182571936</v>
      </c>
      <c r="S865" s="214">
        <v>-0.002605319371070336</v>
      </c>
    </row>
    <row r="866">
      <c r="A866" s="208">
        <v>42361.0</v>
      </c>
      <c r="B866" s="220">
        <v>-0.002646469056918898</v>
      </c>
      <c r="C866" s="220">
        <v>0.0033333333333333353</v>
      </c>
      <c r="D866" s="220">
        <v>6.868642764144346E-4</v>
      </c>
      <c r="E866" s="222">
        <v>0.0011275319964809813</v>
      </c>
      <c r="F866" s="210">
        <v>9.225610366146924</v>
      </c>
      <c r="G866" s="209">
        <v>151.74029617505502</v>
      </c>
      <c r="H866" s="134">
        <v>7246.285000000001</v>
      </c>
      <c r="I866" s="210">
        <v>0.0</v>
      </c>
      <c r="J866" s="215">
        <v>4.18</v>
      </c>
      <c r="K866" s="221">
        <v>35.926</v>
      </c>
      <c r="L866" s="221">
        <v>179.88</v>
      </c>
      <c r="M866" s="221">
        <v>7.3</v>
      </c>
      <c r="N866" s="221">
        <v>95.05</v>
      </c>
      <c r="O866" s="213">
        <v>-0.006347499951342206</v>
      </c>
      <c r="P866" s="214">
        <v>0.004551463541325036</v>
      </c>
      <c r="Q866" s="214">
        <v>-0.002513114290607558</v>
      </c>
      <c r="R866" s="214">
        <v>-0.0014210199197549993</v>
      </c>
      <c r="S866" s="214">
        <v>-4.996270374043229E-5</v>
      </c>
    </row>
    <row r="867">
      <c r="A867" s="208">
        <v>42360.0</v>
      </c>
      <c r="B867" s="220">
        <v>-0.0026511924641959713</v>
      </c>
      <c r="C867" s="220">
        <v>0.003296296296296298</v>
      </c>
      <c r="D867" s="220">
        <v>6.451038321003241E-4</v>
      </c>
      <c r="E867" s="222">
        <v>0.0011275319964809813</v>
      </c>
      <c r="F867" s="210">
        <v>9.225610366146924</v>
      </c>
      <c r="G867" s="209">
        <v>142.5146858089081</v>
      </c>
      <c r="H867" s="134">
        <v>7246.285000000001</v>
      </c>
      <c r="I867" s="210">
        <v>0.0</v>
      </c>
      <c r="J867" s="215">
        <v>4.19</v>
      </c>
      <c r="K867" s="221">
        <v>35.043</v>
      </c>
      <c r="L867" s="221">
        <v>178.82</v>
      </c>
      <c r="M867" s="221">
        <v>7.21</v>
      </c>
      <c r="N867" s="221">
        <v>94.78</v>
      </c>
      <c r="O867" s="213">
        <v>-0.004767579172014462</v>
      </c>
      <c r="P867" s="214">
        <v>-0.00898622962583758</v>
      </c>
      <c r="Q867" s="214">
        <v>-0.004164708587975019</v>
      </c>
      <c r="R867" s="214">
        <v>8.359212801677766E-4</v>
      </c>
      <c r="S867" s="214">
        <v>0.002509724489954642</v>
      </c>
    </row>
    <row r="868">
      <c r="A868" s="208">
        <v>42359.0</v>
      </c>
      <c r="B868" s="220">
        <v>-0.0026559158714730448</v>
      </c>
      <c r="C868" s="220">
        <v>0.003259259259259261</v>
      </c>
      <c r="D868" s="220">
        <v>6.033433877862137E-4</v>
      </c>
      <c r="E868" s="222">
        <v>0.0011275319964809813</v>
      </c>
      <c r="F868" s="210">
        <v>9.22561036614691</v>
      </c>
      <c r="G868" s="209">
        <v>133.28907544276117</v>
      </c>
      <c r="H868" s="134">
        <v>7246.285000000001</v>
      </c>
      <c r="I868" s="210">
        <v>0.0</v>
      </c>
      <c r="J868" s="215">
        <v>4.24</v>
      </c>
      <c r="K868" s="221">
        <v>34.867</v>
      </c>
      <c r="L868" s="221">
        <v>180.05</v>
      </c>
      <c r="M868" s="221">
        <v>7.24</v>
      </c>
      <c r="N868" s="221">
        <v>95.51</v>
      </c>
      <c r="O868" s="213">
        <v>0.0070532828243353345</v>
      </c>
      <c r="P868" s="214">
        <v>-0.008020814533134116</v>
      </c>
      <c r="Q868" s="214">
        <v>0.0033381591032504896</v>
      </c>
      <c r="R868" s="214">
        <v>0.0031500975549419627</v>
      </c>
      <c r="S868" s="214">
        <v>0.0012851675627144992</v>
      </c>
    </row>
    <row r="869">
      <c r="A869" s="208">
        <v>42356.0</v>
      </c>
      <c r="B869" s="220">
        <v>-0.0026606392787501183</v>
      </c>
      <c r="C869" s="220">
        <v>0.0032222222222222235</v>
      </c>
      <c r="D869" s="220">
        <v>5.615829434721033E-4</v>
      </c>
      <c r="E869" s="222">
        <v>0.0011275319964809813</v>
      </c>
      <c r="F869" s="210">
        <v>9.22561036614691</v>
      </c>
      <c r="G869" s="209">
        <v>124.06346507661426</v>
      </c>
      <c r="H869" s="134">
        <v>7246.285000000001</v>
      </c>
      <c r="I869" s="210">
        <v>0.0</v>
      </c>
      <c r="J869" s="215">
        <v>4.26</v>
      </c>
      <c r="K869" s="221">
        <v>35.423</v>
      </c>
      <c r="L869" s="221">
        <v>181.23</v>
      </c>
      <c r="M869" s="221">
        <v>7.33</v>
      </c>
      <c r="N869" s="221">
        <v>95.06</v>
      </c>
      <c r="O869" s="213">
        <v>0.007019184165549215</v>
      </c>
      <c r="P869" s="214">
        <v>-0.0026773712807199868</v>
      </c>
      <c r="Q869" s="214">
        <v>0.003951733701926437</v>
      </c>
      <c r="R869" s="214">
        <v>0.004039443638351736</v>
      </c>
      <c r="S869" s="214">
        <v>0.0040595828836472725</v>
      </c>
    </row>
    <row r="870">
      <c r="A870" s="208">
        <v>42355.0</v>
      </c>
      <c r="B870" s="220">
        <v>-0.0026653626860271918</v>
      </c>
      <c r="C870" s="220">
        <v>0.0031851851851851863</v>
      </c>
      <c r="D870" s="220">
        <v>5.198224991579929E-4</v>
      </c>
      <c r="E870" s="222">
        <v>0.0011275319964809813</v>
      </c>
      <c r="F870" s="210">
        <v>9.22561036614691</v>
      </c>
      <c r="G870" s="209">
        <v>114.83785471046735</v>
      </c>
      <c r="H870" s="134">
        <v>7246.285000000001</v>
      </c>
      <c r="I870" s="210">
        <v>0.0</v>
      </c>
      <c r="J870" s="215">
        <v>4.25</v>
      </c>
      <c r="K870" s="221">
        <v>35.991</v>
      </c>
      <c r="L870" s="221">
        <v>181.06</v>
      </c>
      <c r="M870" s="221">
        <v>7.19</v>
      </c>
      <c r="N870" s="221">
        <v>94.06</v>
      </c>
      <c r="O870" s="213">
        <v>0.00543735104049999</v>
      </c>
      <c r="P870" s="214">
        <v>0.013899104443127919</v>
      </c>
      <c r="Q870" s="214">
        <v>0.004793166576612662</v>
      </c>
      <c r="R870" s="214">
        <v>4.3534433655963617E-4</v>
      </c>
      <c r="S870" s="214">
        <v>0.0013340814670600813</v>
      </c>
    </row>
    <row r="871">
      <c r="A871" s="208">
        <v>42354.0</v>
      </c>
      <c r="B871" s="220">
        <v>-0.0026700860933042653</v>
      </c>
      <c r="C871" s="220">
        <v>0.003148148148148149</v>
      </c>
      <c r="D871" s="220">
        <v>4.780620548438825E-4</v>
      </c>
      <c r="E871" s="222">
        <v>0.0011275319964809813</v>
      </c>
      <c r="F871" s="210">
        <v>9.22561036614691</v>
      </c>
      <c r="G871" s="209">
        <v>105.61224434432044</v>
      </c>
      <c r="H871" s="134">
        <v>7246.285000000001</v>
      </c>
      <c r="I871" s="210">
        <v>0.0</v>
      </c>
      <c r="J871" s="215">
        <v>4.15</v>
      </c>
      <c r="K871" s="221">
        <v>35.706</v>
      </c>
      <c r="L871" s="221">
        <v>178.23</v>
      </c>
      <c r="M871" s="221">
        <v>7.17</v>
      </c>
      <c r="N871" s="221">
        <v>95.13</v>
      </c>
      <c r="O871" s="213">
        <v>-0.004798130712009592</v>
      </c>
      <c r="P871" s="214">
        <v>0.00559771991825279</v>
      </c>
      <c r="Q871" s="214">
        <v>-0.0020233184067317924</v>
      </c>
      <c r="R871" s="214">
        <v>-0.005134394920093932</v>
      </c>
      <c r="S871" s="214">
        <v>0.0016385669662432785</v>
      </c>
    </row>
    <row r="872">
      <c r="A872" s="208">
        <v>42353.0</v>
      </c>
      <c r="B872" s="220">
        <v>-0.0026748095005813387</v>
      </c>
      <c r="C872" s="220">
        <v>0.003111111111111112</v>
      </c>
      <c r="D872" s="220">
        <v>4.363016105297721E-4</v>
      </c>
      <c r="E872" s="222">
        <v>0.0011275319964809813</v>
      </c>
      <c r="F872" s="210">
        <v>9.22561036614691</v>
      </c>
      <c r="G872" s="209">
        <v>96.38663397817353</v>
      </c>
      <c r="H872" s="134">
        <v>7246.285000000001</v>
      </c>
      <c r="I872" s="210">
        <v>0.0</v>
      </c>
      <c r="J872" s="215">
        <v>4.17</v>
      </c>
      <c r="K872" s="221">
        <v>35.703</v>
      </c>
      <c r="L872" s="221">
        <v>179.07</v>
      </c>
      <c r="M872" s="221">
        <v>7.24</v>
      </c>
      <c r="N872" s="221">
        <v>93.89</v>
      </c>
      <c r="O872" s="213">
        <v>-2.4642459713009046E-5</v>
      </c>
      <c r="P872" s="214">
        <v>-0.0013466254798607895</v>
      </c>
      <c r="Q872" s="214">
        <v>-5.2667376490149E-4</v>
      </c>
      <c r="R872" s="214">
        <v>-0.006000973715543016</v>
      </c>
      <c r="S872" s="214">
        <v>-0.0033754964204231928</v>
      </c>
    </row>
    <row r="873">
      <c r="A873" s="208">
        <v>42352.0</v>
      </c>
      <c r="B873" s="220">
        <v>-0.0026795329078584122</v>
      </c>
      <c r="C873" s="220">
        <v>0.0030740740740740746</v>
      </c>
      <c r="D873" s="220">
        <v>3.9454116621566167E-4</v>
      </c>
      <c r="E873" s="222">
        <v>0.0011275319964809813</v>
      </c>
      <c r="F873" s="210">
        <v>9.22561036614691</v>
      </c>
      <c r="G873" s="209">
        <v>87.16102361202663</v>
      </c>
      <c r="H873" s="134">
        <v>7246.285000000001</v>
      </c>
      <c r="I873" s="210">
        <v>0.0</v>
      </c>
      <c r="J873" s="215">
        <v>4.18</v>
      </c>
      <c r="K873" s="221">
        <v>34.5</v>
      </c>
      <c r="L873" s="221">
        <v>178.45</v>
      </c>
      <c r="M873" s="221">
        <v>7.18</v>
      </c>
      <c r="N873" s="221">
        <v>93.67</v>
      </c>
      <c r="O873" s="213">
        <v>-8.240029713038055E-4</v>
      </c>
      <c r="P873" s="214">
        <v>-0.012997005274293741</v>
      </c>
      <c r="Q873" s="214">
        <v>2.1494977698780873E-4</v>
      </c>
      <c r="R873" s="214">
        <v>-0.008763404654769547</v>
      </c>
      <c r="S873" s="214">
        <v>-0.002785822615979446</v>
      </c>
    </row>
    <row r="874">
      <c r="A874" s="208">
        <v>42349.0</v>
      </c>
      <c r="B874" s="220">
        <v>-0.0026842563151354857</v>
      </c>
      <c r="C874" s="220">
        <v>0.0030370370370370373</v>
      </c>
      <c r="D874" s="220">
        <v>3.5278072190155125E-4</v>
      </c>
      <c r="E874" s="222">
        <v>0.0011275319964809813</v>
      </c>
      <c r="F874" s="210">
        <v>9.22561036614691</v>
      </c>
      <c r="G874" s="209">
        <v>77.93541324587972</v>
      </c>
      <c r="H874" s="134">
        <v>7246.285000000001</v>
      </c>
      <c r="I874" s="210">
        <v>0.0</v>
      </c>
      <c r="J874" s="215">
        <v>4.21</v>
      </c>
      <c r="K874" s="221">
        <v>35.086</v>
      </c>
      <c r="L874" s="221">
        <v>179.31</v>
      </c>
      <c r="M874" s="221">
        <v>7.28</v>
      </c>
      <c r="N874" s="221">
        <v>94.65</v>
      </c>
      <c r="O874" s="213">
        <v>-0.005591563008302325</v>
      </c>
      <c r="P874" s="214">
        <v>-0.010412035398318142</v>
      </c>
      <c r="Q874" s="214">
        <v>-0.0021413154116193267</v>
      </c>
      <c r="R874" s="214">
        <v>-0.006382299292747066</v>
      </c>
      <c r="S874" s="214">
        <v>-0.0029687745705196944</v>
      </c>
    </row>
    <row r="875">
      <c r="A875" s="208">
        <v>42348.0</v>
      </c>
      <c r="B875" s="220">
        <v>-0.0026889797224125592</v>
      </c>
      <c r="C875" s="220">
        <v>0.003</v>
      </c>
      <c r="D875" s="220">
        <v>3.1102027758744084E-4</v>
      </c>
      <c r="E875" s="220">
        <v>7.120803062497165E-4</v>
      </c>
      <c r="F875" s="210">
        <v>6.050421418535052</v>
      </c>
      <c r="G875" s="209">
        <v>68.7098028797328</v>
      </c>
      <c r="H875" s="134">
        <v>7246.285000000001</v>
      </c>
      <c r="I875" s="210">
        <v>0.0</v>
      </c>
      <c r="J875" s="215">
        <v>4.17</v>
      </c>
      <c r="K875" s="221">
        <v>35.814</v>
      </c>
      <c r="L875" s="221">
        <v>179.35</v>
      </c>
      <c r="M875" s="221">
        <v>7.37</v>
      </c>
      <c r="N875" s="221">
        <v>94.84</v>
      </c>
      <c r="O875" s="213">
        <v>-0.009537441757164608</v>
      </c>
      <c r="P875" s="214">
        <v>-0.00541151117948413</v>
      </c>
      <c r="Q875" s="214">
        <v>-0.0028797391519327364</v>
      </c>
      <c r="R875" s="214">
        <v>-0.006304546856504094</v>
      </c>
      <c r="S875" s="214">
        <v>-0.004010118472634032</v>
      </c>
    </row>
    <row r="876">
      <c r="A876" s="208">
        <v>42347.0</v>
      </c>
      <c r="B876" s="220">
        <v>-0.0026779058880375462</v>
      </c>
      <c r="C876" s="220">
        <v>0.0029615384615384608</v>
      </c>
      <c r="D876" s="220">
        <v>2.8363257350091323E-4</v>
      </c>
      <c r="E876" s="222">
        <v>7.120803062497165E-4</v>
      </c>
      <c r="F876" s="210">
        <v>6.050421418535024</v>
      </c>
      <c r="G876" s="209">
        <v>62.65938146119775</v>
      </c>
      <c r="H876" s="210">
        <v>6791.405000000001</v>
      </c>
      <c r="I876" s="210">
        <v>0.0</v>
      </c>
      <c r="J876" s="215">
        <v>4.19</v>
      </c>
      <c r="K876" s="221">
        <v>35.859</v>
      </c>
      <c r="L876" s="221">
        <v>178.33</v>
      </c>
      <c r="M876" s="221">
        <v>7.37</v>
      </c>
      <c r="N876" s="221">
        <v>94.45</v>
      </c>
      <c r="O876" s="213">
        <v>-0.0017227145179768606</v>
      </c>
      <c r="P876" s="214">
        <v>-0.004434041801543757</v>
      </c>
      <c r="Q876" s="214">
        <v>-0.0019007985321064513</v>
      </c>
      <c r="R876" s="214">
        <v>-0.011186925906659484</v>
      </c>
      <c r="S876" s="214">
        <v>-0.007568803946700786</v>
      </c>
    </row>
    <row r="877">
      <c r="A877" s="208">
        <v>42346.0</v>
      </c>
      <c r="B877" s="220">
        <v>-0.0026668320536625354</v>
      </c>
      <c r="C877" s="220">
        <v>0.0029230769230769223</v>
      </c>
      <c r="D877" s="220">
        <v>2.562448694143857E-4</v>
      </c>
      <c r="E877" s="222">
        <v>7.120803062497165E-4</v>
      </c>
      <c r="F877" s="210">
        <v>6.050421418535024</v>
      </c>
      <c r="G877" s="209">
        <v>56.60896004266273</v>
      </c>
      <c r="H877" s="210">
        <v>6791.405000000001</v>
      </c>
      <c r="I877" s="210">
        <v>0.0</v>
      </c>
      <c r="J877" s="215">
        <v>4.28</v>
      </c>
      <c r="K877" s="221">
        <v>36.19</v>
      </c>
      <c r="L877" s="221">
        <v>180.45</v>
      </c>
      <c r="M877" s="221">
        <v>7.42</v>
      </c>
      <c r="N877" s="221">
        <v>95.49</v>
      </c>
      <c r="O877" s="213">
        <v>0.00702072129137199</v>
      </c>
      <c r="P877" s="214">
        <v>-1.3711556784608744E-4</v>
      </c>
      <c r="Q877" s="214">
        <v>0.002935514545597965</v>
      </c>
      <c r="R877" s="214">
        <v>-0.005425943180110841</v>
      </c>
      <c r="S877" s="214">
        <v>0.005486380170558025</v>
      </c>
    </row>
    <row r="878">
      <c r="A878" s="208">
        <v>42345.0</v>
      </c>
      <c r="B878" s="220">
        <v>-0.0026557582192875246</v>
      </c>
      <c r="C878" s="220">
        <v>0.002884615384615384</v>
      </c>
      <c r="D878" s="220">
        <v>2.288571653278581E-4</v>
      </c>
      <c r="E878" s="222">
        <v>7.120803062497165E-4</v>
      </c>
      <c r="F878" s="210">
        <v>6.050421418535024</v>
      </c>
      <c r="G878" s="209">
        <v>50.558538624127706</v>
      </c>
      <c r="H878" s="210">
        <v>6791.405000000001</v>
      </c>
      <c r="I878" s="210">
        <v>0.0</v>
      </c>
      <c r="J878" s="215">
        <v>4.29</v>
      </c>
      <c r="K878" s="221">
        <v>36.398</v>
      </c>
      <c r="L878" s="221">
        <v>180.89</v>
      </c>
      <c r="M878" s="221">
        <v>7.51</v>
      </c>
      <c r="N878" s="221">
        <v>95.98</v>
      </c>
      <c r="O878" s="213">
        <v>-0.009702451371621845</v>
      </c>
      <c r="P878" s="214">
        <v>-0.012731668064654608</v>
      </c>
      <c r="Q878" s="214">
        <v>-0.0097072916980769</v>
      </c>
      <c r="R878" s="214">
        <v>-0.011992896071071568</v>
      </c>
      <c r="S878" s="214">
        <v>-0.0022113167222574948</v>
      </c>
    </row>
    <row r="879">
      <c r="A879" s="208">
        <v>42342.0</v>
      </c>
      <c r="B879" s="220">
        <v>-0.0026446843849125138</v>
      </c>
      <c r="C879" s="220">
        <v>0.0028461538461538455</v>
      </c>
      <c r="D879" s="220">
        <v>2.0146946124133055E-4</v>
      </c>
      <c r="E879" s="222">
        <v>7.120803062497165E-4</v>
      </c>
      <c r="F879" s="210">
        <v>6.050421418535024</v>
      </c>
      <c r="G879" s="209">
        <v>44.50811720559268</v>
      </c>
      <c r="H879" s="210">
        <v>6791.405000000001</v>
      </c>
      <c r="I879" s="210">
        <v>0.0</v>
      </c>
      <c r="J879" s="215">
        <v>4.21</v>
      </c>
      <c r="K879" s="221">
        <v>36.337</v>
      </c>
      <c r="L879" s="221">
        <v>179.33</v>
      </c>
      <c r="M879" s="221">
        <v>7.62</v>
      </c>
      <c r="N879" s="221">
        <v>96.61</v>
      </c>
      <c r="O879" s="213">
        <v>-0.014406741790197963</v>
      </c>
      <c r="P879" s="214">
        <v>-0.011261014423134577</v>
      </c>
      <c r="Q879" s="214">
        <v>-0.011865429225177082</v>
      </c>
      <c r="R879" s="214">
        <v>-0.00753896603548343</v>
      </c>
      <c r="S879" s="214">
        <v>-0.002025985026295437</v>
      </c>
    </row>
    <row r="880">
      <c r="A880" s="208">
        <v>42341.0</v>
      </c>
      <c r="B880" s="220">
        <v>-0.002633610550537503</v>
      </c>
      <c r="C880" s="220">
        <v>0.002807692307692307</v>
      </c>
      <c r="D880" s="220">
        <v>1.74081757154803E-4</v>
      </c>
      <c r="E880" s="222">
        <v>7.120803062497165E-4</v>
      </c>
      <c r="F880" s="210">
        <v>6.050421418535024</v>
      </c>
      <c r="G880" s="209">
        <v>38.45769578705766</v>
      </c>
      <c r="H880" s="210">
        <v>6791.405000000001</v>
      </c>
      <c r="I880" s="210">
        <v>0.0</v>
      </c>
      <c r="J880" s="215">
        <v>4.19</v>
      </c>
      <c r="K880" s="221">
        <v>36.204</v>
      </c>
      <c r="L880" s="221">
        <v>178.86</v>
      </c>
      <c r="M880" s="221">
        <v>7.54</v>
      </c>
      <c r="N880" s="221">
        <v>93.89</v>
      </c>
      <c r="O880" s="213">
        <v>-0.0144716701795952</v>
      </c>
      <c r="P880" s="214">
        <v>-0.013217870167948176</v>
      </c>
      <c r="Q880" s="214">
        <v>-0.013116044087033929</v>
      </c>
      <c r="R880" s="214">
        <v>-0.012750124653493197</v>
      </c>
      <c r="S880" s="214">
        <v>-0.012509094451174985</v>
      </c>
    </row>
    <row r="881">
      <c r="A881" s="208">
        <v>42340.0</v>
      </c>
      <c r="B881" s="220">
        <v>-0.002622536716162492</v>
      </c>
      <c r="C881" s="220">
        <v>0.0027692307692307686</v>
      </c>
      <c r="D881" s="220">
        <v>1.4669405306827544E-4</v>
      </c>
      <c r="E881" s="222">
        <v>7.120803062497165E-4</v>
      </c>
      <c r="F881" s="210">
        <v>6.050421418535024</v>
      </c>
      <c r="G881" s="209">
        <v>32.407274368522636</v>
      </c>
      <c r="H881" s="210">
        <v>6791.405000000001</v>
      </c>
      <c r="I881" s="210">
        <v>0.0</v>
      </c>
      <c r="J881" s="215">
        <v>4.41</v>
      </c>
      <c r="K881" s="221">
        <v>37.78</v>
      </c>
      <c r="L881" s="221">
        <v>186.08</v>
      </c>
      <c r="M881" s="221">
        <v>7.78</v>
      </c>
      <c r="N881" s="221">
        <v>96.54</v>
      </c>
      <c r="O881" s="213">
        <v>0.004555871695742786</v>
      </c>
      <c r="P881" s="214">
        <v>0.0014076441775693709</v>
      </c>
      <c r="Q881" s="214">
        <v>0.001379586615975666</v>
      </c>
      <c r="R881" s="214">
        <v>-4.3719280033142444E-4</v>
      </c>
      <c r="S881" s="214">
        <v>2.5156865462790573E-4</v>
      </c>
    </row>
    <row r="882">
      <c r="A882" s="208">
        <v>42339.0</v>
      </c>
      <c r="B882" s="220">
        <v>-0.0026114628817874813</v>
      </c>
      <c r="C882" s="220">
        <v>0.00273076923076923</v>
      </c>
      <c r="D882" s="220">
        <v>1.1930634898174788E-4</v>
      </c>
      <c r="E882" s="222">
        <v>7.120803062497165E-4</v>
      </c>
      <c r="F882" s="210">
        <v>6.050421418535024</v>
      </c>
      <c r="G882" s="209">
        <v>26.356852949987612</v>
      </c>
      <c r="H882" s="210">
        <v>6791.405000000001</v>
      </c>
      <c r="I882" s="210">
        <v>0.0</v>
      </c>
      <c r="J882" s="215">
        <v>4.39</v>
      </c>
      <c r="K882" s="221">
        <v>37.55</v>
      </c>
      <c r="L882" s="221">
        <v>185.68</v>
      </c>
      <c r="M882" s="221">
        <v>7.79</v>
      </c>
      <c r="N882" s="221">
        <v>97.12</v>
      </c>
      <c r="O882" s="213">
        <v>0.0030441558983127135</v>
      </c>
      <c r="P882" s="214">
        <v>-0.0012596067496910557</v>
      </c>
      <c r="Q882" s="214">
        <v>0.0012566488397514064</v>
      </c>
      <c r="R882" s="214">
        <v>-0.0034319359124222646</v>
      </c>
      <c r="S882" s="214">
        <v>-0.0020653870084820225</v>
      </c>
    </row>
    <row r="883">
      <c r="A883" s="208">
        <v>42338.0</v>
      </c>
      <c r="B883" s="220">
        <v>-0.0026003890474124705</v>
      </c>
      <c r="C883" s="220">
        <v>0.0026923076923076918</v>
      </c>
      <c r="D883" s="220">
        <v>9.191864489522032E-5</v>
      </c>
      <c r="E883" s="222">
        <v>7.120803062497165E-4</v>
      </c>
      <c r="F883" s="210">
        <v>6.050421418535027</v>
      </c>
      <c r="G883" s="209">
        <v>20.30643153145259</v>
      </c>
      <c r="H883" s="210">
        <v>6791.405000000001</v>
      </c>
      <c r="I883" s="210">
        <v>0.0</v>
      </c>
      <c r="J883" s="215">
        <v>4.37</v>
      </c>
      <c r="K883" s="221">
        <v>37.633</v>
      </c>
      <c r="L883" s="221">
        <v>185.89</v>
      </c>
      <c r="M883" s="221">
        <v>7.83</v>
      </c>
      <c r="N883" s="221">
        <v>97.44</v>
      </c>
      <c r="O883" s="213">
        <v>0.0022918365378714243</v>
      </c>
      <c r="P883" s="214">
        <v>9.894458771577685E-4</v>
      </c>
      <c r="Q883" s="214">
        <v>0.0022283003973635473</v>
      </c>
      <c r="R883" s="214">
        <v>-4.4969181859766394E-4</v>
      </c>
      <c r="S883" s="214">
        <v>-0.0010012039265033061</v>
      </c>
    </row>
    <row r="884">
      <c r="A884" s="208">
        <v>42335.0</v>
      </c>
      <c r="B884" s="220">
        <v>-0.0025893152130374597</v>
      </c>
      <c r="C884" s="220">
        <v>0.0026538461538461533</v>
      </c>
      <c r="D884" s="220">
        <v>6.453094080869277E-5</v>
      </c>
      <c r="E884" s="222">
        <v>7.120803062497165E-4</v>
      </c>
      <c r="F884" s="210">
        <v>6.050421418535025</v>
      </c>
      <c r="G884" s="209">
        <v>14.256010112917561</v>
      </c>
      <c r="H884" s="210">
        <v>6791.405000000001</v>
      </c>
      <c r="I884" s="210">
        <v>0.0</v>
      </c>
      <c r="J884" s="215">
        <v>4.35</v>
      </c>
      <c r="K884" s="221">
        <v>37.62</v>
      </c>
      <c r="L884" s="221">
        <v>185.31</v>
      </c>
      <c r="M884" s="221">
        <v>7.79</v>
      </c>
      <c r="N884" s="221">
        <v>96.46</v>
      </c>
      <c r="O884" s="213">
        <v>0.0023023818351960066</v>
      </c>
      <c r="P884" s="214">
        <v>0.0032196519790570477</v>
      </c>
      <c r="Q884" s="214">
        <v>0.002181128188243934</v>
      </c>
      <c r="R884" s="214">
        <v>-0.0025777141641896892</v>
      </c>
      <c r="S884" s="214">
        <v>-0.004456027544848344</v>
      </c>
    </row>
    <row r="885">
      <c r="A885" s="208">
        <v>42334.0</v>
      </c>
      <c r="B885" s="220">
        <v>-0.002578241378662449</v>
      </c>
      <c r="C885" s="220">
        <v>0.002615384615384615</v>
      </c>
      <c r="D885" s="220">
        <v>3.714323672216522E-5</v>
      </c>
      <c r="E885" s="222">
        <v>7.120803062497165E-4</v>
      </c>
      <c r="F885" s="210">
        <v>6.050421418535025</v>
      </c>
      <c r="G885" s="209">
        <v>8.205588694382536</v>
      </c>
      <c r="H885" s="210">
        <v>6791.405000000001</v>
      </c>
      <c r="I885" s="210">
        <v>0.0</v>
      </c>
      <c r="J885" s="215">
        <v>4.35</v>
      </c>
      <c r="K885" s="221">
        <v>37.692</v>
      </c>
      <c r="L885" s="221">
        <v>184.98</v>
      </c>
      <c r="M885" s="221">
        <v>7.87</v>
      </c>
      <c r="N885" s="221">
        <v>97.71</v>
      </c>
      <c r="O885" s="213">
        <v>0.0023023818351960066</v>
      </c>
      <c r="P885" s="214">
        <v>9.319857969336542E-4</v>
      </c>
      <c r="Q885" s="214">
        <v>0.0012073001377036114</v>
      </c>
      <c r="R885" s="214">
        <v>0.0033932486631053083</v>
      </c>
      <c r="S885" s="214">
        <v>7.501677622011224E-4</v>
      </c>
    </row>
    <row r="886">
      <c r="A886" s="208">
        <v>42333.0</v>
      </c>
      <c r="B886" s="220">
        <v>-0.002567167544287438</v>
      </c>
      <c r="C886" s="220">
        <v>0.0025769230769230765</v>
      </c>
      <c r="D886" s="220">
        <v>9.75553263563766E-6</v>
      </c>
      <c r="E886" s="222">
        <v>7.120803062497165E-4</v>
      </c>
      <c r="F886" s="210">
        <v>6.050421418535025</v>
      </c>
      <c r="G886" s="209">
        <v>2.1551672758475107</v>
      </c>
      <c r="H886" s="210">
        <v>6791.405000000001</v>
      </c>
      <c r="I886" s="210">
        <v>0.0</v>
      </c>
      <c r="J886" s="215">
        <v>4.34</v>
      </c>
      <c r="K886" s="221">
        <v>37.521</v>
      </c>
      <c r="L886" s="221">
        <v>184.65</v>
      </c>
      <c r="M886" s="221">
        <v>7.84</v>
      </c>
      <c r="N886" s="221">
        <v>97.72</v>
      </c>
      <c r="O886" s="213">
        <v>0.002307703248563442</v>
      </c>
      <c r="P886" s="214">
        <v>7.944270072599569E-4</v>
      </c>
      <c r="Q886" s="214">
        <v>0.0013179746613375398</v>
      </c>
      <c r="R886" s="214">
        <v>0.0021226006326097537</v>
      </c>
      <c r="S886" s="214">
        <v>-6.175708626404338E-4</v>
      </c>
    </row>
    <row r="887">
      <c r="A887" s="208">
        <v>42332.0</v>
      </c>
      <c r="B887" s="220">
        <v>-0.002556093709912427</v>
      </c>
      <c r="C887" s="220">
        <v>0.002538461538461538</v>
      </c>
      <c r="D887" s="220">
        <v>-1.7632171450889896E-5</v>
      </c>
      <c r="E887" s="222">
        <v>7.120803062497165E-4</v>
      </c>
      <c r="F887" s="210">
        <v>6.050421418535025</v>
      </c>
      <c r="G887" s="209">
        <v>-3.8952541426875147</v>
      </c>
      <c r="H887" s="210">
        <v>6791.405000000001</v>
      </c>
      <c r="I887" s="210">
        <v>0.0</v>
      </c>
      <c r="J887" s="215">
        <v>4.32</v>
      </c>
      <c r="K887" s="221">
        <v>37.257</v>
      </c>
      <c r="L887" s="221">
        <v>184.1</v>
      </c>
      <c r="M887" s="221">
        <v>7.85</v>
      </c>
      <c r="N887" s="221">
        <v>97.75</v>
      </c>
      <c r="O887" s="213">
        <v>0.003091790553120847</v>
      </c>
      <c r="P887" s="214">
        <v>0.0030444409670432973</v>
      </c>
      <c r="Q887" s="214">
        <v>0.00355114557617305</v>
      </c>
      <c r="R887" s="214">
        <v>0.0046872657797982775</v>
      </c>
      <c r="S887" s="214">
        <v>7.785995831421181E-4</v>
      </c>
    </row>
    <row r="888">
      <c r="A888" s="208">
        <v>42331.0</v>
      </c>
      <c r="B888" s="220">
        <v>-0.0025450198755374164</v>
      </c>
      <c r="C888" s="220">
        <v>0.0024999999999999996</v>
      </c>
      <c r="D888" s="220">
        <v>-4.501987553741745E-5</v>
      </c>
      <c r="E888" s="222">
        <v>7.120803062497165E-4</v>
      </c>
      <c r="F888" s="210">
        <v>6.050421418535025</v>
      </c>
      <c r="G888" s="209">
        <v>-9.94567556122254</v>
      </c>
      <c r="H888" s="210">
        <v>6791.405000000001</v>
      </c>
      <c r="I888" s="210">
        <v>0.0</v>
      </c>
      <c r="J888" s="215">
        <v>4.32</v>
      </c>
      <c r="K888" s="221">
        <v>37.584</v>
      </c>
      <c r="L888" s="221">
        <v>184.31</v>
      </c>
      <c r="M888" s="221">
        <v>7.79</v>
      </c>
      <c r="N888" s="221">
        <v>97.49</v>
      </c>
      <c r="O888" s="213">
        <v>0.00309179055312081</v>
      </c>
      <c r="P888" s="214">
        <v>0.005211525330224398</v>
      </c>
      <c r="Q888" s="214">
        <v>0.0014058439008228785</v>
      </c>
      <c r="R888" s="214">
        <v>0.0017088318578003896</v>
      </c>
      <c r="S888" s="214">
        <v>0.00122504395252232</v>
      </c>
    </row>
    <row r="889">
      <c r="A889" s="208">
        <v>42328.0</v>
      </c>
      <c r="B889" s="220">
        <v>-0.0025339460411624055</v>
      </c>
      <c r="C889" s="220">
        <v>0.002461538461538461</v>
      </c>
      <c r="D889" s="220">
        <v>-7.2407579623945E-5</v>
      </c>
      <c r="E889" s="222">
        <v>7.120803062497165E-4</v>
      </c>
      <c r="F889" s="210">
        <v>6.050421418535025</v>
      </c>
      <c r="G889" s="209">
        <v>-15.996096979757565</v>
      </c>
      <c r="H889" s="210">
        <v>6791.405000000001</v>
      </c>
      <c r="I889" s="210">
        <v>0.0</v>
      </c>
      <c r="J889" s="215">
        <v>4.31</v>
      </c>
      <c r="K889" s="221">
        <v>37.429</v>
      </c>
      <c r="L889" s="221">
        <v>183.92</v>
      </c>
      <c r="M889" s="221">
        <v>7.79</v>
      </c>
      <c r="N889" s="221">
        <v>97.9</v>
      </c>
      <c r="O889" s="213">
        <v>0.004656634212980053</v>
      </c>
      <c r="P889" s="214">
        <v>0.004332362551045558</v>
      </c>
      <c r="Q889" s="214">
        <v>0.0015541867520496948</v>
      </c>
      <c r="R889" s="214">
        <v>-0.0013019208303716168</v>
      </c>
      <c r="S889" s="214">
        <v>0.0011168933590357533</v>
      </c>
    </row>
    <row r="890">
      <c r="A890" s="208">
        <v>42327.0</v>
      </c>
      <c r="B890" s="220">
        <v>-0.0025228722067873947</v>
      </c>
      <c r="C890" s="220">
        <v>0.0024230769230769228</v>
      </c>
      <c r="D890" s="220">
        <v>-9.979528371047256E-5</v>
      </c>
      <c r="E890" s="222">
        <v>7.120803062497165E-4</v>
      </c>
      <c r="F890" s="210">
        <v>6.050421418535024</v>
      </c>
      <c r="G890" s="209">
        <v>-22.04651839829259</v>
      </c>
      <c r="H890" s="210">
        <v>6791.405000000001</v>
      </c>
      <c r="I890" s="210">
        <v>0.0</v>
      </c>
      <c r="J890" s="215">
        <v>4.28</v>
      </c>
      <c r="K890" s="221">
        <v>36.913</v>
      </c>
      <c r="L890" s="221">
        <v>182.14</v>
      </c>
      <c r="M890" s="221">
        <v>7.74</v>
      </c>
      <c r="N890" s="221">
        <v>97.52</v>
      </c>
      <c r="O890" s="213">
        <v>0.002336448598130906</v>
      </c>
      <c r="P890" s="214">
        <v>0.007848810239503198</v>
      </c>
      <c r="Q890" s="214">
        <v>-9.43455121386938E-4</v>
      </c>
      <c r="R890" s="214">
        <v>-3.135623348859973E-5</v>
      </c>
      <c r="S890" s="214">
        <v>-8.260505141616618E-4</v>
      </c>
    </row>
    <row r="891">
      <c r="A891" s="208">
        <v>42326.0</v>
      </c>
      <c r="B891" s="220">
        <v>-0.002511798372412384</v>
      </c>
      <c r="C891" s="220">
        <v>0.0023846153846153843</v>
      </c>
      <c r="D891" s="220">
        <v>-1.271829877970001E-4</v>
      </c>
      <c r="E891" s="222">
        <v>7.120803062497165E-4</v>
      </c>
      <c r="F891" s="210">
        <v>6.050421418535024</v>
      </c>
      <c r="G891" s="209">
        <v>-28.096939816827614</v>
      </c>
      <c r="H891" s="210">
        <v>6791.405000000001</v>
      </c>
      <c r="I891" s="210">
        <v>0.0</v>
      </c>
      <c r="J891" s="215">
        <v>4.28</v>
      </c>
      <c r="K891" s="221">
        <v>36.997</v>
      </c>
      <c r="L891" s="221">
        <v>183.52</v>
      </c>
      <c r="M891" s="221">
        <v>7.75</v>
      </c>
      <c r="N891" s="221">
        <v>97.13</v>
      </c>
      <c r="O891" s="213">
        <v>0.003120762323621092</v>
      </c>
      <c r="P891" s="214">
        <v>0.008283663143740072</v>
      </c>
      <c r="Q891" s="214">
        <v>0.0029143130337599965</v>
      </c>
      <c r="R891" s="214">
        <v>-0.002184672340293107</v>
      </c>
      <c r="S891" s="214">
        <v>-0.0017499450965311099</v>
      </c>
    </row>
    <row r="892">
      <c r="A892" s="208">
        <v>42325.0</v>
      </c>
      <c r="B892" s="220">
        <v>-0.002500724538037373</v>
      </c>
      <c r="C892" s="220">
        <v>0.002346153846153846</v>
      </c>
      <c r="D892" s="220">
        <v>-1.5457069188352766E-4</v>
      </c>
      <c r="E892" s="222">
        <v>7.120803062497165E-4</v>
      </c>
      <c r="F892" s="210">
        <v>6.050421418535024</v>
      </c>
      <c r="G892" s="209">
        <v>-34.14736123536264</v>
      </c>
      <c r="H892" s="210">
        <v>6791.405000000001</v>
      </c>
      <c r="I892" s="210">
        <v>0.0</v>
      </c>
      <c r="J892" s="215">
        <v>4.25</v>
      </c>
      <c r="K892" s="221">
        <v>36.942</v>
      </c>
      <c r="L892" s="221">
        <v>183.05</v>
      </c>
      <c r="M892" s="221">
        <v>7.82</v>
      </c>
      <c r="N892" s="221">
        <v>97.57</v>
      </c>
      <c r="O892" s="213">
        <v>0.003928967813540574</v>
      </c>
      <c r="P892" s="214">
        <v>0.004628307080519571</v>
      </c>
      <c r="Q892" s="214">
        <v>0.004057851669851065</v>
      </c>
      <c r="R892" s="214">
        <v>8.260803478789361E-4</v>
      </c>
      <c r="S892" s="214">
        <v>0.0016377044520684187</v>
      </c>
    </row>
    <row r="893">
      <c r="A893" s="208">
        <v>42324.0</v>
      </c>
      <c r="B893" s="220">
        <v>-0.0024896507036623623</v>
      </c>
      <c r="C893" s="220">
        <v>0.0023076923076923075</v>
      </c>
      <c r="D893" s="220">
        <v>-1.8195839597005522E-4</v>
      </c>
      <c r="E893" s="222">
        <v>7.120803062497165E-4</v>
      </c>
      <c r="F893" s="210">
        <v>6.050421418535024</v>
      </c>
      <c r="G893" s="209">
        <v>-40.19778265389766</v>
      </c>
      <c r="H893" s="210">
        <v>6791.405000000001</v>
      </c>
      <c r="I893" s="210">
        <v>0.0</v>
      </c>
      <c r="J893" s="215">
        <v>4.25</v>
      </c>
      <c r="K893" s="221">
        <v>36.043</v>
      </c>
      <c r="L893" s="221">
        <v>182.65</v>
      </c>
      <c r="M893" s="221">
        <v>7.74</v>
      </c>
      <c r="N893" s="221">
        <v>97.76</v>
      </c>
      <c r="O893" s="213">
        <v>0.004722618607191327</v>
      </c>
      <c r="P893" s="214">
        <v>-0.007327549571867949</v>
      </c>
      <c r="Q893" s="214">
        <v>-6.231435427820713E-5</v>
      </c>
      <c r="R893" s="214">
        <v>-0.007284834029020064</v>
      </c>
      <c r="S893" s="214">
        <v>-1.164573687129448E-4</v>
      </c>
    </row>
    <row r="894">
      <c r="A894" s="208">
        <v>42321.0</v>
      </c>
      <c r="B894" s="220">
        <v>-0.0024785768692873514</v>
      </c>
      <c r="C894" s="220">
        <v>0.002269230769230769</v>
      </c>
      <c r="D894" s="220">
        <v>-2.0934610005658277E-4</v>
      </c>
      <c r="E894" s="222">
        <v>7.120803062497165E-4</v>
      </c>
      <c r="F894" s="210">
        <v>6.050421418535024</v>
      </c>
      <c r="G894" s="209">
        <v>-46.248204072432685</v>
      </c>
      <c r="H894" s="210">
        <v>6791.405000000001</v>
      </c>
      <c r="I894" s="210">
        <v>0.0</v>
      </c>
      <c r="J894" s="215">
        <v>4.24</v>
      </c>
      <c r="K894" s="221">
        <v>36.078</v>
      </c>
      <c r="L894" s="221">
        <v>181.92</v>
      </c>
      <c r="M894" s="221">
        <v>7.8</v>
      </c>
      <c r="N894" s="221">
        <v>97.64</v>
      </c>
      <c r="O894" s="213">
        <v>0.001551670036832431</v>
      </c>
      <c r="P894" s="214">
        <v>-0.007709616739016489</v>
      </c>
      <c r="Q894" s="214">
        <v>-0.003401815338385461</v>
      </c>
      <c r="R894" s="214">
        <v>-0.008493522210336316</v>
      </c>
      <c r="S894" s="214">
        <v>-0.004206980683561993</v>
      </c>
    </row>
    <row r="895">
      <c r="A895" s="208">
        <v>42320.0</v>
      </c>
      <c r="B895" s="220">
        <v>-0.0024675030349123406</v>
      </c>
      <c r="C895" s="220">
        <v>0.0022307692307692306</v>
      </c>
      <c r="D895" s="220">
        <v>-2.3673380414311032E-4</v>
      </c>
      <c r="E895" s="222">
        <v>7.120803062497165E-4</v>
      </c>
      <c r="F895" s="210">
        <v>6.050421418535024</v>
      </c>
      <c r="G895" s="209">
        <v>-52.29862549096771</v>
      </c>
      <c r="H895" s="210">
        <v>6791.405000000001</v>
      </c>
      <c r="I895" s="210">
        <v>0.0</v>
      </c>
      <c r="J895" s="215">
        <v>4.2</v>
      </c>
      <c r="K895" s="221">
        <v>36.42</v>
      </c>
      <c r="L895" s="221">
        <v>180.83</v>
      </c>
      <c r="M895" s="221">
        <v>7.8</v>
      </c>
      <c r="N895" s="221">
        <v>97.09</v>
      </c>
      <c r="O895" s="213">
        <v>0.0023564630261912653</v>
      </c>
      <c r="P895" s="214">
        <v>-0.001958467819964597</v>
      </c>
      <c r="Q895" s="214">
        <v>-0.0024242973224889073</v>
      </c>
      <c r="R895" s="214">
        <v>-0.006826855543669685</v>
      </c>
      <c r="S895" s="214">
        <v>-0.002881767484089822</v>
      </c>
    </row>
    <row r="896">
      <c r="A896" s="208">
        <v>42319.0</v>
      </c>
      <c r="B896" s="220">
        <v>-0.00245642920053733</v>
      </c>
      <c r="C896" s="220">
        <v>0.002192307692307692</v>
      </c>
      <c r="D896" s="220">
        <v>-2.641215082296379E-4</v>
      </c>
      <c r="E896" s="222">
        <v>7.120803062497165E-4</v>
      </c>
      <c r="F896" s="210">
        <v>6.050421418535024</v>
      </c>
      <c r="G896" s="209">
        <v>-58.34904690950273</v>
      </c>
      <c r="H896" s="210">
        <v>6791.405000000001</v>
      </c>
      <c r="I896" s="210">
        <v>0.0</v>
      </c>
      <c r="J896" s="215">
        <v>4.19</v>
      </c>
      <c r="K896" s="221">
        <v>36.84</v>
      </c>
      <c r="L896" s="221">
        <v>182.67</v>
      </c>
      <c r="M896" s="221">
        <v>7.91</v>
      </c>
      <c r="N896" s="221">
        <v>97.79</v>
      </c>
      <c r="O896" s="213">
        <v>-0.0016346298138224153</v>
      </c>
      <c r="P896" s="214">
        <v>-0.0015814349023224317</v>
      </c>
      <c r="Q896" s="214">
        <v>-3.9136734627372625E-5</v>
      </c>
      <c r="R896" s="214">
        <v>-0.005476084594908707</v>
      </c>
      <c r="S896" s="214">
        <v>-4.4445764466893856E-4</v>
      </c>
    </row>
    <row r="897">
      <c r="A897" s="208">
        <v>42318.0</v>
      </c>
      <c r="B897" s="220">
        <v>-0.002445355366162319</v>
      </c>
      <c r="C897" s="220">
        <v>0.0021538461538461538</v>
      </c>
      <c r="D897" s="220">
        <v>-2.915092123161654E-4</v>
      </c>
      <c r="E897" s="222">
        <v>7.120803062497165E-4</v>
      </c>
      <c r="F897" s="210">
        <v>6.050421418535024</v>
      </c>
      <c r="G897" s="209">
        <v>-64.39946832803776</v>
      </c>
      <c r="H897" s="210">
        <v>6791.405000000001</v>
      </c>
      <c r="I897" s="210">
        <v>0.0</v>
      </c>
      <c r="J897" s="215">
        <v>4.22</v>
      </c>
      <c r="K897" s="221">
        <v>36.918</v>
      </c>
      <c r="L897" s="221">
        <v>183.77</v>
      </c>
      <c r="M897" s="221">
        <v>8.0</v>
      </c>
      <c r="N897" s="221">
        <v>98.87</v>
      </c>
      <c r="O897" s="213">
        <v>7.520050310462582E-4</v>
      </c>
      <c r="P897" s="214">
        <v>0.0019972618210925366</v>
      </c>
      <c r="Q897" s="214">
        <v>0.003646835489807524</v>
      </c>
      <c r="R897" s="214">
        <v>-0.0016834170854270747</v>
      </c>
      <c r="S897" s="214">
        <v>0.0014665670681092886</v>
      </c>
    </row>
    <row r="898">
      <c r="A898" s="208">
        <v>42317.0</v>
      </c>
      <c r="B898" s="220">
        <v>-0.002434281531787308</v>
      </c>
      <c r="C898" s="220">
        <v>0.0021153846153846153</v>
      </c>
      <c r="D898" s="220">
        <v>-3.18896916402693E-4</v>
      </c>
      <c r="E898" s="222">
        <v>7.120803062497165E-4</v>
      </c>
      <c r="F898" s="210">
        <v>6.050421418535024</v>
      </c>
      <c r="G898" s="209">
        <v>-70.44988974657278</v>
      </c>
      <c r="H898" s="210">
        <v>6791.405000000001</v>
      </c>
      <c r="I898" s="210">
        <v>0.0</v>
      </c>
      <c r="J898" s="215">
        <v>4.17</v>
      </c>
      <c r="K898" s="221">
        <v>36.631</v>
      </c>
      <c r="L898" s="221">
        <v>182.13</v>
      </c>
      <c r="M898" s="221">
        <v>7.96</v>
      </c>
      <c r="N898" s="221">
        <v>97.92</v>
      </c>
      <c r="O898" s="213">
        <v>-0.004780973321105571</v>
      </c>
      <c r="P898" s="214">
        <v>-0.0016115178121010043</v>
      </c>
      <c r="Q898" s="214">
        <v>2.8697934148110466E-4</v>
      </c>
      <c r="R898" s="214">
        <v>-0.006252239639324235</v>
      </c>
      <c r="S898" s="214">
        <v>-0.0041745729168395735</v>
      </c>
    </row>
    <row r="899">
      <c r="A899" s="208">
        <v>42314.0</v>
      </c>
      <c r="B899" s="220">
        <v>-0.0024232076974122973</v>
      </c>
      <c r="C899" s="220">
        <v>0.002076923076923077</v>
      </c>
      <c r="D899" s="220">
        <v>-3.4628462048922053E-4</v>
      </c>
      <c r="E899" s="222">
        <v>7.120803062497165E-4</v>
      </c>
      <c r="F899" s="210">
        <v>6.050421418535024</v>
      </c>
      <c r="G899" s="209">
        <v>-76.5003111651078</v>
      </c>
      <c r="H899" s="210">
        <v>6791.405000000001</v>
      </c>
      <c r="I899" s="210">
        <v>0.0</v>
      </c>
      <c r="J899" s="215">
        <v>4.21</v>
      </c>
      <c r="K899" s="221">
        <v>37.012</v>
      </c>
      <c r="L899" s="221">
        <v>182.68</v>
      </c>
      <c r="M899" s="221">
        <v>8.04</v>
      </c>
      <c r="N899" s="221">
        <v>97.91</v>
      </c>
      <c r="O899" s="213">
        <v>-7.487145506986555E-6</v>
      </c>
      <c r="P899" s="214">
        <v>0.004047222201509659</v>
      </c>
      <c r="Q899" s="214">
        <v>0.003052117969897646</v>
      </c>
      <c r="R899" s="214">
        <v>-0.0029021558872304918</v>
      </c>
      <c r="S899" s="214">
        <v>-0.004343090693760414</v>
      </c>
    </row>
    <row r="900">
      <c r="A900" s="208">
        <v>42313.0</v>
      </c>
      <c r="B900" s="220">
        <v>-0.0024121338630372865</v>
      </c>
      <c r="C900" s="220">
        <v>0.0020384615384615385</v>
      </c>
      <c r="D900" s="220">
        <v>-3.736723245757481E-4</v>
      </c>
      <c r="E900" s="222">
        <v>7.120803062497165E-4</v>
      </c>
      <c r="F900" s="210">
        <v>6.050421418535024</v>
      </c>
      <c r="G900" s="209">
        <v>-82.55073258364283</v>
      </c>
      <c r="H900" s="210">
        <v>6791.405000000001</v>
      </c>
      <c r="I900" s="210">
        <v>0.0</v>
      </c>
      <c r="J900" s="215">
        <v>4.21</v>
      </c>
      <c r="K900" s="221">
        <v>36.693</v>
      </c>
      <c r="L900" s="221">
        <v>181.76</v>
      </c>
      <c r="M900" s="221">
        <v>8.04</v>
      </c>
      <c r="N900" s="221">
        <v>98.43</v>
      </c>
      <c r="O900" s="213">
        <v>7.842784918642801E-4</v>
      </c>
      <c r="P900" s="214">
        <v>0.005477355150307117</v>
      </c>
      <c r="Q900" s="214">
        <v>0.0029571146275630214</v>
      </c>
      <c r="R900" s="214">
        <v>0.002441041811084288</v>
      </c>
      <c r="S900" s="214">
        <v>-0.003916978922179719</v>
      </c>
    </row>
    <row r="901">
      <c r="A901" s="208">
        <v>42312.0</v>
      </c>
      <c r="B901" s="30">
        <v>-0.0024010600286622757</v>
      </c>
      <c r="C901" s="30">
        <v>0.002</v>
      </c>
      <c r="D901" s="164">
        <v>-4.0106002866227564E-4</v>
      </c>
      <c r="E901" s="164">
        <v>0.002510353508606969</v>
      </c>
      <c r="F901" s="210">
        <v>277.29043275375744</v>
      </c>
      <c r="G901" s="209">
        <v>-88.60115400217785</v>
      </c>
      <c r="H901" s="210">
        <v>6791.405000000001</v>
      </c>
      <c r="I901" s="210">
        <v>0.0</v>
      </c>
      <c r="J901" s="215">
        <v>4.23</v>
      </c>
      <c r="K901" s="221">
        <v>36.805</v>
      </c>
      <c r="L901" s="221">
        <v>181.97</v>
      </c>
      <c r="M901" s="221">
        <v>8.11</v>
      </c>
      <c r="N901" s="221">
        <v>99.15</v>
      </c>
      <c r="O901" s="213">
        <v>0.0023678097666069244</v>
      </c>
      <c r="P901" s="214">
        <v>0.007030489203186681</v>
      </c>
      <c r="Q901" s="214">
        <v>0.003009182080155326</v>
      </c>
      <c r="R901" s="214">
        <v>0.0036723539222078827</v>
      </c>
      <c r="S901" s="214">
        <v>-0.0032526377302214784</v>
      </c>
    </row>
    <row r="902">
      <c r="A902" s="208">
        <v>42311.0</v>
      </c>
      <c r="B902" s="220">
        <v>-0.00315623678296576</v>
      </c>
      <c r="C902" s="220">
        <v>0.0015</v>
      </c>
      <c r="D902" s="220">
        <v>-0.00165623678296576</v>
      </c>
      <c r="E902" s="220">
        <v>0.002510353508606969</v>
      </c>
      <c r="F902" s="210">
        <v>277.29043275375744</v>
      </c>
      <c r="G902" s="209">
        <v>-365.8915867559353</v>
      </c>
      <c r="H902" s="210">
        <v>6791.405000000001</v>
      </c>
      <c r="I902" s="210">
        <v>0.0</v>
      </c>
      <c r="J902" s="215">
        <v>4.21</v>
      </c>
      <c r="K902" s="221">
        <v>36.563</v>
      </c>
      <c r="L902" s="221">
        <v>181.01</v>
      </c>
      <c r="M902" s="221">
        <v>8.11</v>
      </c>
      <c r="N902" s="221">
        <v>99.19</v>
      </c>
      <c r="O902" s="213">
        <v>-7.95535949930278E-4</v>
      </c>
      <c r="P902" s="214">
        <v>0.003145865381040447</v>
      </c>
      <c r="Q902" s="214">
        <v>-6.532664390402158E-4</v>
      </c>
      <c r="R902" s="214">
        <v>0.0015942159338454183</v>
      </c>
      <c r="S902" s="214">
        <v>-0.007046780338180847</v>
      </c>
    </row>
    <row r="903">
      <c r="A903" s="208">
        <v>42310.0</v>
      </c>
      <c r="B903" s="30">
        <v>-0.003911413537269245</v>
      </c>
      <c r="C903" s="30">
        <v>0.001</v>
      </c>
      <c r="D903" s="164">
        <v>-0.0029114135372692446</v>
      </c>
      <c r="E903" s="164">
        <v>-0.0029114135372692446</v>
      </c>
      <c r="F903" s="210">
        <v>-128.6364039019386</v>
      </c>
      <c r="G903" s="209">
        <v>-643.1820195096927</v>
      </c>
      <c r="H903" s="210">
        <v>6791.405000000001</v>
      </c>
      <c r="I903" s="210">
        <v>0.0</v>
      </c>
      <c r="J903" s="215">
        <v>4.2</v>
      </c>
      <c r="K903" s="221">
        <v>36.091</v>
      </c>
      <c r="L903" s="221">
        <v>180.15</v>
      </c>
      <c r="M903" s="221">
        <v>7.98</v>
      </c>
      <c r="N903" s="221">
        <v>99.59</v>
      </c>
      <c r="O903" s="213">
        <v>-0.002377191002783441</v>
      </c>
      <c r="P903" s="214">
        <v>0.0031962989015380896</v>
      </c>
      <c r="Q903" s="214">
        <v>-0.0019061389790213656</v>
      </c>
      <c r="R903" s="214">
        <v>-0.002509824391482951</v>
      </c>
      <c r="S903" s="214">
        <v>-0.011362315309321339</v>
      </c>
    </row>
    <row r="904">
      <c r="A904" s="208">
        <v>42307.0</v>
      </c>
      <c r="B904" s="220">
        <v>-0.0031291308298153956</v>
      </c>
      <c r="C904" s="220">
        <v>8.0E-4</v>
      </c>
      <c r="D904" s="220">
        <v>-0.0023291308298153957</v>
      </c>
      <c r="E904" s="222">
        <v>-0.0029114135372692446</v>
      </c>
      <c r="F904" s="210">
        <v>-128.63640390193854</v>
      </c>
      <c r="G904" s="209">
        <v>-514.5456156077541</v>
      </c>
      <c r="H904" s="134">
        <v>0.0</v>
      </c>
      <c r="I904" s="210">
        <v>0.0</v>
      </c>
      <c r="J904" s="215">
        <v>4.2</v>
      </c>
      <c r="K904" s="221">
        <v>36.033</v>
      </c>
      <c r="L904" s="221">
        <v>180.33</v>
      </c>
      <c r="M904" s="221">
        <v>8.02</v>
      </c>
      <c r="N904" s="221">
        <v>100.12</v>
      </c>
      <c r="O904" s="213">
        <v>-0.005529279261254609</v>
      </c>
      <c r="P904" s="214">
        <v>0.004992074792382617</v>
      </c>
      <c r="Q904" s="214">
        <v>-0.0032656909119399926</v>
      </c>
      <c r="R904" s="214">
        <v>0.0020631752718544374</v>
      </c>
      <c r="S904" s="214">
        <v>-0.006773388108302007</v>
      </c>
    </row>
    <row r="905">
      <c r="A905" s="208">
        <v>42306.0</v>
      </c>
      <c r="B905" s="220">
        <v>-0.0023468481223615466</v>
      </c>
      <c r="C905" s="220">
        <v>6.000000000000001E-4</v>
      </c>
      <c r="D905" s="220">
        <v>-0.0017468481223615467</v>
      </c>
      <c r="E905" s="222">
        <v>-0.0029114135372692446</v>
      </c>
      <c r="F905" s="210">
        <v>-128.63640390193854</v>
      </c>
      <c r="G905" s="209">
        <v>-385.9092117058156</v>
      </c>
      <c r="H905" s="134">
        <v>0.0</v>
      </c>
      <c r="I905" s="210">
        <v>0.0</v>
      </c>
      <c r="J905" s="215">
        <v>4.22</v>
      </c>
      <c r="K905" s="221">
        <v>36.216</v>
      </c>
      <c r="L905" s="221">
        <v>181.36</v>
      </c>
      <c r="M905" s="221">
        <v>8.07</v>
      </c>
      <c r="N905" s="221">
        <v>101.3</v>
      </c>
      <c r="O905" s="213">
        <v>-0.003161337549050606</v>
      </c>
      <c r="P905" s="214">
        <v>0.005191715228013501</v>
      </c>
      <c r="Q905" s="214">
        <v>-8.042677373321094E-5</v>
      </c>
      <c r="R905" s="214">
        <v>0.0016319029716347355</v>
      </c>
      <c r="S905" s="214">
        <v>-0.002877400868450749</v>
      </c>
    </row>
    <row r="906">
      <c r="A906" s="208">
        <v>42305.0</v>
      </c>
      <c r="B906" s="220">
        <v>-0.0015645654149076978</v>
      </c>
      <c r="C906" s="220">
        <v>4.0E-4</v>
      </c>
      <c r="D906" s="220">
        <v>-0.0011645654149076978</v>
      </c>
      <c r="E906" s="222">
        <v>-0.0029114135372692446</v>
      </c>
      <c r="F906" s="210">
        <v>-128.63640390193854</v>
      </c>
      <c r="G906" s="209">
        <v>-257.2728078038771</v>
      </c>
      <c r="H906" s="134">
        <v>0.0</v>
      </c>
      <c r="I906" s="210">
        <v>0.0</v>
      </c>
      <c r="J906" s="215">
        <v>4.23</v>
      </c>
      <c r="K906" s="221">
        <v>35.743</v>
      </c>
      <c r="L906" s="221">
        <v>181.18</v>
      </c>
      <c r="M906" s="221">
        <v>8.04</v>
      </c>
      <c r="N906" s="221">
        <v>103.02</v>
      </c>
      <c r="O906" s="213">
        <v>-0.0035571722003531203</v>
      </c>
      <c r="P906" s="214">
        <v>0.001257309974779297</v>
      </c>
      <c r="Q906" s="214">
        <v>-6.168907119893374E-4</v>
      </c>
      <c r="R906" s="214">
        <v>5.891183979724879E-4</v>
      </c>
      <c r="S906" s="214">
        <v>0.0041735334455964</v>
      </c>
    </row>
    <row r="907">
      <c r="A907" s="208">
        <v>42304.0</v>
      </c>
      <c r="B907" s="220">
        <v>-7.822827074538489E-4</v>
      </c>
      <c r="C907" s="220">
        <v>2.0E-4</v>
      </c>
      <c r="D907" s="220">
        <v>-5.822827074538489E-4</v>
      </c>
      <c r="E907" s="222">
        <v>-0.0029114135372692446</v>
      </c>
      <c r="F907" s="210">
        <v>-128.63640390193854</v>
      </c>
      <c r="G907" s="209">
        <v>-128.63640390193854</v>
      </c>
      <c r="H907" s="134">
        <v>0.0</v>
      </c>
      <c r="I907" s="210">
        <v>0.0</v>
      </c>
      <c r="J907" s="215">
        <v>4.27</v>
      </c>
      <c r="K907" s="221">
        <v>35.493</v>
      </c>
      <c r="L907" s="221">
        <v>182.1</v>
      </c>
      <c r="M907" s="221">
        <v>7.97</v>
      </c>
      <c r="N907" s="221">
        <v>102.15</v>
      </c>
      <c r="O907" s="213">
        <v>0.0023419203747072626</v>
      </c>
      <c r="P907" s="214">
        <v>-0.004479756571718285</v>
      </c>
      <c r="Q907" s="214">
        <v>0.0038440417353101664</v>
      </c>
      <c r="R907" s="214">
        <v>-0.007528230865746499</v>
      </c>
      <c r="S907" s="214">
        <v>-9.789525208026006E-5</v>
      </c>
    </row>
    <row r="908">
      <c r="A908" s="208">
        <v>42303.0</v>
      </c>
      <c r="B908" s="220">
        <v>0.0</v>
      </c>
      <c r="C908" s="220">
        <v>0.0</v>
      </c>
      <c r="D908" s="220">
        <v>0.0</v>
      </c>
      <c r="E908" s="220">
        <v>0.0</v>
      </c>
      <c r="F908" s="210">
        <v>0.0</v>
      </c>
      <c r="G908" s="209">
        <v>0.0</v>
      </c>
      <c r="H908" s="134">
        <v>0.0</v>
      </c>
      <c r="I908" s="210">
        <v>0.0</v>
      </c>
      <c r="J908" s="215">
        <v>4.26</v>
      </c>
      <c r="K908" s="221">
        <v>35.652</v>
      </c>
      <c r="L908" s="221">
        <v>181.4</v>
      </c>
      <c r="M908" s="221">
        <v>8.03</v>
      </c>
      <c r="N908" s="221">
        <v>102.16</v>
      </c>
      <c r="O908" s="213">
        <v>0.0</v>
      </c>
      <c r="P908" s="214">
        <v>0.0</v>
      </c>
      <c r="Q908" s="214">
        <v>0.0</v>
      </c>
      <c r="R908" s="214">
        <v>0.0</v>
      </c>
      <c r="S908" s="214">
        <v>0.0</v>
      </c>
    </row>
  </sheetData>
  <conditionalFormatting sqref="E2:E908">
    <cfRule type="cellIs" dxfId="17" priority="1" operator="greaterThanOrEqual">
      <formula>0</formula>
    </cfRule>
  </conditionalFormatting>
  <conditionalFormatting sqref="E2:E908">
    <cfRule type="cellIs" dxfId="18" priority="2" operator="lessThan">
      <formula>0</formula>
    </cfRule>
  </conditionalFormatting>
  <conditionalFormatting sqref="O2:S908">
    <cfRule type="expression" dxfId="19" priority="3">
      <formula>O2&lt;AVERAGEIFS(O:O,O:O,"&lt;0",O:O,"&gt;-0.03")*2</formula>
    </cfRule>
  </conditionalFormatting>
  <conditionalFormatting sqref="O2:S908">
    <cfRule type="expression" dxfId="20" priority="4">
      <formula>O2&gt;AVERAGEIFS(O:O,O:O,"&gt;0",O:O,"&lt;0.03")*2</formula>
    </cfRule>
  </conditionalFormatting>
  <conditionalFormatting sqref="A1 B1:D908 E1:F1 G1:I908 J1:S1">
    <cfRule type="expression" dxfId="20" priority="5">
      <formula>A1=MAX(A:A)</formula>
    </cfRule>
  </conditionalFormatting>
  <conditionalFormatting sqref="J1:N908">
    <cfRule type="expression" dxfId="7" priority="6">
      <formula>J1&gt;AVERAGEIFS(J:J,$A:$A,"&gt;" &amp; DATE(YEAR(TODAY())-1,MONTH(TODAY()),DAY(TODAY())))</formula>
    </cfRule>
  </conditionalFormatting>
  <conditionalFormatting sqref="A1:S908">
    <cfRule type="expression" dxfId="21" priority="7">
      <formula>ROW(A1)=MATCH(DATE(YEAR(TODAY())-1,MONTH(TODAY()),DAY(TODAY())),$A:$A,-1)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2.75"/>
  <cols>
    <col customWidth="1" hidden="1" min="1" max="1" width="9.0"/>
    <col customWidth="1" hidden="1" min="2" max="2" width="14.29"/>
    <col customWidth="1" hidden="1" min="3" max="3" width="12.0"/>
    <col customWidth="1" hidden="1" min="4" max="4" width="3.57"/>
    <col customWidth="1" hidden="1" min="5" max="5" width="14.57"/>
    <col customWidth="1" min="6" max="6" width="44.86"/>
    <col customWidth="1" hidden="1" min="7" max="7" width="23.0"/>
    <col customWidth="1" min="8" max="8" width="9.43"/>
    <col customWidth="1" min="9" max="9" width="11.43"/>
    <col customWidth="1" min="10" max="10" width="18.29"/>
    <col customWidth="1" min="11" max="11" width="12.0"/>
    <col customWidth="1" min="12" max="12" width="13.43"/>
    <col customWidth="1" min="13" max="13" width="14.0"/>
    <col customWidth="1" min="14" max="14" width="11.86"/>
    <col customWidth="1" min="15" max="15" width="13.29"/>
    <col customWidth="1" min="16" max="16" width="10.86"/>
    <col customWidth="1" min="17" max="17" width="15.57"/>
    <col customWidth="1" min="18" max="18" width="12.0"/>
    <col customWidth="1" min="19" max="19" width="10.14"/>
    <col customWidth="1" hidden="1" min="20" max="20" width="18.14"/>
    <col customWidth="1" hidden="1" min="21" max="21" width="21.0"/>
    <col customWidth="1" hidden="1" min="22" max="22" width="17.71"/>
    <col customWidth="1" hidden="1" min="23" max="23" width="21.57"/>
    <col customWidth="1" hidden="1" min="24" max="25" width="19.43"/>
    <col customWidth="1" hidden="1" min="26" max="26" width="24.43"/>
    <col customWidth="1" hidden="1" min="27" max="27" width="43.29"/>
    <col customWidth="1" hidden="1" min="28" max="28" width="23.29"/>
    <col customWidth="1" hidden="1" min="29" max="30" width="23.43"/>
    <col customWidth="1" hidden="1" min="31" max="31" width="30.43"/>
    <col customWidth="1" hidden="1" min="32" max="33" width="33.71"/>
    <col customWidth="1" hidden="1" min="34" max="36" width="16.86"/>
    <col customWidth="1" hidden="1" min="37" max="38" width="22.29"/>
    <col customWidth="1" hidden="1" min="39" max="39" width="20.43"/>
  </cols>
  <sheetData>
    <row r="1">
      <c r="A1" s="3" t="s">
        <v>95</v>
      </c>
      <c r="B1" s="3" t="s">
        <v>92</v>
      </c>
      <c r="C1" s="3" t="s">
        <v>515</v>
      </c>
      <c r="D1" s="5" t="s">
        <v>516</v>
      </c>
      <c r="E1" s="3" t="s">
        <v>517</v>
      </c>
      <c r="F1" s="224" t="s">
        <v>206</v>
      </c>
      <c r="G1" s="3" t="s">
        <v>59</v>
      </c>
      <c r="H1" s="8" t="s">
        <v>63</v>
      </c>
      <c r="I1" s="8"/>
      <c r="J1" s="3" t="s">
        <v>201</v>
      </c>
      <c r="K1" s="3" t="s">
        <v>64</v>
      </c>
      <c r="L1" s="3" t="s">
        <v>518</v>
      </c>
      <c r="M1" s="3" t="s">
        <v>519</v>
      </c>
      <c r="N1" s="3" t="s">
        <v>520</v>
      </c>
      <c r="O1" s="3" t="s">
        <v>521</v>
      </c>
      <c r="P1" s="3" t="s">
        <v>522</v>
      </c>
      <c r="Q1" s="225" t="s">
        <v>523</v>
      </c>
      <c r="R1" s="226" t="s">
        <v>524</v>
      </c>
      <c r="S1" s="227" t="s">
        <v>231</v>
      </c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</row>
    <row r="2">
      <c r="A2" s="229" t="s">
        <v>525</v>
      </c>
      <c r="B2" s="229" t="s">
        <v>107</v>
      </c>
      <c r="C2" s="229" t="str">
        <f>VLOOKUP(B2,Market!A:B,2,FALSE)</f>
        <v>US</v>
      </c>
      <c r="D2" s="230" t="s">
        <v>527</v>
      </c>
      <c r="E2" s="231" t="s">
        <v>528</v>
      </c>
      <c r="F2" s="232" t="s">
        <v>529</v>
      </c>
      <c r="G2" s="232" t="s">
        <v>243</v>
      </c>
      <c r="H2" s="233">
        <v>125.73</v>
      </c>
      <c r="I2" s="233">
        <v>125.73</v>
      </c>
      <c r="J2" s="234">
        <v>43599.06174109953</v>
      </c>
      <c r="K2" s="230">
        <f>IF($G2&lt;&gt;"",Dashboard!$B$7*SUMIFS(Investment!$F:$F,Investment!$E:$E,$G2),)</f>
        <v>39018.2339</v>
      </c>
      <c r="L2" s="235">
        <f t="shared" ref="L2:L38" si="1">IFERROR(__xludf.DUMMYFUNCTION("IF(OR($E2="""",ISTEXT(INDEX(SPLIT($AB2,INDEX(SPLIT(L$1,"" ""),1,2),False),1,2))),,INDEX(SPLIT($AB2,INDEX(SPLIT(L$1,"" ""),1,2),False),1,2))"),37463.0)</f>
        <v>37463</v>
      </c>
      <c r="M2" s="236">
        <f t="shared" ref="M2:M38" si="2">IFERROR(__xludf.DUMMYFUNCTION("IFS($E2="""",,DATEDIF(MAXIFS(L:L,G:G,G2),TODAY(),""D"")/365.25&gt;=5,INDEX(SPLIT($X2,INDEX(SPLIT(M$1,"" ""),1,2),False),1,2),DATEDIF(MAXIFS(L:L,G:G,G2),TODAY(),""D"")/365.25&gt;=3,INDEX(SPLIT($W2,INDEX(SPLIT(M$1,"" ""),1,2),False),1,2),DATEDIF(MAXIFS(L:L,G:G,G2"&amp;"),TODAY(),""D"")/365.25&gt;=1,INDEX(SPLIT($V2,INDEX(SPLIT(M$1,"" ""),1,2),False),1,2))"),0.0778)</f>
        <v>0.0778</v>
      </c>
      <c r="N2" s="237">
        <f t="shared" ref="N2:N38" si="3">IFERROR(__xludf.DUMMYFUNCTION("IF(OR($E2="""",ISTEXT(INDEX(SPLIT($AG2,INDEX(SPLIT(N$1,"" ""),1,2),False),1,2))),,INDEX(SPLIT($AG2,INDEX(SPLIT(N$1,"" ""),1,2),False),1,2))"),0.0247)</f>
        <v>0.0247</v>
      </c>
      <c r="O2" s="237">
        <f t="shared" ref="O2:O38" si="4">IFERROR(__xludf.DUMMYFUNCTION("IF(OR($E2="""",ISTEXT(INDEX(SPLIT($AM2,INDEX(SPLIT(O$1,"" ""),1,2),False),1,2))),,INDEX(SPLIT($AM2,INDEX(SPLIT(O$1,"" ""),1,2),False),1,2))"),0.0015)</f>
        <v>0.0015</v>
      </c>
      <c r="P2" s="237">
        <f t="shared" ref="P2:P38" si="5">IF($E2="",,IF(OR(C2="US",C2="LN"),0.002,)+IF(D2="",0.0004,))</f>
        <v>0.002</v>
      </c>
      <c r="Q2" s="238">
        <f t="shared" ref="Q2:Q38" si="6">IFERROR(__xludf.DUMMYFUNCTION("IF(OR($E2="""",ISTEXT(INDEX(SPLIT($AF2,INDEX(SPLIT(Q$1,"" ""),1,2),False),1,2))),,INDEX(SPLIT($AF2,INDEX(SPLIT(Q$1,"" ""),1,2),False),1,2))"),0.25891)</f>
        <v>0.25891</v>
      </c>
      <c r="R2" s="230">
        <f>IF($E2&lt;&gt;"",$K2*(($M2+$N2-$O2)*Dashboard!$B$8-$P2),)</f>
        <v>31858.6951</v>
      </c>
      <c r="S2" s="237">
        <f t="shared" ref="S2:S38" si="7">IF($E2&lt;&gt;"",R2/K2,)</f>
        <v>0.8165078713</v>
      </c>
      <c r="T2" s="229" t="s">
        <v>532</v>
      </c>
      <c r="U2" s="229" t="s">
        <v>533</v>
      </c>
      <c r="V2" s="229" t="s">
        <v>534</v>
      </c>
      <c r="W2" s="229" t="s">
        <v>535</v>
      </c>
      <c r="X2" s="229" t="s">
        <v>536</v>
      </c>
      <c r="Y2" s="229" t="s">
        <v>537</v>
      </c>
      <c r="Z2" s="229" t="s">
        <v>538</v>
      </c>
      <c r="AA2" s="229" t="s">
        <v>539</v>
      </c>
      <c r="AB2" s="229" t="s">
        <v>540</v>
      </c>
      <c r="AC2" s="229"/>
      <c r="AD2" s="229" t="s">
        <v>541</v>
      </c>
      <c r="AE2" s="229" t="s">
        <v>542</v>
      </c>
      <c r="AF2" s="229" t="s">
        <v>543</v>
      </c>
      <c r="AG2" s="229" t="s">
        <v>544</v>
      </c>
      <c r="AH2" s="229" t="s">
        <v>545</v>
      </c>
      <c r="AI2" s="229" t="s">
        <v>546</v>
      </c>
      <c r="AJ2" s="229" t="s">
        <v>547</v>
      </c>
      <c r="AK2" s="229" t="s">
        <v>548</v>
      </c>
      <c r="AL2" s="229" t="s">
        <v>549</v>
      </c>
      <c r="AM2" s="229" t="s">
        <v>550</v>
      </c>
    </row>
    <row r="3">
      <c r="A3" s="229" t="s">
        <v>551</v>
      </c>
      <c r="B3" s="229" t="s">
        <v>112</v>
      </c>
      <c r="C3" s="229" t="str">
        <f>VLOOKUP(B3,Market!A:B,2,FALSE)</f>
        <v>US</v>
      </c>
      <c r="D3" s="230" t="s">
        <v>527</v>
      </c>
      <c r="E3" s="231" t="s">
        <v>553</v>
      </c>
      <c r="F3" s="232" t="s">
        <v>554</v>
      </c>
      <c r="G3" s="232" t="s">
        <v>243</v>
      </c>
      <c r="H3" s="233">
        <v>21.61</v>
      </c>
      <c r="I3" s="233">
        <v>21.61</v>
      </c>
      <c r="J3" s="234">
        <v>43599.061741157406</v>
      </c>
      <c r="K3" s="230">
        <f>IF($G3&lt;&gt;"",Dashboard!$B$7*SUMIFS(Investment!$F:$F,Investment!$E:$E,$G3),)</f>
        <v>39018.2339</v>
      </c>
      <c r="L3" s="235">
        <f t="shared" si="1"/>
        <v>40045</v>
      </c>
      <c r="M3" s="236">
        <f t="shared" si="2"/>
        <v>-0.0511</v>
      </c>
      <c r="N3" s="237">
        <f t="shared" si="3"/>
        <v>0.0127</v>
      </c>
      <c r="O3" s="237">
        <f t="shared" si="4"/>
        <v>0.0091</v>
      </c>
      <c r="P3" s="237">
        <f t="shared" si="5"/>
        <v>0.002</v>
      </c>
      <c r="Q3" s="238">
        <f t="shared" si="6"/>
        <v>0.068425</v>
      </c>
      <c r="R3" s="230">
        <f>IF($E3&lt;&gt;"",$K3*(($M3+$N3-$O3)*Dashboard!$B$8-$P3),)</f>
        <v>-15097.78646</v>
      </c>
      <c r="S3" s="237">
        <f t="shared" si="7"/>
        <v>-0.3869418207</v>
      </c>
      <c r="T3" s="229" t="s">
        <v>532</v>
      </c>
      <c r="U3" s="229" t="s">
        <v>555</v>
      </c>
      <c r="V3" s="229" t="s">
        <v>556</v>
      </c>
      <c r="W3" s="229" t="s">
        <v>557</v>
      </c>
      <c r="X3" s="229" t="s">
        <v>558</v>
      </c>
      <c r="Y3" s="229" t="s">
        <v>559</v>
      </c>
      <c r="Z3" s="229" t="s">
        <v>560</v>
      </c>
      <c r="AA3" s="229" t="s">
        <v>561</v>
      </c>
      <c r="AB3" s="229" t="s">
        <v>562</v>
      </c>
      <c r="AC3" s="229"/>
      <c r="AD3" s="229" t="s">
        <v>563</v>
      </c>
      <c r="AE3" s="229" t="s">
        <v>564</v>
      </c>
      <c r="AF3" s="229" t="s">
        <v>565</v>
      </c>
      <c r="AG3" s="229" t="s">
        <v>566</v>
      </c>
      <c r="AH3" s="229" t="s">
        <v>545</v>
      </c>
      <c r="AI3" s="229" t="s">
        <v>546</v>
      </c>
      <c r="AJ3" s="229" t="s">
        <v>547</v>
      </c>
      <c r="AK3" s="229" t="s">
        <v>548</v>
      </c>
      <c r="AL3" s="229" t="s">
        <v>567</v>
      </c>
      <c r="AM3" s="229" t="s">
        <v>568</v>
      </c>
    </row>
    <row r="4">
      <c r="A4" s="229" t="s">
        <v>569</v>
      </c>
      <c r="B4" s="229" t="s">
        <v>112</v>
      </c>
      <c r="C4" s="229" t="str">
        <f>VLOOKUP(B4,Market!A:B,2,FALSE)</f>
        <v>US</v>
      </c>
      <c r="D4" s="230" t="s">
        <v>527</v>
      </c>
      <c r="E4" s="231" t="s">
        <v>571</v>
      </c>
      <c r="F4" s="232" t="s">
        <v>572</v>
      </c>
      <c r="G4" s="232" t="s">
        <v>243</v>
      </c>
      <c r="H4" s="233">
        <v>32.5</v>
      </c>
      <c r="I4" s="233">
        <v>32.5</v>
      </c>
      <c r="J4" s="234">
        <v>43599.0617412037</v>
      </c>
      <c r="K4" s="230">
        <f>IF($G4&lt;&gt;"",Dashboard!$B$7*SUMIFS(Investment!$F:$F,Investment!$E:$E,$G4),)</f>
        <v>39018.2339</v>
      </c>
      <c r="L4" s="235">
        <f t="shared" si="1"/>
        <v>39569</v>
      </c>
      <c r="M4" s="236">
        <f t="shared" si="2"/>
        <v>-0.1174</v>
      </c>
      <c r="N4" s="237">
        <f t="shared" si="3"/>
        <v>0.014</v>
      </c>
      <c r="O4" s="237">
        <f t="shared" si="4"/>
        <v>0.0089</v>
      </c>
      <c r="P4" s="237">
        <f t="shared" si="5"/>
        <v>0.002</v>
      </c>
      <c r="Q4" s="238">
        <f t="shared" si="6"/>
        <v>0.113347</v>
      </c>
      <c r="R4" s="230">
        <f>IF($E4&lt;&gt;"",$K4*(($M4+$N4-$O4)*Dashboard!$B$8-$P4),)</f>
        <v>-35587.88751</v>
      </c>
      <c r="S4" s="237">
        <f t="shared" si="7"/>
        <v>-0.9120835044</v>
      </c>
      <c r="T4" s="229" t="s">
        <v>532</v>
      </c>
      <c r="U4" s="229" t="s">
        <v>573</v>
      </c>
      <c r="V4" s="229" t="s">
        <v>574</v>
      </c>
      <c r="W4" s="229" t="s">
        <v>575</v>
      </c>
      <c r="X4" s="229" t="s">
        <v>576</v>
      </c>
      <c r="Y4" s="229" t="s">
        <v>577</v>
      </c>
      <c r="Z4" s="229" t="s">
        <v>578</v>
      </c>
      <c r="AA4" s="229" t="s">
        <v>579</v>
      </c>
      <c r="AB4" s="229" t="s">
        <v>580</v>
      </c>
      <c r="AC4" s="229"/>
      <c r="AD4" s="229" t="s">
        <v>581</v>
      </c>
      <c r="AE4" s="229" t="s">
        <v>582</v>
      </c>
      <c r="AF4" s="229" t="s">
        <v>583</v>
      </c>
      <c r="AG4" s="229" t="s">
        <v>584</v>
      </c>
      <c r="AH4" s="229" t="s">
        <v>545</v>
      </c>
      <c r="AI4" s="229" t="s">
        <v>546</v>
      </c>
      <c r="AJ4" s="229" t="s">
        <v>547</v>
      </c>
      <c r="AK4" s="229" t="s">
        <v>548</v>
      </c>
      <c r="AL4" s="229" t="s">
        <v>567</v>
      </c>
      <c r="AM4" s="229" t="s">
        <v>585</v>
      </c>
    </row>
    <row r="5">
      <c r="A5" s="229" t="s">
        <v>586</v>
      </c>
      <c r="B5" s="229" t="s">
        <v>112</v>
      </c>
      <c r="C5" s="229" t="str">
        <f>VLOOKUP(B5,Market!A:B,2,FALSE)</f>
        <v>US</v>
      </c>
      <c r="D5" s="230" t="s">
        <v>527</v>
      </c>
      <c r="E5" s="231" t="s">
        <v>587</v>
      </c>
      <c r="F5" s="232" t="s">
        <v>588</v>
      </c>
      <c r="G5" s="232" t="s">
        <v>243</v>
      </c>
      <c r="H5" s="233">
        <v>118.87</v>
      </c>
      <c r="I5" s="233">
        <v>118.87</v>
      </c>
      <c r="J5" s="234">
        <v>43599.06174125</v>
      </c>
      <c r="K5" s="230">
        <f>IF($G5&lt;&gt;"",Dashboard!$B$7*SUMIFS(Investment!$F:$F,Investment!$E:$E,$G5),)</f>
        <v>39018.2339</v>
      </c>
      <c r="L5" s="235">
        <f t="shared" si="1"/>
        <v>39429</v>
      </c>
      <c r="M5" s="236">
        <f t="shared" si="2"/>
        <v>0.0888</v>
      </c>
      <c r="N5" s="237">
        <f t="shared" si="3"/>
        <v>0.0276</v>
      </c>
      <c r="O5" s="237">
        <f t="shared" si="4"/>
        <v>0.0007</v>
      </c>
      <c r="P5" s="237">
        <f t="shared" si="5"/>
        <v>0.002</v>
      </c>
      <c r="Q5" s="238">
        <f t="shared" si="6"/>
        <v>0.8203</v>
      </c>
      <c r="R5" s="230">
        <f>IF($E5&lt;&gt;"",$K5*(($M5+$N5-$O5)*Dashboard!$B$8-$P5),)</f>
        <v>36506.91247</v>
      </c>
      <c r="S5" s="237">
        <f t="shared" si="7"/>
        <v>0.9356372348</v>
      </c>
      <c r="T5" s="229" t="s">
        <v>532</v>
      </c>
      <c r="U5" s="229" t="s">
        <v>589</v>
      </c>
      <c r="V5" s="229" t="s">
        <v>590</v>
      </c>
      <c r="W5" s="229" t="s">
        <v>591</v>
      </c>
      <c r="X5" s="229" t="s">
        <v>592</v>
      </c>
      <c r="Y5" s="229" t="s">
        <v>593</v>
      </c>
      <c r="Z5" s="229" t="s">
        <v>594</v>
      </c>
      <c r="AA5" s="229" t="s">
        <v>595</v>
      </c>
      <c r="AB5" s="229" t="s">
        <v>596</v>
      </c>
      <c r="AC5" s="229"/>
      <c r="AD5" s="229" t="s">
        <v>597</v>
      </c>
      <c r="AE5" s="229" t="s">
        <v>598</v>
      </c>
      <c r="AF5" s="229" t="s">
        <v>599</v>
      </c>
      <c r="AG5" s="229" t="s">
        <v>600</v>
      </c>
      <c r="AH5" s="229" t="s">
        <v>545</v>
      </c>
      <c r="AI5" s="229" t="s">
        <v>546</v>
      </c>
      <c r="AJ5" s="229" t="s">
        <v>547</v>
      </c>
      <c r="AK5" s="229" t="s">
        <v>548</v>
      </c>
      <c r="AL5" s="229" t="s">
        <v>601</v>
      </c>
      <c r="AM5" s="229" t="s">
        <v>602</v>
      </c>
    </row>
    <row r="6">
      <c r="A6" s="229" t="s">
        <v>255</v>
      </c>
      <c r="B6" s="229" t="s">
        <v>121</v>
      </c>
      <c r="C6" s="239" t="str">
        <f>VLOOKUP(B6,Market!A:B,2,FALSE)</f>
        <v>GR</v>
      </c>
      <c r="D6" s="240"/>
      <c r="E6" s="241" t="s">
        <v>74</v>
      </c>
      <c r="F6" s="242" t="s">
        <v>244</v>
      </c>
      <c r="G6" s="242" t="s">
        <v>243</v>
      </c>
      <c r="H6" s="243">
        <v>4.2148</v>
      </c>
      <c r="I6" s="243">
        <v>4.2148</v>
      </c>
      <c r="J6" s="244">
        <v>43599.71722871528</v>
      </c>
      <c r="K6" s="245">
        <f>IF($G6&lt;&gt;"",Dashboard!$B$7*SUMIFS(Investment!$F:$F,Investment!$E:$E,$G6),)</f>
        <v>39018.2339</v>
      </c>
      <c r="L6" s="246">
        <f t="shared" si="1"/>
        <v>42026</v>
      </c>
      <c r="M6" s="247">
        <f t="shared" si="2"/>
        <v>0.1495</v>
      </c>
      <c r="N6" s="248">
        <f t="shared" si="3"/>
        <v>0.0265</v>
      </c>
      <c r="O6" s="248">
        <f t="shared" si="4"/>
        <v>0.002</v>
      </c>
      <c r="P6" s="248">
        <f t="shared" si="5"/>
        <v>0.0004</v>
      </c>
      <c r="Q6" s="249">
        <f t="shared" si="6"/>
        <v>0.0634</v>
      </c>
      <c r="R6" s="245">
        <f>IF($E6&lt;&gt;"",$K6*(($M6+$N6-$O6)*Dashboard!$B$8-$P6),)</f>
        <v>55004.10848</v>
      </c>
      <c r="S6" s="248">
        <f t="shared" si="7"/>
        <v>1.409702669</v>
      </c>
      <c r="T6" s="229" t="s">
        <v>532</v>
      </c>
      <c r="U6" s="229" t="s">
        <v>603</v>
      </c>
      <c r="V6" s="229" t="s">
        <v>604</v>
      </c>
      <c r="W6" s="229" t="s">
        <v>605</v>
      </c>
      <c r="X6" s="229" t="s">
        <v>606</v>
      </c>
      <c r="Y6" s="229" t="s">
        <v>607</v>
      </c>
      <c r="Z6" s="229" t="s">
        <v>608</v>
      </c>
      <c r="AA6" s="229" t="s">
        <v>609</v>
      </c>
      <c r="AB6" s="229" t="s">
        <v>610</v>
      </c>
      <c r="AC6" s="229"/>
      <c r="AD6" s="229" t="s">
        <v>611</v>
      </c>
      <c r="AE6" s="229" t="s">
        <v>612</v>
      </c>
      <c r="AF6" s="229" t="s">
        <v>613</v>
      </c>
      <c r="AG6" s="229" t="s">
        <v>614</v>
      </c>
      <c r="AH6" s="229" t="s">
        <v>545</v>
      </c>
      <c r="AI6" s="229" t="s">
        <v>546</v>
      </c>
      <c r="AJ6" s="229" t="s">
        <v>547</v>
      </c>
      <c r="AK6" s="229" t="s">
        <v>548</v>
      </c>
      <c r="AL6" s="229" t="s">
        <v>615</v>
      </c>
      <c r="AM6" s="229" t="s">
        <v>616</v>
      </c>
    </row>
    <row r="7">
      <c r="A7" s="229" t="s">
        <v>617</v>
      </c>
      <c r="B7" s="229" t="s">
        <v>114</v>
      </c>
      <c r="C7" s="229" t="str">
        <f>VLOOKUP(B7,Market!A:B,2,FALSE)</f>
        <v>LN</v>
      </c>
      <c r="D7" s="230"/>
      <c r="E7" s="231" t="s">
        <v>74</v>
      </c>
      <c r="F7" s="232" t="s">
        <v>244</v>
      </c>
      <c r="G7" s="232" t="s">
        <v>243</v>
      </c>
      <c r="H7" s="233">
        <v>4.7405</v>
      </c>
      <c r="I7" s="233">
        <v>4.7405</v>
      </c>
      <c r="J7" s="234">
        <v>43599.06174135416</v>
      </c>
      <c r="K7" s="230">
        <f>IF($G7&lt;&gt;"",Dashboard!$B$7*SUMIFS(Investment!$F:$F,Investment!$E:$E,$G7),)</f>
        <v>39018.2339</v>
      </c>
      <c r="L7" s="235">
        <f t="shared" si="1"/>
        <v>42025</v>
      </c>
      <c r="M7" s="236">
        <f t="shared" si="2"/>
        <v>0.0858</v>
      </c>
      <c r="N7" s="237">
        <f t="shared" si="3"/>
        <v>0.0267</v>
      </c>
      <c r="O7" s="237">
        <f t="shared" si="4"/>
        <v>0.002</v>
      </c>
      <c r="P7" s="237">
        <f t="shared" si="5"/>
        <v>0.0024</v>
      </c>
      <c r="Q7" s="238">
        <f t="shared" si="6"/>
        <v>0.0634</v>
      </c>
      <c r="R7" s="230">
        <f>IF($E7&lt;&gt;"",$K7*(($M7+$N7-$O7)*Dashboard!$B$8-$P7),)</f>
        <v>34847.03781</v>
      </c>
      <c r="S7" s="237">
        <f t="shared" si="7"/>
        <v>0.8930962355</v>
      </c>
      <c r="T7" s="229" t="s">
        <v>532</v>
      </c>
      <c r="U7" s="229" t="s">
        <v>618</v>
      </c>
      <c r="V7" s="229" t="s">
        <v>619</v>
      </c>
      <c r="W7" s="229" t="s">
        <v>620</v>
      </c>
      <c r="X7" s="229" t="s">
        <v>621</v>
      </c>
      <c r="Y7" s="229" t="s">
        <v>607</v>
      </c>
      <c r="Z7" s="229" t="s">
        <v>622</v>
      </c>
      <c r="AA7" s="229" t="s">
        <v>609</v>
      </c>
      <c r="AB7" s="229" t="s">
        <v>623</v>
      </c>
      <c r="AC7" s="229"/>
      <c r="AD7" s="229" t="s">
        <v>624</v>
      </c>
      <c r="AE7" s="229" t="s">
        <v>625</v>
      </c>
      <c r="AF7" s="229" t="s">
        <v>613</v>
      </c>
      <c r="AG7" s="229" t="s">
        <v>626</v>
      </c>
      <c r="AH7" s="229" t="s">
        <v>545</v>
      </c>
      <c r="AI7" s="229" t="s">
        <v>546</v>
      </c>
      <c r="AJ7" s="229" t="s">
        <v>547</v>
      </c>
      <c r="AK7" s="229" t="s">
        <v>548</v>
      </c>
      <c r="AL7" s="229" t="s">
        <v>615</v>
      </c>
      <c r="AM7" s="229" t="s">
        <v>616</v>
      </c>
    </row>
    <row r="8">
      <c r="A8" s="250" t="s">
        <v>627</v>
      </c>
      <c r="B8" s="250" t="s">
        <v>112</v>
      </c>
      <c r="C8" s="250" t="str">
        <f>VLOOKUP(B8,Market!A:B,2,FALSE)</f>
        <v>US</v>
      </c>
      <c r="D8" s="251" t="s">
        <v>527</v>
      </c>
      <c r="E8" s="252" t="s">
        <v>628</v>
      </c>
      <c r="F8" s="253" t="s">
        <v>629</v>
      </c>
      <c r="G8" s="253" t="s">
        <v>307</v>
      </c>
      <c r="H8" s="254">
        <v>40.28</v>
      </c>
      <c r="I8" s="254">
        <v>40.28</v>
      </c>
      <c r="J8" s="255">
        <v>43599.06174140047</v>
      </c>
      <c r="K8" s="256">
        <f>IF($G8&lt;&gt;"",Dashboard!$B$7*SUMIFS(Investment!$F:$F,Investment!$E:$E,$G8),)</f>
        <v>29263.67543</v>
      </c>
      <c r="L8" s="257">
        <f t="shared" si="1"/>
        <v>38421</v>
      </c>
      <c r="M8" s="258">
        <f t="shared" si="2"/>
        <v>0.1022</v>
      </c>
      <c r="N8" s="259">
        <f t="shared" si="3"/>
        <v>0.0081</v>
      </c>
      <c r="O8" s="259">
        <f t="shared" si="4"/>
        <v>0.0012</v>
      </c>
      <c r="P8" s="260">
        <f t="shared" si="5"/>
        <v>0.002</v>
      </c>
      <c r="Q8" s="261">
        <f t="shared" si="6"/>
        <v>0.0816</v>
      </c>
      <c r="R8" s="251">
        <f>IF($E8&lt;&gt;"",$K8*(($M8+$N8-$O8)*Dashboard!$B$8-$P8),)</f>
        <v>25814.9683</v>
      </c>
      <c r="S8" s="260">
        <f t="shared" si="7"/>
        <v>0.8821505818</v>
      </c>
      <c r="T8" s="250" t="s">
        <v>532</v>
      </c>
      <c r="U8" s="250" t="s">
        <v>631</v>
      </c>
      <c r="V8" s="250" t="s">
        <v>632</v>
      </c>
      <c r="W8" s="250" t="s">
        <v>633</v>
      </c>
      <c r="X8" s="250" t="s">
        <v>634</v>
      </c>
      <c r="Y8" s="250" t="s">
        <v>635</v>
      </c>
      <c r="Z8" s="250" t="s">
        <v>636</v>
      </c>
      <c r="AA8" s="250" t="s">
        <v>637</v>
      </c>
      <c r="AB8" s="250" t="s">
        <v>638</v>
      </c>
      <c r="AC8" s="250"/>
      <c r="AD8" s="250" t="s">
        <v>639</v>
      </c>
      <c r="AE8" s="250" t="s">
        <v>640</v>
      </c>
      <c r="AF8" s="250" t="s">
        <v>641</v>
      </c>
      <c r="AG8" s="250" t="s">
        <v>642</v>
      </c>
      <c r="AH8" s="250" t="s">
        <v>545</v>
      </c>
      <c r="AI8" s="250" t="s">
        <v>546</v>
      </c>
      <c r="AJ8" s="250" t="s">
        <v>547</v>
      </c>
      <c r="AK8" s="250" t="s">
        <v>548</v>
      </c>
      <c r="AL8" s="250" t="s">
        <v>601</v>
      </c>
      <c r="AM8" s="250" t="s">
        <v>643</v>
      </c>
    </row>
    <row r="9">
      <c r="A9" s="250" t="s">
        <v>644</v>
      </c>
      <c r="B9" s="250" t="s">
        <v>113</v>
      </c>
      <c r="C9" s="250" t="str">
        <f>VLOOKUP(B9,Market!A:B,2,FALSE)</f>
        <v>US</v>
      </c>
      <c r="D9" s="251" t="s">
        <v>527</v>
      </c>
      <c r="E9" s="252" t="s">
        <v>645</v>
      </c>
      <c r="F9" s="253" t="s">
        <v>646</v>
      </c>
      <c r="G9" s="253" t="s">
        <v>307</v>
      </c>
      <c r="H9" s="254">
        <v>87.64</v>
      </c>
      <c r="I9" s="254">
        <v>87.64</v>
      </c>
      <c r="J9" s="255">
        <v>43599.061741446756</v>
      </c>
      <c r="K9" s="251">
        <f>IF($G9&lt;&gt;"",Dashboard!$B$7*SUMIFS(Investment!$F:$F,Investment!$E:$E,$G9),)</f>
        <v>29263.67543</v>
      </c>
      <c r="L9" s="257">
        <f t="shared" si="1"/>
        <v>41473</v>
      </c>
      <c r="M9" s="258">
        <f t="shared" si="2"/>
        <v>0.129</v>
      </c>
      <c r="N9" s="260">
        <f t="shared" si="3"/>
        <v>0.0161</v>
      </c>
      <c r="O9" s="260">
        <f t="shared" si="4"/>
        <v>0.0015</v>
      </c>
      <c r="P9" s="260">
        <f t="shared" si="5"/>
        <v>0.002</v>
      </c>
      <c r="Q9" s="262">
        <f t="shared" si="6"/>
        <v>0.353689</v>
      </c>
      <c r="R9" s="251">
        <f>IF($E9&lt;&gt;"",$K9*(($M9+$N9-$O9)*Dashboard!$B$8-$P9),)</f>
        <v>33996.77948</v>
      </c>
      <c r="S9" s="260">
        <f t="shared" si="7"/>
        <v>1.161739904</v>
      </c>
      <c r="T9" s="250" t="s">
        <v>532</v>
      </c>
      <c r="U9" s="250" t="s">
        <v>648</v>
      </c>
      <c r="V9" s="250" t="s">
        <v>649</v>
      </c>
      <c r="W9" s="250" t="s">
        <v>650</v>
      </c>
      <c r="X9" s="250" t="s">
        <v>651</v>
      </c>
      <c r="Y9" s="250" t="s">
        <v>652</v>
      </c>
      <c r="Z9" s="250" t="s">
        <v>653</v>
      </c>
      <c r="AA9" s="250" t="s">
        <v>654</v>
      </c>
      <c r="AB9" s="250" t="s">
        <v>655</v>
      </c>
      <c r="AC9" s="250"/>
      <c r="AD9" s="250" t="s">
        <v>656</v>
      </c>
      <c r="AE9" s="250" t="s">
        <v>657</v>
      </c>
      <c r="AF9" s="250" t="s">
        <v>658</v>
      </c>
      <c r="AG9" s="250" t="s">
        <v>659</v>
      </c>
      <c r="AH9" s="250" t="s">
        <v>545</v>
      </c>
      <c r="AI9" s="250" t="s">
        <v>546</v>
      </c>
      <c r="AJ9" s="250" t="s">
        <v>547</v>
      </c>
      <c r="AK9" s="250" t="s">
        <v>548</v>
      </c>
      <c r="AL9" s="250" t="s">
        <v>660</v>
      </c>
      <c r="AM9" s="250" t="s">
        <v>550</v>
      </c>
    </row>
    <row r="10">
      <c r="A10" s="250" t="s">
        <v>661</v>
      </c>
      <c r="B10" s="250" t="s">
        <v>112</v>
      </c>
      <c r="C10" s="250" t="str">
        <f>VLOOKUP(B10,Market!A:B,2,FALSE)</f>
        <v>US</v>
      </c>
      <c r="D10" s="251" t="s">
        <v>527</v>
      </c>
      <c r="E10" s="252" t="s">
        <v>662</v>
      </c>
      <c r="F10" s="253" t="s">
        <v>663</v>
      </c>
      <c r="G10" s="253" t="s">
        <v>307</v>
      </c>
      <c r="H10" s="254">
        <v>51.55</v>
      </c>
      <c r="I10" s="254">
        <v>51.55</v>
      </c>
      <c r="J10" s="255">
        <v>43599.06174149306</v>
      </c>
      <c r="K10" s="251">
        <f>IF($G10&lt;&gt;"",Dashboard!$B$7*SUMIFS(Investment!$F:$F,Investment!$E:$E,$G10),)</f>
        <v>29263.67543</v>
      </c>
      <c r="L10" s="257">
        <f t="shared" si="1"/>
        <v>40836</v>
      </c>
      <c r="M10" s="258">
        <f t="shared" si="2"/>
        <v>0.1226</v>
      </c>
      <c r="N10" s="260">
        <f t="shared" si="3"/>
        <v>0.0273</v>
      </c>
      <c r="O10" s="260">
        <f t="shared" si="4"/>
        <v>0.0006</v>
      </c>
      <c r="P10" s="260">
        <f t="shared" si="5"/>
        <v>0.002</v>
      </c>
      <c r="Q10" s="262">
        <f t="shared" si="6"/>
        <v>0.352</v>
      </c>
      <c r="R10" s="251">
        <f>IF($E10&lt;&gt;"",$K10*(($M10+$N10-$O10)*Dashboard!$B$8-$P10),)</f>
        <v>35348.55698</v>
      </c>
      <c r="S10" s="260">
        <f t="shared" si="7"/>
        <v>1.207932923</v>
      </c>
      <c r="T10" s="250" t="s">
        <v>532</v>
      </c>
      <c r="U10" s="250" t="s">
        <v>665</v>
      </c>
      <c r="V10" s="250" t="s">
        <v>666</v>
      </c>
      <c r="W10" s="250" t="s">
        <v>667</v>
      </c>
      <c r="X10" s="250" t="s">
        <v>668</v>
      </c>
      <c r="Y10" s="250" t="s">
        <v>669</v>
      </c>
      <c r="Z10" s="250" t="s">
        <v>670</v>
      </c>
      <c r="AA10" s="250" t="s">
        <v>671</v>
      </c>
      <c r="AB10" s="250" t="s">
        <v>672</v>
      </c>
      <c r="AC10" s="250"/>
      <c r="AD10" s="263" t="s">
        <v>656</v>
      </c>
      <c r="AE10" s="263" t="s">
        <v>657</v>
      </c>
      <c r="AF10" s="263" t="s">
        <v>673</v>
      </c>
      <c r="AG10" s="263" t="s">
        <v>674</v>
      </c>
      <c r="AH10" s="263" t="s">
        <v>545</v>
      </c>
      <c r="AI10" s="263" t="s">
        <v>546</v>
      </c>
      <c r="AJ10" s="263" t="s">
        <v>547</v>
      </c>
      <c r="AK10" s="263" t="s">
        <v>548</v>
      </c>
      <c r="AL10" s="263" t="s">
        <v>675</v>
      </c>
      <c r="AM10" s="263" t="s">
        <v>676</v>
      </c>
    </row>
    <row r="11">
      <c r="A11" s="250" t="s">
        <v>677</v>
      </c>
      <c r="B11" s="250" t="s">
        <v>112</v>
      </c>
      <c r="C11" s="250" t="str">
        <f>VLOOKUP(B11,Market!A:B,2,FALSE)</f>
        <v>US</v>
      </c>
      <c r="D11" s="251" t="s">
        <v>527</v>
      </c>
      <c r="E11" s="252" t="s">
        <v>678</v>
      </c>
      <c r="F11" s="253" t="s">
        <v>679</v>
      </c>
      <c r="G11" s="253" t="s">
        <v>307</v>
      </c>
      <c r="H11" s="254">
        <v>280.86</v>
      </c>
      <c r="I11" s="254">
        <v>280.86</v>
      </c>
      <c r="J11" s="255">
        <v>43599.061741550926</v>
      </c>
      <c r="K11" s="251">
        <f>IF($G11&lt;&gt;"",Dashboard!$B$7*SUMIFS(Investment!$F:$F,Investment!$E:$E,$G11),)</f>
        <v>29263.67543</v>
      </c>
      <c r="L11" s="257">
        <f t="shared" si="1"/>
        <v>33991</v>
      </c>
      <c r="M11" s="258">
        <f t="shared" si="2"/>
        <v>0.1359</v>
      </c>
      <c r="N11" s="260">
        <f t="shared" si="3"/>
        <v>0.0176</v>
      </c>
      <c r="O11" s="260">
        <f t="shared" si="4"/>
        <v>0.00095</v>
      </c>
      <c r="P11" s="260">
        <f t="shared" si="5"/>
        <v>0.002</v>
      </c>
      <c r="Q11" s="262">
        <f t="shared" si="6"/>
        <v>1.233119</v>
      </c>
      <c r="R11" s="251">
        <f>IF($E11&lt;&gt;"",$K11*(($M11+$N11-$O11)*Dashboard!$B$8-$P11),)</f>
        <v>36119.30731</v>
      </c>
      <c r="S11" s="260">
        <f t="shared" si="7"/>
        <v>1.234271047</v>
      </c>
      <c r="T11" s="250" t="s">
        <v>532</v>
      </c>
      <c r="U11" s="250" t="s">
        <v>681</v>
      </c>
      <c r="V11" s="250" t="s">
        <v>682</v>
      </c>
      <c r="W11" s="250" t="s">
        <v>683</v>
      </c>
      <c r="X11" s="250" t="s">
        <v>684</v>
      </c>
      <c r="Y11" s="250" t="s">
        <v>685</v>
      </c>
      <c r="Z11" s="250" t="s">
        <v>686</v>
      </c>
      <c r="AA11" s="250" t="s">
        <v>687</v>
      </c>
      <c r="AB11" s="250" t="s">
        <v>688</v>
      </c>
      <c r="AC11" s="250"/>
      <c r="AD11" s="250" t="s">
        <v>689</v>
      </c>
      <c r="AE11" s="250" t="s">
        <v>690</v>
      </c>
      <c r="AF11" s="250" t="s">
        <v>691</v>
      </c>
      <c r="AG11" s="250" t="s">
        <v>692</v>
      </c>
      <c r="AH11" s="250" t="s">
        <v>545</v>
      </c>
      <c r="AI11" s="250" t="s">
        <v>546</v>
      </c>
      <c r="AJ11" s="250" t="s">
        <v>547</v>
      </c>
      <c r="AK11" s="250" t="s">
        <v>693</v>
      </c>
      <c r="AL11" s="250" t="s">
        <v>694</v>
      </c>
      <c r="AM11" s="250" t="s">
        <v>695</v>
      </c>
    </row>
    <row r="12">
      <c r="A12" s="250" t="s">
        <v>696</v>
      </c>
      <c r="B12" s="250" t="s">
        <v>112</v>
      </c>
      <c r="C12" s="250" t="str">
        <f>VLOOKUP(B12,Market!A:B,2,FALSE)</f>
        <v>US</v>
      </c>
      <c r="D12" s="251" t="s">
        <v>527</v>
      </c>
      <c r="E12" s="252" t="s">
        <v>697</v>
      </c>
      <c r="F12" s="253" t="s">
        <v>698</v>
      </c>
      <c r="G12" s="253" t="s">
        <v>307</v>
      </c>
      <c r="H12" s="254">
        <v>258.03</v>
      </c>
      <c r="I12" s="254">
        <v>258.03</v>
      </c>
      <c r="J12" s="255">
        <v>43599.06174159722</v>
      </c>
      <c r="K12" s="251">
        <f>IF($G12&lt;&gt;"",Dashboard!$B$7*SUMIFS(Investment!$F:$F,Investment!$E:$E,$G12),)</f>
        <v>29263.67543</v>
      </c>
      <c r="L12" s="257">
        <f t="shared" si="1"/>
        <v>40430</v>
      </c>
      <c r="M12" s="258">
        <f t="shared" si="2"/>
        <v>0.1366</v>
      </c>
      <c r="N12" s="260">
        <f t="shared" si="3"/>
        <v>0.0226</v>
      </c>
      <c r="O12" s="260">
        <f t="shared" si="4"/>
        <v>0.0003</v>
      </c>
      <c r="P12" s="260">
        <f t="shared" si="5"/>
        <v>0.002</v>
      </c>
      <c r="Q12" s="262">
        <f t="shared" si="6"/>
        <v>1.4551</v>
      </c>
      <c r="R12" s="251">
        <f>IF($E12&lt;&gt;"",$K12*(($M12+$N12-$O12)*Dashboard!$B$8-$P12),)</f>
        <v>37625.23488</v>
      </c>
      <c r="S12" s="260">
        <f t="shared" si="7"/>
        <v>1.285731691</v>
      </c>
      <c r="T12" s="250" t="s">
        <v>532</v>
      </c>
      <c r="U12" s="250" t="s">
        <v>700</v>
      </c>
      <c r="V12" s="250" t="s">
        <v>701</v>
      </c>
      <c r="W12" s="250" t="s">
        <v>702</v>
      </c>
      <c r="X12" s="250" t="s">
        <v>703</v>
      </c>
      <c r="Y12" s="250" t="s">
        <v>704</v>
      </c>
      <c r="Z12" s="250" t="s">
        <v>705</v>
      </c>
      <c r="AA12" s="250" t="s">
        <v>706</v>
      </c>
      <c r="AB12" s="250" t="s">
        <v>707</v>
      </c>
      <c r="AC12" s="250"/>
      <c r="AD12" s="250" t="s">
        <v>708</v>
      </c>
      <c r="AE12" s="250" t="s">
        <v>657</v>
      </c>
      <c r="AF12" s="250" t="s">
        <v>709</v>
      </c>
      <c r="AG12" s="250" t="s">
        <v>710</v>
      </c>
      <c r="AH12" s="250" t="s">
        <v>545</v>
      </c>
      <c r="AI12" s="250" t="s">
        <v>546</v>
      </c>
      <c r="AJ12" s="250" t="s">
        <v>547</v>
      </c>
      <c r="AK12" s="250" t="s">
        <v>548</v>
      </c>
      <c r="AL12" s="250" t="s">
        <v>711</v>
      </c>
      <c r="AM12" s="250" t="s">
        <v>712</v>
      </c>
    </row>
    <row r="13">
      <c r="A13" s="250" t="s">
        <v>713</v>
      </c>
      <c r="B13" s="250" t="s">
        <v>112</v>
      </c>
      <c r="C13" s="250" t="str">
        <f>VLOOKUP(B13,Market!A:B,2,FALSE)</f>
        <v>US</v>
      </c>
      <c r="D13" s="251" t="s">
        <v>527</v>
      </c>
      <c r="E13" s="252" t="s">
        <v>714</v>
      </c>
      <c r="F13" s="253" t="s">
        <v>715</v>
      </c>
      <c r="G13" s="253" t="s">
        <v>307</v>
      </c>
      <c r="H13" s="254">
        <v>67.62</v>
      </c>
      <c r="I13" s="254">
        <v>67.62</v>
      </c>
      <c r="J13" s="255">
        <v>43599.062315717594</v>
      </c>
      <c r="K13" s="251">
        <f>IF($G13&lt;&gt;"",Dashboard!$B$7*SUMIFS(Investment!$F:$F,Investment!$E:$E,$G13),)</f>
        <v>29263.67543</v>
      </c>
      <c r="L13" s="257">
        <f t="shared" si="1"/>
        <v>40120</v>
      </c>
      <c r="M13" s="258">
        <f t="shared" si="2"/>
        <v>0.1362</v>
      </c>
      <c r="N13" s="260">
        <f t="shared" si="3"/>
        <v>0.0164</v>
      </c>
      <c r="O13" s="260">
        <f t="shared" si="4"/>
        <v>0.0003</v>
      </c>
      <c r="P13" s="260">
        <f t="shared" si="5"/>
        <v>0.002</v>
      </c>
      <c r="Q13" s="262">
        <f t="shared" si="6"/>
        <v>0.2777</v>
      </c>
      <c r="R13" s="251">
        <f>IF($E13&lt;&gt;"",$K13*(($M13+$N13-$O13)*Dashboard!$B$8-$P13),)</f>
        <v>36060.01883</v>
      </c>
      <c r="S13" s="260">
        <f t="shared" si="7"/>
        <v>1.232245038</v>
      </c>
      <c r="T13" s="250" t="s">
        <v>532</v>
      </c>
      <c r="U13" s="250" t="s">
        <v>717</v>
      </c>
      <c r="V13" s="250" t="s">
        <v>718</v>
      </c>
      <c r="W13" s="250" t="s">
        <v>719</v>
      </c>
      <c r="X13" s="250" t="s">
        <v>720</v>
      </c>
      <c r="Y13" s="250" t="s">
        <v>721</v>
      </c>
      <c r="Z13" s="250" t="s">
        <v>722</v>
      </c>
      <c r="AA13" s="250" t="s">
        <v>723</v>
      </c>
      <c r="AB13" s="250" t="s">
        <v>724</v>
      </c>
      <c r="AC13" s="250"/>
      <c r="AD13" s="250" t="s">
        <v>611</v>
      </c>
      <c r="AE13" s="250" t="s">
        <v>657</v>
      </c>
      <c r="AF13" s="250" t="s">
        <v>725</v>
      </c>
      <c r="AG13" s="250" t="s">
        <v>726</v>
      </c>
      <c r="AH13" s="250" t="s">
        <v>545</v>
      </c>
      <c r="AI13" s="250" t="s">
        <v>546</v>
      </c>
      <c r="AJ13" s="250" t="s">
        <v>547</v>
      </c>
      <c r="AK13" s="250" t="s">
        <v>548</v>
      </c>
      <c r="AL13" s="250" t="s">
        <v>727</v>
      </c>
      <c r="AM13" s="250" t="s">
        <v>712</v>
      </c>
    </row>
    <row r="14">
      <c r="A14" s="250" t="s">
        <v>728</v>
      </c>
      <c r="B14" s="250" t="s">
        <v>112</v>
      </c>
      <c r="C14" s="250" t="str">
        <f>VLOOKUP(B14,Market!A:B,2,FALSE)</f>
        <v>US</v>
      </c>
      <c r="D14" s="251" t="s">
        <v>527</v>
      </c>
      <c r="E14" s="252" t="s">
        <v>729</v>
      </c>
      <c r="F14" s="253" t="s">
        <v>730</v>
      </c>
      <c r="G14" s="253" t="s">
        <v>307</v>
      </c>
      <c r="H14" s="254">
        <v>64.0</v>
      </c>
      <c r="I14" s="254">
        <v>64.0</v>
      </c>
      <c r="J14" s="255">
        <v>43599.062315752315</v>
      </c>
      <c r="K14" s="251">
        <f>IF($G14&lt;&gt;"",Dashboard!$B$7*SUMIFS(Investment!$F:$F,Investment!$E:$E,$G14),)</f>
        <v>29263.67543</v>
      </c>
      <c r="L14" s="257">
        <f t="shared" si="1"/>
        <v>38009</v>
      </c>
      <c r="M14" s="258">
        <f t="shared" si="2"/>
        <v>0.1365</v>
      </c>
      <c r="N14" s="260">
        <f t="shared" si="3"/>
        <v>0.015</v>
      </c>
      <c r="O14" s="260">
        <f t="shared" si="4"/>
        <v>0.0003</v>
      </c>
      <c r="P14" s="260">
        <f t="shared" si="5"/>
        <v>0.002</v>
      </c>
      <c r="Q14" s="262">
        <f t="shared" si="6"/>
        <v>0.239244</v>
      </c>
      <c r="R14" s="251">
        <f>IF($E14&lt;&gt;"",$K14*(($M14+$N14-$O14)*Dashboard!$B$8-$P14),)</f>
        <v>35799.14948</v>
      </c>
      <c r="S14" s="260">
        <f t="shared" si="7"/>
        <v>1.223330595</v>
      </c>
      <c r="T14" s="250" t="s">
        <v>532</v>
      </c>
      <c r="U14" s="250" t="s">
        <v>732</v>
      </c>
      <c r="V14" s="250" t="s">
        <v>733</v>
      </c>
      <c r="W14" s="250" t="s">
        <v>734</v>
      </c>
      <c r="X14" s="250" t="s">
        <v>735</v>
      </c>
      <c r="Y14" s="250" t="s">
        <v>736</v>
      </c>
      <c r="Z14" s="250" t="s">
        <v>737</v>
      </c>
      <c r="AA14" s="250" t="s">
        <v>738</v>
      </c>
      <c r="AB14" s="250" t="s">
        <v>739</v>
      </c>
      <c r="AC14" s="250"/>
      <c r="AD14" s="250" t="s">
        <v>708</v>
      </c>
      <c r="AE14" s="250" t="s">
        <v>740</v>
      </c>
      <c r="AF14" s="250" t="s">
        <v>741</v>
      </c>
      <c r="AG14" s="250" t="s">
        <v>742</v>
      </c>
      <c r="AH14" s="250" t="s">
        <v>545</v>
      </c>
      <c r="AI14" s="250" t="s">
        <v>546</v>
      </c>
      <c r="AJ14" s="250" t="s">
        <v>547</v>
      </c>
      <c r="AK14" s="250" t="s">
        <v>548</v>
      </c>
      <c r="AL14" s="250" t="s">
        <v>727</v>
      </c>
      <c r="AM14" s="250" t="s">
        <v>712</v>
      </c>
    </row>
    <row r="15">
      <c r="A15" s="250" t="s">
        <v>743</v>
      </c>
      <c r="B15" s="250" t="s">
        <v>112</v>
      </c>
      <c r="C15" s="250" t="str">
        <f>VLOOKUP(B15,Market!A:B,2,FALSE)</f>
        <v>US</v>
      </c>
      <c r="D15" s="251" t="s">
        <v>527</v>
      </c>
      <c r="E15" s="252" t="s">
        <v>744</v>
      </c>
      <c r="F15" s="253" t="s">
        <v>745</v>
      </c>
      <c r="G15" s="253" t="s">
        <v>307</v>
      </c>
      <c r="H15" s="254">
        <v>143.8</v>
      </c>
      <c r="I15" s="254">
        <v>143.8</v>
      </c>
      <c r="J15" s="255">
        <v>43599.06295460648</v>
      </c>
      <c r="K15" s="251">
        <f>IF($G15&lt;&gt;"",Dashboard!$B$7*SUMIFS(Investment!$F:$F,Investment!$E:$E,$G15),)</f>
        <v>29263.67543</v>
      </c>
      <c r="L15" s="257">
        <f t="shared" si="1"/>
        <v>37042</v>
      </c>
      <c r="M15" s="258">
        <f t="shared" si="2"/>
        <v>0.1372</v>
      </c>
      <c r="N15" s="260">
        <f t="shared" si="3"/>
        <v>0.0215</v>
      </c>
      <c r="O15" s="260">
        <f t="shared" si="4"/>
        <v>0.0003</v>
      </c>
      <c r="P15" s="260">
        <f t="shared" si="5"/>
        <v>0.002</v>
      </c>
      <c r="Q15" s="262">
        <f t="shared" si="6"/>
        <v>0.772</v>
      </c>
      <c r="R15" s="251">
        <f>IF($E15&lt;&gt;"",$K15*(($M15+$N15-$O15)*Dashboard!$B$8-$P15),)</f>
        <v>37506.6579</v>
      </c>
      <c r="S15" s="260">
        <f t="shared" si="7"/>
        <v>1.281679671</v>
      </c>
      <c r="T15" s="250" t="s">
        <v>532</v>
      </c>
      <c r="U15" s="250" t="s">
        <v>747</v>
      </c>
      <c r="V15" s="250" t="s">
        <v>748</v>
      </c>
      <c r="W15" s="250" t="s">
        <v>749</v>
      </c>
      <c r="X15" s="250" t="s">
        <v>750</v>
      </c>
      <c r="Y15" s="250" t="s">
        <v>751</v>
      </c>
      <c r="Z15" s="250" t="s">
        <v>752</v>
      </c>
      <c r="AA15" s="250" t="s">
        <v>753</v>
      </c>
      <c r="AB15" s="250" t="s">
        <v>754</v>
      </c>
      <c r="AC15" s="250"/>
      <c r="AD15" s="250" t="s">
        <v>656</v>
      </c>
      <c r="AE15" s="250" t="s">
        <v>657</v>
      </c>
      <c r="AF15" s="250" t="s">
        <v>755</v>
      </c>
      <c r="AG15" s="250" t="s">
        <v>756</v>
      </c>
      <c r="AH15" s="250" t="s">
        <v>545</v>
      </c>
      <c r="AI15" s="250" t="s">
        <v>546</v>
      </c>
      <c r="AJ15" s="250" t="s">
        <v>547</v>
      </c>
      <c r="AK15" s="250" t="s">
        <v>548</v>
      </c>
      <c r="AL15" s="250" t="s">
        <v>727</v>
      </c>
      <c r="AM15" s="250" t="s">
        <v>712</v>
      </c>
    </row>
    <row r="16">
      <c r="A16" s="250" t="s">
        <v>757</v>
      </c>
      <c r="B16" s="250" t="s">
        <v>113</v>
      </c>
      <c r="C16" s="250" t="str">
        <f>VLOOKUP(B16,Market!A:B,2,FALSE)</f>
        <v>US</v>
      </c>
      <c r="D16" s="251" t="s">
        <v>527</v>
      </c>
      <c r="E16" s="252" t="s">
        <v>758</v>
      </c>
      <c r="F16" s="253" t="s">
        <v>759</v>
      </c>
      <c r="G16" s="253" t="s">
        <v>307</v>
      </c>
      <c r="H16" s="254">
        <v>58.77</v>
      </c>
      <c r="I16" s="254">
        <v>58.77</v>
      </c>
      <c r="J16" s="255">
        <v>43599.062954629626</v>
      </c>
      <c r="K16" s="251">
        <f>IF($G16&lt;&gt;"",Dashboard!$B$7*SUMIFS(Investment!$F:$F,Investment!$E:$E,$G16),)</f>
        <v>29263.67543</v>
      </c>
      <c r="L16" s="257">
        <f t="shared" si="1"/>
        <v>40836</v>
      </c>
      <c r="M16" s="258">
        <f t="shared" si="2"/>
        <v>0.1216</v>
      </c>
      <c r="N16" s="260">
        <f t="shared" si="3"/>
        <v>0.0161</v>
      </c>
      <c r="O16" s="260">
        <f t="shared" si="4"/>
        <v>0.0015</v>
      </c>
      <c r="P16" s="260">
        <f t="shared" si="5"/>
        <v>0.002</v>
      </c>
      <c r="Q16" s="262">
        <f t="shared" si="6"/>
        <v>0.236344</v>
      </c>
      <c r="R16" s="251">
        <f>IF($E16&lt;&gt;"",$K16*(($M16+$N16-$O16)*Dashboard!$B$8-$P16),)</f>
        <v>32241.84027</v>
      </c>
      <c r="S16" s="260">
        <f t="shared" si="7"/>
        <v>1.101770021</v>
      </c>
      <c r="T16" s="250" t="s">
        <v>532</v>
      </c>
      <c r="U16" s="250" t="s">
        <v>761</v>
      </c>
      <c r="V16" s="250" t="s">
        <v>762</v>
      </c>
      <c r="W16" s="250" t="s">
        <v>763</v>
      </c>
      <c r="X16" s="250" t="s">
        <v>764</v>
      </c>
      <c r="Y16" s="250" t="s">
        <v>765</v>
      </c>
      <c r="Z16" s="250" t="s">
        <v>766</v>
      </c>
      <c r="AA16" s="250" t="s">
        <v>767</v>
      </c>
      <c r="AB16" s="250" t="s">
        <v>672</v>
      </c>
      <c r="AC16" s="250"/>
      <c r="AD16" s="250" t="s">
        <v>768</v>
      </c>
      <c r="AE16" s="250" t="s">
        <v>657</v>
      </c>
      <c r="AF16" s="250" t="s">
        <v>769</v>
      </c>
      <c r="AG16" s="250" t="s">
        <v>659</v>
      </c>
      <c r="AH16" s="250" t="s">
        <v>545</v>
      </c>
      <c r="AI16" s="250" t="s">
        <v>546</v>
      </c>
      <c r="AJ16" s="250" t="s">
        <v>547</v>
      </c>
      <c r="AK16" s="250" t="s">
        <v>548</v>
      </c>
      <c r="AL16" s="250" t="s">
        <v>660</v>
      </c>
      <c r="AM16" s="250" t="s">
        <v>550</v>
      </c>
    </row>
    <row r="17">
      <c r="A17" s="250" t="s">
        <v>770</v>
      </c>
      <c r="B17" s="250" t="s">
        <v>112</v>
      </c>
      <c r="C17" s="250" t="str">
        <f>VLOOKUP(B17,Market!A:B,2,FALSE)</f>
        <v>US</v>
      </c>
      <c r="D17" s="251" t="s">
        <v>527</v>
      </c>
      <c r="E17" s="252" t="s">
        <v>771</v>
      </c>
      <c r="F17" s="253" t="s">
        <v>772</v>
      </c>
      <c r="G17" s="253" t="s">
        <v>307</v>
      </c>
      <c r="H17" s="254">
        <v>84.76</v>
      </c>
      <c r="I17" s="254">
        <v>84.76</v>
      </c>
      <c r="J17" s="255">
        <v>43599.06295465278</v>
      </c>
      <c r="K17" s="251">
        <f>IF($G17&lt;&gt;"",Dashboard!$B$7*SUMIFS(Investment!$F:$F,Investment!$E:$E,$G17),)</f>
        <v>29263.67543</v>
      </c>
      <c r="L17" s="257">
        <f t="shared" si="1"/>
        <v>39037</v>
      </c>
      <c r="M17" s="258">
        <f t="shared" si="2"/>
        <v>0.1061</v>
      </c>
      <c r="N17" s="260">
        <f t="shared" si="3"/>
        <v>0.0308</v>
      </c>
      <c r="O17" s="260">
        <f t="shared" si="4"/>
        <v>0.0006</v>
      </c>
      <c r="P17" s="260">
        <f t="shared" si="5"/>
        <v>0.002</v>
      </c>
      <c r="Q17" s="262">
        <f t="shared" si="6"/>
        <v>0.6516</v>
      </c>
      <c r="R17" s="251">
        <f>IF($E17&lt;&gt;"",$K17*(($M17+$N17-$O17)*Dashboard!$B$8-$P17),)</f>
        <v>32265.55567</v>
      </c>
      <c r="S17" s="260">
        <f t="shared" si="7"/>
        <v>1.102580424</v>
      </c>
      <c r="T17" s="250" t="s">
        <v>532</v>
      </c>
      <c r="U17" s="250" t="s">
        <v>774</v>
      </c>
      <c r="V17" s="250" t="s">
        <v>775</v>
      </c>
      <c r="W17" s="250" t="s">
        <v>776</v>
      </c>
      <c r="X17" s="250" t="s">
        <v>777</v>
      </c>
      <c r="Y17" s="250" t="s">
        <v>778</v>
      </c>
      <c r="Z17" s="250" t="s">
        <v>779</v>
      </c>
      <c r="AA17" s="250" t="s">
        <v>780</v>
      </c>
      <c r="AB17" s="250" t="s">
        <v>781</v>
      </c>
      <c r="AC17" s="250"/>
      <c r="AD17" s="250" t="s">
        <v>708</v>
      </c>
      <c r="AE17" s="250" t="s">
        <v>657</v>
      </c>
      <c r="AF17" s="250" t="s">
        <v>782</v>
      </c>
      <c r="AG17" s="250" t="s">
        <v>783</v>
      </c>
      <c r="AH17" s="250" t="s">
        <v>545</v>
      </c>
      <c r="AI17" s="250" t="s">
        <v>546</v>
      </c>
      <c r="AJ17" s="250" t="s">
        <v>547</v>
      </c>
      <c r="AK17" s="250" t="s">
        <v>548</v>
      </c>
      <c r="AL17" s="250" t="s">
        <v>784</v>
      </c>
      <c r="AM17" s="250" t="s">
        <v>676</v>
      </c>
    </row>
    <row r="18">
      <c r="A18" s="250" t="s">
        <v>785</v>
      </c>
      <c r="B18" s="250" t="s">
        <v>112</v>
      </c>
      <c r="C18" s="250" t="str">
        <f>VLOOKUP(B18,Market!A:B,2,FALSE)</f>
        <v>US</v>
      </c>
      <c r="D18" s="251" t="s">
        <v>527</v>
      </c>
      <c r="E18" s="252" t="s">
        <v>786</v>
      </c>
      <c r="F18" s="253" t="s">
        <v>787</v>
      </c>
      <c r="G18" s="253" t="s">
        <v>307</v>
      </c>
      <c r="H18" s="254">
        <v>165.63</v>
      </c>
      <c r="I18" s="254">
        <v>165.63</v>
      </c>
      <c r="J18" s="255">
        <v>43599.06295466435</v>
      </c>
      <c r="K18" s="251">
        <f>IF($G18&lt;&gt;"",Dashboard!$B$7*SUMIFS(Investment!$F:$F,Investment!$E:$E,$G18),)</f>
        <v>29263.67543</v>
      </c>
      <c r="L18" s="257">
        <f t="shared" si="1"/>
        <v>36672</v>
      </c>
      <c r="M18" s="258">
        <f t="shared" si="2"/>
        <v>0.1352</v>
      </c>
      <c r="N18" s="260">
        <f t="shared" si="3"/>
        <v>0.0148</v>
      </c>
      <c r="O18" s="260">
        <f t="shared" si="4"/>
        <v>0.002</v>
      </c>
      <c r="P18" s="260">
        <f t="shared" si="5"/>
        <v>0.002</v>
      </c>
      <c r="Q18" s="262">
        <f t="shared" si="6"/>
        <v>0.612851</v>
      </c>
      <c r="R18" s="251">
        <f>IF($E18&lt;&gt;"",$K18*(($M18+$N18-$O18)*Dashboard!$B$8-$P18),)</f>
        <v>35040.25685</v>
      </c>
      <c r="S18" s="260">
        <f t="shared" si="7"/>
        <v>1.197397673</v>
      </c>
      <c r="T18" s="250" t="s">
        <v>532</v>
      </c>
      <c r="U18" s="250" t="s">
        <v>789</v>
      </c>
      <c r="V18" s="250" t="s">
        <v>790</v>
      </c>
      <c r="W18" s="250" t="s">
        <v>791</v>
      </c>
      <c r="X18" s="250" t="s">
        <v>792</v>
      </c>
      <c r="Y18" s="250" t="s">
        <v>793</v>
      </c>
      <c r="Z18" s="250" t="s">
        <v>794</v>
      </c>
      <c r="AA18" s="250" t="s">
        <v>795</v>
      </c>
      <c r="AB18" s="250" t="s">
        <v>796</v>
      </c>
      <c r="AC18" s="250"/>
      <c r="AD18" s="250" t="s">
        <v>797</v>
      </c>
      <c r="AE18" s="250" t="s">
        <v>798</v>
      </c>
      <c r="AF18" s="250" t="s">
        <v>799</v>
      </c>
      <c r="AG18" s="250" t="s">
        <v>800</v>
      </c>
      <c r="AH18" s="250" t="s">
        <v>545</v>
      </c>
      <c r="AI18" s="250" t="s">
        <v>546</v>
      </c>
      <c r="AJ18" s="250" t="s">
        <v>547</v>
      </c>
      <c r="AK18" s="250" t="s">
        <v>548</v>
      </c>
      <c r="AL18" s="250" t="s">
        <v>549</v>
      </c>
      <c r="AM18" s="250" t="s">
        <v>616</v>
      </c>
    </row>
    <row r="19">
      <c r="A19" s="250" t="s">
        <v>801</v>
      </c>
      <c r="B19" s="250" t="s">
        <v>112</v>
      </c>
      <c r="C19" s="250" t="str">
        <f>VLOOKUP(B19,Market!A:B,2,FALSE)</f>
        <v>US</v>
      </c>
      <c r="D19" s="251" t="s">
        <v>527</v>
      </c>
      <c r="E19" s="252" t="s">
        <v>802</v>
      </c>
      <c r="F19" s="253" t="s">
        <v>803</v>
      </c>
      <c r="G19" s="253" t="s">
        <v>307</v>
      </c>
      <c r="H19" s="254">
        <v>53.8</v>
      </c>
      <c r="I19" s="254">
        <v>53.8</v>
      </c>
      <c r="J19" s="255">
        <v>43599.0629546875</v>
      </c>
      <c r="K19" s="251">
        <f>IF($G19&lt;&gt;"",Dashboard!$B$7*SUMIFS(Investment!$F:$F,Investment!$E:$E,$G19),)</f>
        <v>29263.67543</v>
      </c>
      <c r="L19" s="257">
        <f t="shared" si="1"/>
        <v>40395</v>
      </c>
      <c r="M19" s="258">
        <f t="shared" si="2"/>
        <v>0.0082</v>
      </c>
      <c r="N19" s="260">
        <f t="shared" si="3"/>
        <v>0.024</v>
      </c>
      <c r="O19" s="260">
        <f t="shared" si="4"/>
        <v>0.0006</v>
      </c>
      <c r="P19" s="260">
        <f t="shared" si="5"/>
        <v>0.002</v>
      </c>
      <c r="Q19" s="262">
        <f t="shared" si="6"/>
        <v>0.1075</v>
      </c>
      <c r="R19" s="251">
        <f>IF($E19&lt;&gt;"",$K19*(($M19+$N19-$O19)*Dashboard!$B$8-$P19),)</f>
        <v>7435.537384</v>
      </c>
      <c r="S19" s="260">
        <f t="shared" si="7"/>
        <v>0.2540876112</v>
      </c>
      <c r="T19" s="250" t="s">
        <v>532</v>
      </c>
      <c r="U19" s="250" t="s">
        <v>805</v>
      </c>
      <c r="V19" s="250" t="s">
        <v>806</v>
      </c>
      <c r="W19" s="250" t="s">
        <v>807</v>
      </c>
      <c r="X19" s="250" t="s">
        <v>808</v>
      </c>
      <c r="Y19" s="250" t="s">
        <v>809</v>
      </c>
      <c r="Z19" s="250" t="s">
        <v>810</v>
      </c>
      <c r="AA19" s="250" t="s">
        <v>811</v>
      </c>
      <c r="AB19" s="250" t="s">
        <v>812</v>
      </c>
      <c r="AC19" s="250"/>
      <c r="AD19" s="250" t="s">
        <v>813</v>
      </c>
      <c r="AE19" s="250" t="s">
        <v>690</v>
      </c>
      <c r="AF19" s="250" t="s">
        <v>814</v>
      </c>
      <c r="AG19" s="250" t="s">
        <v>815</v>
      </c>
      <c r="AH19" s="250" t="s">
        <v>545</v>
      </c>
      <c r="AI19" s="250" t="s">
        <v>546</v>
      </c>
      <c r="AJ19" s="250" t="s">
        <v>547</v>
      </c>
      <c r="AK19" s="250" t="s">
        <v>548</v>
      </c>
      <c r="AL19" s="250" t="s">
        <v>675</v>
      </c>
      <c r="AM19" s="250" t="s">
        <v>676</v>
      </c>
    </row>
    <row r="20">
      <c r="A20" s="250" t="s">
        <v>287</v>
      </c>
      <c r="B20" s="250" t="s">
        <v>115</v>
      </c>
      <c r="C20" s="250" t="str">
        <f>VLOOKUP(B20,Market!A:B,2,FALSE)</f>
        <v>NA</v>
      </c>
      <c r="D20" s="251" t="s">
        <v>527</v>
      </c>
      <c r="E20" s="252" t="s">
        <v>259</v>
      </c>
      <c r="F20" s="253" t="s">
        <v>308</v>
      </c>
      <c r="G20" s="253" t="s">
        <v>307</v>
      </c>
      <c r="H20" s="254">
        <v>48.03</v>
      </c>
      <c r="I20" s="254">
        <v>48.03</v>
      </c>
      <c r="J20" s="255">
        <v>43599.71722902778</v>
      </c>
      <c r="K20" s="251">
        <f>IF($G20&lt;&gt;"",Dashboard!$B$7*SUMIFS(Investment!$F:$F,Investment!$E:$E,$G20),)</f>
        <v>29263.67543</v>
      </c>
      <c r="L20" s="257">
        <f t="shared" si="1"/>
        <v>41051</v>
      </c>
      <c r="M20" s="258">
        <f t="shared" si="2"/>
        <v>0.1319</v>
      </c>
      <c r="N20" s="260">
        <f t="shared" si="3"/>
        <v>0.0176</v>
      </c>
      <c r="O20" s="260">
        <f t="shared" si="4"/>
        <v>0.0007</v>
      </c>
      <c r="P20" s="260">
        <f t="shared" si="5"/>
        <v>0</v>
      </c>
      <c r="Q20" s="262">
        <f t="shared" si="6"/>
        <v>0.23471</v>
      </c>
      <c r="R20" s="251">
        <f>IF($E20&lt;&gt;"",$K20*(($M20+$N20-$O20)*Dashboard!$B$8-$P20),)</f>
        <v>35288.50736</v>
      </c>
      <c r="S20" s="260">
        <f t="shared" si="7"/>
        <v>1.205880903</v>
      </c>
      <c r="T20" s="250" t="s">
        <v>532</v>
      </c>
      <c r="U20" s="250" t="s">
        <v>817</v>
      </c>
      <c r="V20" s="250" t="s">
        <v>818</v>
      </c>
      <c r="W20" s="250" t="s">
        <v>819</v>
      </c>
      <c r="X20" s="250" t="s">
        <v>820</v>
      </c>
      <c r="Y20" s="250" t="s">
        <v>821</v>
      </c>
      <c r="Z20" s="250" t="s">
        <v>822</v>
      </c>
      <c r="AA20" s="250" t="s">
        <v>823</v>
      </c>
      <c r="AB20" s="250" t="s">
        <v>824</v>
      </c>
      <c r="AC20" s="250"/>
      <c r="AD20" s="250" t="s">
        <v>825</v>
      </c>
      <c r="AE20" s="250" t="s">
        <v>690</v>
      </c>
      <c r="AF20" s="250" t="s">
        <v>826</v>
      </c>
      <c r="AG20" s="250" t="s">
        <v>692</v>
      </c>
      <c r="AH20" s="250" t="s">
        <v>545</v>
      </c>
      <c r="AI20" s="250" t="s">
        <v>546</v>
      </c>
      <c r="AJ20" s="250" t="s">
        <v>547</v>
      </c>
      <c r="AK20" s="250" t="s">
        <v>548</v>
      </c>
      <c r="AL20" s="250" t="s">
        <v>601</v>
      </c>
      <c r="AM20" s="250" t="s">
        <v>602</v>
      </c>
    </row>
    <row r="21">
      <c r="A21" s="250" t="s">
        <v>827</v>
      </c>
      <c r="B21" s="250" t="s">
        <v>115</v>
      </c>
      <c r="C21" s="265" t="str">
        <f>VLOOKUP(B21,Market!A:B,2,FALSE)</f>
        <v>NA</v>
      </c>
      <c r="D21" s="266" t="s">
        <v>527</v>
      </c>
      <c r="E21" s="267" t="s">
        <v>828</v>
      </c>
      <c r="F21" s="268" t="s">
        <v>829</v>
      </c>
      <c r="G21" s="268" t="s">
        <v>307</v>
      </c>
      <c r="H21" s="269">
        <v>24.987</v>
      </c>
      <c r="I21" s="269">
        <v>24.987</v>
      </c>
      <c r="J21" s="255">
        <v>43599.06295472222</v>
      </c>
      <c r="K21" s="270">
        <f>IF($G21&lt;&gt;"",Dashboard!$B$7*SUMIFS(Investment!$F:$F,Investment!$E:$E,$G21),)</f>
        <v>29263.67543</v>
      </c>
      <c r="L21" s="257">
        <f t="shared" si="1"/>
        <v>38170</v>
      </c>
      <c r="M21" s="258">
        <f t="shared" si="2"/>
        <v>0.1311</v>
      </c>
      <c r="N21" s="260">
        <f t="shared" si="3"/>
        <v>0.0158</v>
      </c>
      <c r="O21" s="260">
        <f t="shared" si="4"/>
        <v>0.0007</v>
      </c>
      <c r="P21" s="271">
        <f t="shared" si="5"/>
        <v>0</v>
      </c>
      <c r="Q21" s="272">
        <f t="shared" si="6"/>
        <v>0.1168</v>
      </c>
      <c r="R21" s="270">
        <f>IF($E21&lt;&gt;"",$K21*(($M21+$N21-$O21)*Dashboard!$B$8-$P21),)</f>
        <v>34671.9071</v>
      </c>
      <c r="S21" s="271">
        <f t="shared" si="7"/>
        <v>1.184810404</v>
      </c>
      <c r="T21" s="250" t="s">
        <v>532</v>
      </c>
      <c r="U21" s="250" t="s">
        <v>832</v>
      </c>
      <c r="V21" s="250" t="s">
        <v>833</v>
      </c>
      <c r="W21" s="250" t="s">
        <v>834</v>
      </c>
      <c r="X21" s="250" t="s">
        <v>835</v>
      </c>
      <c r="Y21" s="250" t="s">
        <v>836</v>
      </c>
      <c r="Z21" s="250" t="s">
        <v>837</v>
      </c>
      <c r="AA21" s="250" t="s">
        <v>838</v>
      </c>
      <c r="AB21" s="250" t="s">
        <v>839</v>
      </c>
      <c r="AC21" s="250"/>
      <c r="AD21" s="250" t="s">
        <v>840</v>
      </c>
      <c r="AE21" s="250" t="s">
        <v>798</v>
      </c>
      <c r="AF21" s="250" t="s">
        <v>841</v>
      </c>
      <c r="AG21" s="250" t="s">
        <v>842</v>
      </c>
      <c r="AH21" s="250" t="s">
        <v>545</v>
      </c>
      <c r="AI21" s="250" t="s">
        <v>546</v>
      </c>
      <c r="AJ21" s="250" t="s">
        <v>547</v>
      </c>
      <c r="AK21" s="250" t="s">
        <v>548</v>
      </c>
      <c r="AL21" s="250" t="s">
        <v>601</v>
      </c>
      <c r="AM21" s="250" t="s">
        <v>602</v>
      </c>
    </row>
    <row r="22">
      <c r="A22" s="273" t="s">
        <v>843</v>
      </c>
      <c r="B22" s="273" t="s">
        <v>107</v>
      </c>
      <c r="C22" s="273" t="str">
        <f>VLOOKUP(B22,Market!A:B,2,FALSE)</f>
        <v>US</v>
      </c>
      <c r="D22" s="274" t="s">
        <v>527</v>
      </c>
      <c r="E22" s="275" t="s">
        <v>844</v>
      </c>
      <c r="F22" s="276" t="s">
        <v>845</v>
      </c>
      <c r="G22" s="276" t="s">
        <v>277</v>
      </c>
      <c r="H22" s="277">
        <v>106.65</v>
      </c>
      <c r="I22" s="277">
        <v>106.65</v>
      </c>
      <c r="J22" s="278">
        <v>43599.062954733796</v>
      </c>
      <c r="K22" s="274">
        <f>IF($G22&lt;&gt;"",Dashboard!$B$7*SUMIFS(Investment!$F:$F,Investment!$E:$E,$G22),)</f>
        <v>14631.83771</v>
      </c>
      <c r="L22" s="279">
        <f t="shared" si="1"/>
        <v>37463</v>
      </c>
      <c r="M22" s="280">
        <f t="shared" si="2"/>
        <v>0.0064</v>
      </c>
      <c r="N22" s="281">
        <f t="shared" si="3"/>
        <v>0.0238</v>
      </c>
      <c r="O22" s="281">
        <f t="shared" si="4"/>
        <v>0.0015</v>
      </c>
      <c r="P22" s="281">
        <f t="shared" si="5"/>
        <v>0.002</v>
      </c>
      <c r="Q22" s="282">
        <f t="shared" si="6"/>
        <v>0.211512</v>
      </c>
      <c r="R22" s="274">
        <f>IF($E22&lt;&gt;"",$K22*(($M22+$N22-$O22)*Dashboard!$B$8-$P22),)</f>
        <v>3373.895469</v>
      </c>
      <c r="S22" s="281">
        <f t="shared" si="7"/>
        <v>0.2305859001</v>
      </c>
      <c r="T22" s="273" t="s">
        <v>532</v>
      </c>
      <c r="U22" s="273" t="s">
        <v>847</v>
      </c>
      <c r="V22" s="273" t="s">
        <v>848</v>
      </c>
      <c r="W22" s="273" t="s">
        <v>849</v>
      </c>
      <c r="X22" s="273" t="s">
        <v>850</v>
      </c>
      <c r="Y22" s="273" t="s">
        <v>851</v>
      </c>
      <c r="Z22" s="273" t="s">
        <v>852</v>
      </c>
      <c r="AA22" s="273" t="s">
        <v>853</v>
      </c>
      <c r="AB22" s="273" t="s">
        <v>540</v>
      </c>
      <c r="AC22" s="273"/>
      <c r="AD22" s="273" t="s">
        <v>854</v>
      </c>
      <c r="AE22" s="273" t="s">
        <v>855</v>
      </c>
      <c r="AF22" s="273" t="s">
        <v>856</v>
      </c>
      <c r="AG22" s="273" t="s">
        <v>857</v>
      </c>
      <c r="AH22" s="273" t="s">
        <v>545</v>
      </c>
      <c r="AI22" s="273" t="s">
        <v>546</v>
      </c>
      <c r="AJ22" s="273" t="s">
        <v>547</v>
      </c>
      <c r="AK22" s="273" t="s">
        <v>548</v>
      </c>
      <c r="AL22" s="273" t="s">
        <v>549</v>
      </c>
      <c r="AM22" s="273" t="s">
        <v>550</v>
      </c>
    </row>
    <row r="23">
      <c r="A23" s="273" t="s">
        <v>858</v>
      </c>
      <c r="B23" s="273" t="s">
        <v>107</v>
      </c>
      <c r="C23" s="273" t="str">
        <f>VLOOKUP(B23,Market!A:B,2,FALSE)</f>
        <v>US</v>
      </c>
      <c r="D23" s="274"/>
      <c r="E23" s="275" t="s">
        <v>859</v>
      </c>
      <c r="F23" s="276" t="s">
        <v>860</v>
      </c>
      <c r="G23" s="276" t="s">
        <v>277</v>
      </c>
      <c r="H23" s="277">
        <v>64.54</v>
      </c>
      <c r="I23" s="277">
        <v>64.54</v>
      </c>
      <c r="J23" s="278">
        <v>43599.06295475694</v>
      </c>
      <c r="K23" s="274">
        <f>IF($G23&lt;&gt;"",Dashboard!$B$7*SUMIFS(Investment!$F:$F,Investment!$E:$E,$G23),)</f>
        <v>14631.83771</v>
      </c>
      <c r="L23" s="279">
        <f t="shared" si="1"/>
        <v>40140</v>
      </c>
      <c r="M23" s="280">
        <f t="shared" si="2"/>
        <v>0.0083</v>
      </c>
      <c r="N23" s="281">
        <f t="shared" si="3"/>
        <v>0.0231</v>
      </c>
      <c r="O23" s="281">
        <f t="shared" si="4"/>
        <v>0.0007</v>
      </c>
      <c r="P23" s="281">
        <f t="shared" si="5"/>
        <v>0.0024</v>
      </c>
      <c r="Q23" s="282">
        <f t="shared" si="6"/>
        <v>0.1244</v>
      </c>
      <c r="R23" s="274">
        <f>IF($E23&lt;&gt;"",$K23*(($M23+$N23-$O23)*Dashboard!$B$8-$P23),)</f>
        <v>3605.196681</v>
      </c>
      <c r="S23" s="281">
        <f t="shared" si="7"/>
        <v>0.2463939767</v>
      </c>
      <c r="T23" s="273" t="s">
        <v>532</v>
      </c>
      <c r="U23" s="273" t="s">
        <v>862</v>
      </c>
      <c r="V23" s="273" t="s">
        <v>863</v>
      </c>
      <c r="W23" s="273" t="s">
        <v>864</v>
      </c>
      <c r="X23" s="273" t="s">
        <v>865</v>
      </c>
      <c r="Y23" s="273" t="s">
        <v>866</v>
      </c>
      <c r="Z23" s="273" t="s">
        <v>867</v>
      </c>
      <c r="AA23" s="273" t="s">
        <v>868</v>
      </c>
      <c r="AB23" s="273" t="s">
        <v>869</v>
      </c>
      <c r="AC23" s="273"/>
      <c r="AD23" s="273" t="s">
        <v>689</v>
      </c>
      <c r="AE23" s="273" t="s">
        <v>855</v>
      </c>
      <c r="AF23" s="273" t="s">
        <v>870</v>
      </c>
      <c r="AG23" s="273" t="s">
        <v>871</v>
      </c>
      <c r="AH23" s="273" t="s">
        <v>545</v>
      </c>
      <c r="AI23" s="273" t="s">
        <v>546</v>
      </c>
      <c r="AJ23" s="273" t="s">
        <v>547</v>
      </c>
      <c r="AK23" s="273" t="s">
        <v>548</v>
      </c>
      <c r="AL23" s="273" t="s">
        <v>601</v>
      </c>
      <c r="AM23" s="273" t="s">
        <v>602</v>
      </c>
    </row>
    <row r="24">
      <c r="A24" s="273" t="s">
        <v>292</v>
      </c>
      <c r="B24" s="273" t="s">
        <v>115</v>
      </c>
      <c r="C24" s="273" t="str">
        <f>VLOOKUP(B24,Market!A:B,2,FALSE)</f>
        <v>NA</v>
      </c>
      <c r="D24" s="274" t="s">
        <v>527</v>
      </c>
      <c r="E24" s="275" t="s">
        <v>86</v>
      </c>
      <c r="F24" s="276" t="s">
        <v>278</v>
      </c>
      <c r="G24" s="276" t="s">
        <v>277</v>
      </c>
      <c r="H24" s="277">
        <v>176.49</v>
      </c>
      <c r="I24" s="277">
        <v>176.49</v>
      </c>
      <c r="J24" s="278">
        <v>43599.71722914352</v>
      </c>
      <c r="K24" s="274">
        <f>IF($G24&lt;&gt;"",Dashboard!$B$7*SUMIFS(Investment!$F:$F,Investment!$E:$E,$G24),)</f>
        <v>14631.83771</v>
      </c>
      <c r="L24" s="279">
        <f t="shared" si="1"/>
        <v>39773</v>
      </c>
      <c r="M24" s="280">
        <f t="shared" si="2"/>
        <v>0.0117</v>
      </c>
      <c r="N24" s="281">
        <f t="shared" si="3"/>
        <v>0.025</v>
      </c>
      <c r="O24" s="281">
        <f t="shared" si="4"/>
        <v>0.002</v>
      </c>
      <c r="P24" s="281">
        <f t="shared" si="5"/>
        <v>0</v>
      </c>
      <c r="Q24" s="282">
        <f t="shared" si="6"/>
        <v>2.5263</v>
      </c>
      <c r="R24" s="274">
        <f>IF($E24&lt;&gt;"",$K24*(($M24+$N24-$O24)*Dashboard!$B$8-$P24),)</f>
        <v>4114.620986</v>
      </c>
      <c r="S24" s="281">
        <f t="shared" si="7"/>
        <v>0.28121013</v>
      </c>
      <c r="T24" s="273" t="s">
        <v>532</v>
      </c>
      <c r="U24" s="273" t="s">
        <v>873</v>
      </c>
      <c r="V24" s="273" t="s">
        <v>874</v>
      </c>
      <c r="W24" s="273" t="s">
        <v>875</v>
      </c>
      <c r="X24" s="273" t="s">
        <v>876</v>
      </c>
      <c r="Y24" s="273" t="s">
        <v>877</v>
      </c>
      <c r="Z24" s="273" t="s">
        <v>878</v>
      </c>
      <c r="AA24" s="273" t="s">
        <v>879</v>
      </c>
      <c r="AB24" s="273" t="s">
        <v>880</v>
      </c>
      <c r="AC24" s="273"/>
      <c r="AD24" s="273" t="s">
        <v>881</v>
      </c>
      <c r="AE24" s="273" t="s">
        <v>740</v>
      </c>
      <c r="AF24" s="273" t="s">
        <v>882</v>
      </c>
      <c r="AG24" s="273" t="s">
        <v>883</v>
      </c>
      <c r="AH24" s="273" t="s">
        <v>545</v>
      </c>
      <c r="AI24" s="273" t="s">
        <v>546</v>
      </c>
      <c r="AJ24" s="273" t="s">
        <v>547</v>
      </c>
      <c r="AK24" s="273" t="s">
        <v>548</v>
      </c>
      <c r="AL24" s="273" t="s">
        <v>615</v>
      </c>
      <c r="AM24" s="273" t="s">
        <v>616</v>
      </c>
    </row>
    <row r="25">
      <c r="A25" s="283" t="s">
        <v>884</v>
      </c>
      <c r="B25" s="283" t="s">
        <v>112</v>
      </c>
      <c r="C25" s="283" t="str">
        <f>VLOOKUP(B25,Market!A:B,2,FALSE)</f>
        <v>US</v>
      </c>
      <c r="D25" s="284" t="s">
        <v>527</v>
      </c>
      <c r="E25" s="285" t="s">
        <v>885</v>
      </c>
      <c r="F25" s="286" t="s">
        <v>886</v>
      </c>
      <c r="G25" s="286" t="s">
        <v>217</v>
      </c>
      <c r="H25" s="287">
        <v>15.61</v>
      </c>
      <c r="I25" s="287">
        <v>15.61</v>
      </c>
      <c r="J25" s="288">
        <v>43599.06295478009</v>
      </c>
      <c r="K25" s="284">
        <f>IF($G25&lt;&gt;"",Dashboard!$B$7*SUMIFS(Investment!$F:$F,Investment!$E:$E,$G25),)</f>
        <v>7315.918856</v>
      </c>
      <c r="L25" s="289">
        <f t="shared" si="1"/>
        <v>38751</v>
      </c>
      <c r="M25" s="290">
        <f t="shared" si="2"/>
        <v>0.0395</v>
      </c>
      <c r="N25" s="291">
        <f t="shared" si="3"/>
        <v>0.0121</v>
      </c>
      <c r="O25" s="291">
        <f t="shared" si="4"/>
        <v>0.0089</v>
      </c>
      <c r="P25" s="291">
        <f t="shared" si="5"/>
        <v>0.002</v>
      </c>
      <c r="Q25" s="292">
        <f t="shared" si="6"/>
        <v>0.18853</v>
      </c>
      <c r="R25" s="284">
        <f>IF($E25&lt;&gt;"",$K25*(($M25+$N25-$O25)*Dashboard!$B$8-$P25),)</f>
        <v>2516.98655</v>
      </c>
      <c r="S25" s="291">
        <f t="shared" si="7"/>
        <v>0.3440424367</v>
      </c>
      <c r="T25" s="283" t="s">
        <v>532</v>
      </c>
      <c r="U25" s="283" t="s">
        <v>888</v>
      </c>
      <c r="V25" s="283" t="s">
        <v>889</v>
      </c>
      <c r="W25" s="283" t="s">
        <v>890</v>
      </c>
      <c r="X25" s="283" t="s">
        <v>891</v>
      </c>
      <c r="Y25" s="283" t="s">
        <v>892</v>
      </c>
      <c r="Z25" s="283" t="s">
        <v>893</v>
      </c>
      <c r="AA25" s="283" t="s">
        <v>894</v>
      </c>
      <c r="AB25" s="283" t="s">
        <v>895</v>
      </c>
      <c r="AC25" s="283"/>
      <c r="AD25" s="283" t="s">
        <v>689</v>
      </c>
      <c r="AE25" s="283" t="s">
        <v>582</v>
      </c>
      <c r="AF25" s="283" t="s">
        <v>896</v>
      </c>
      <c r="AG25" s="283" t="s">
        <v>897</v>
      </c>
      <c r="AH25" s="283" t="s">
        <v>545</v>
      </c>
      <c r="AI25" s="283" t="s">
        <v>546</v>
      </c>
      <c r="AJ25" s="283" t="s">
        <v>547</v>
      </c>
      <c r="AK25" s="283" t="s">
        <v>548</v>
      </c>
      <c r="AL25" s="283" t="s">
        <v>898</v>
      </c>
      <c r="AM25" s="283" t="s">
        <v>585</v>
      </c>
    </row>
    <row r="26">
      <c r="A26" s="283" t="s">
        <v>899</v>
      </c>
      <c r="B26" s="283" t="s">
        <v>112</v>
      </c>
      <c r="C26" s="283" t="str">
        <f>VLOOKUP(B26,Market!A:B,2,FALSE)</f>
        <v>US</v>
      </c>
      <c r="D26" s="284" t="s">
        <v>527</v>
      </c>
      <c r="E26" s="285" t="s">
        <v>901</v>
      </c>
      <c r="F26" s="286" t="s">
        <v>902</v>
      </c>
      <c r="G26" s="286" t="s">
        <v>217</v>
      </c>
      <c r="H26" s="287">
        <v>15.86</v>
      </c>
      <c r="I26" s="287">
        <v>15.86</v>
      </c>
      <c r="J26" s="288">
        <v>43599.062954803245</v>
      </c>
      <c r="K26" s="284">
        <f>IF($G26&lt;&gt;"",Dashboard!$B$7*SUMIFS(Investment!$F:$F,Investment!$E:$E,$G26),)</f>
        <v>7315.918856</v>
      </c>
      <c r="L26" s="289">
        <f t="shared" si="1"/>
        <v>38919</v>
      </c>
      <c r="M26" s="290">
        <f t="shared" si="2"/>
        <v>0.0265</v>
      </c>
      <c r="N26" s="291" t="str">
        <f t="shared" si="3"/>
        <v/>
      </c>
      <c r="O26" s="291">
        <f t="shared" si="4"/>
        <v>0.0075</v>
      </c>
      <c r="P26" s="291">
        <f t="shared" si="5"/>
        <v>0.002</v>
      </c>
      <c r="Q26" s="292" t="str">
        <f t="shared" si="6"/>
        <v/>
      </c>
      <c r="R26" s="293">
        <f>IF($E26&lt;&gt;"",$K26*(($M26+$N26-$O26)*Dashboard!$B$8-$P26),)</f>
        <v>1111.849412</v>
      </c>
      <c r="S26" s="294">
        <f t="shared" si="7"/>
        <v>0.1519767283</v>
      </c>
      <c r="T26" s="283" t="s">
        <v>532</v>
      </c>
      <c r="U26" s="283" t="s">
        <v>903</v>
      </c>
      <c r="V26" s="283" t="s">
        <v>904</v>
      </c>
      <c r="W26" s="283" t="s">
        <v>905</v>
      </c>
      <c r="X26" s="283" t="s">
        <v>906</v>
      </c>
      <c r="Y26" s="283" t="s">
        <v>907</v>
      </c>
      <c r="Z26" s="283" t="s">
        <v>908</v>
      </c>
      <c r="AA26" s="283" t="s">
        <v>909</v>
      </c>
      <c r="AB26" s="283" t="s">
        <v>910</v>
      </c>
      <c r="AC26" s="283"/>
      <c r="AD26" s="283" t="s">
        <v>541</v>
      </c>
      <c r="AE26" s="283" t="s">
        <v>582</v>
      </c>
      <c r="AF26" s="283" t="s">
        <v>911</v>
      </c>
      <c r="AG26" s="283" t="s">
        <v>912</v>
      </c>
      <c r="AH26" s="283" t="s">
        <v>545</v>
      </c>
      <c r="AI26" s="283" t="s">
        <v>546</v>
      </c>
      <c r="AJ26" s="283" t="s">
        <v>547</v>
      </c>
      <c r="AK26" s="283" t="s">
        <v>548</v>
      </c>
      <c r="AL26" s="283" t="s">
        <v>567</v>
      </c>
      <c r="AM26" s="283" t="s">
        <v>913</v>
      </c>
    </row>
    <row r="27">
      <c r="A27" s="283" t="s">
        <v>914</v>
      </c>
      <c r="B27" s="283" t="s">
        <v>112</v>
      </c>
      <c r="C27" s="283" t="str">
        <f>VLOOKUP(B27,Market!A:B,2,FALSE)</f>
        <v>US</v>
      </c>
      <c r="D27" s="284" t="s">
        <v>527</v>
      </c>
      <c r="E27" s="285" t="s">
        <v>915</v>
      </c>
      <c r="F27" s="286" t="s">
        <v>916</v>
      </c>
      <c r="G27" s="286" t="s">
        <v>217</v>
      </c>
      <c r="H27" s="287">
        <v>36.93</v>
      </c>
      <c r="I27" s="287">
        <v>36.93</v>
      </c>
      <c r="J27" s="288">
        <v>43599.062954837966</v>
      </c>
      <c r="K27" s="284">
        <f>IF($G27&lt;&gt;"",Dashboard!$B$7*SUMIFS(Investment!$F:$F,Investment!$E:$E,$G27),)</f>
        <v>7315.918856</v>
      </c>
      <c r="L27" s="289">
        <f t="shared" si="1"/>
        <v>40400</v>
      </c>
      <c r="M27" s="290">
        <f t="shared" si="2"/>
        <v>-0.0362</v>
      </c>
      <c r="N27" s="291" t="str">
        <f t="shared" si="3"/>
        <v/>
      </c>
      <c r="O27" s="291">
        <f t="shared" si="4"/>
        <v>0.0111</v>
      </c>
      <c r="P27" s="291">
        <f t="shared" si="5"/>
        <v>0.002</v>
      </c>
      <c r="Q27" s="292" t="str">
        <f t="shared" si="6"/>
        <v/>
      </c>
      <c r="R27" s="284">
        <f>IF($E27&lt;&gt;"",$K27*(($M27+$N27-$O27)*Dashboard!$B$8-$P27),)</f>
        <v>-2818.977265</v>
      </c>
      <c r="S27" s="291">
        <f t="shared" si="7"/>
        <v>-0.385321013</v>
      </c>
      <c r="T27" s="283" t="s">
        <v>532</v>
      </c>
      <c r="U27" s="283" t="s">
        <v>918</v>
      </c>
      <c r="V27" s="283" t="s">
        <v>919</v>
      </c>
      <c r="W27" s="283" t="s">
        <v>920</v>
      </c>
      <c r="X27" s="283" t="s">
        <v>921</v>
      </c>
      <c r="Y27" s="283" t="s">
        <v>922</v>
      </c>
      <c r="Z27" s="283" t="s">
        <v>923</v>
      </c>
      <c r="AA27" s="283" t="s">
        <v>924</v>
      </c>
      <c r="AB27" s="283" t="s">
        <v>925</v>
      </c>
      <c r="AC27" s="283"/>
      <c r="AD27" s="283" t="s">
        <v>854</v>
      </c>
      <c r="AE27" s="283" t="s">
        <v>926</v>
      </c>
      <c r="AF27" s="283" t="s">
        <v>911</v>
      </c>
      <c r="AG27" s="283" t="s">
        <v>912</v>
      </c>
      <c r="AH27" s="283" t="s">
        <v>545</v>
      </c>
      <c r="AI27" s="283" t="s">
        <v>546</v>
      </c>
      <c r="AJ27" s="283" t="s">
        <v>547</v>
      </c>
      <c r="AK27" s="283" t="s">
        <v>548</v>
      </c>
      <c r="AL27" s="283" t="s">
        <v>927</v>
      </c>
      <c r="AM27" s="283" t="s">
        <v>928</v>
      </c>
    </row>
    <row r="28">
      <c r="A28" s="283" t="s">
        <v>929</v>
      </c>
      <c r="B28" s="283" t="s">
        <v>112</v>
      </c>
      <c r="C28" s="283" t="str">
        <f>VLOOKUP(B28,Market!A:B,2,FALSE)</f>
        <v>US</v>
      </c>
      <c r="D28" s="284" t="s">
        <v>527</v>
      </c>
      <c r="E28" s="285" t="s">
        <v>930</v>
      </c>
      <c r="F28" s="286" t="s">
        <v>931</v>
      </c>
      <c r="G28" s="286" t="s">
        <v>217</v>
      </c>
      <c r="H28" s="287">
        <v>21.78</v>
      </c>
      <c r="I28" s="287">
        <v>21.78</v>
      </c>
      <c r="J28" s="288">
        <v>43599.062954849534</v>
      </c>
      <c r="K28" s="284">
        <f>IF($G28&lt;&gt;"",Dashboard!$B$7*SUMIFS(Investment!$F:$F,Investment!$E:$E,$G28),)</f>
        <v>7315.918856</v>
      </c>
      <c r="L28" s="289">
        <f t="shared" si="1"/>
        <v>38874</v>
      </c>
      <c r="M28" s="290">
        <f t="shared" si="2"/>
        <v>-0.0155</v>
      </c>
      <c r="N28" s="291" t="str">
        <f t="shared" si="3"/>
        <v/>
      </c>
      <c r="O28" s="291">
        <f t="shared" si="4"/>
        <v>0.007</v>
      </c>
      <c r="P28" s="291">
        <f t="shared" si="5"/>
        <v>0.002</v>
      </c>
      <c r="Q28" s="292" t="str">
        <f t="shared" si="6"/>
        <v/>
      </c>
      <c r="R28" s="284">
        <f>IF($E28&lt;&gt;"",$K28*(($M28+$N28-$O28)*Dashboard!$B$8-$P28),)</f>
        <v>-1348.622791</v>
      </c>
      <c r="S28" s="291">
        <f t="shared" si="7"/>
        <v>-0.1843408624</v>
      </c>
      <c r="T28" s="283" t="s">
        <v>532</v>
      </c>
      <c r="U28" s="283" t="s">
        <v>933</v>
      </c>
      <c r="V28" s="283" t="s">
        <v>934</v>
      </c>
      <c r="W28" s="283" t="s">
        <v>935</v>
      </c>
      <c r="X28" s="283" t="s">
        <v>936</v>
      </c>
      <c r="Y28" s="283" t="s">
        <v>937</v>
      </c>
      <c r="Z28" s="283" t="s">
        <v>938</v>
      </c>
      <c r="AA28" s="283" t="s">
        <v>939</v>
      </c>
      <c r="AB28" s="283" t="s">
        <v>940</v>
      </c>
      <c r="AC28" s="283"/>
      <c r="AD28" s="283" t="s">
        <v>941</v>
      </c>
      <c r="AE28" s="283" t="s">
        <v>942</v>
      </c>
      <c r="AF28" s="283" t="s">
        <v>911</v>
      </c>
      <c r="AG28" s="283" t="s">
        <v>912</v>
      </c>
      <c r="AH28" s="283" t="s">
        <v>545</v>
      </c>
      <c r="AI28" s="283" t="s">
        <v>546</v>
      </c>
      <c r="AJ28" s="283" t="s">
        <v>547</v>
      </c>
      <c r="AK28" s="283" t="s">
        <v>548</v>
      </c>
      <c r="AL28" s="283" t="s">
        <v>943</v>
      </c>
      <c r="AM28" s="283" t="s">
        <v>944</v>
      </c>
    </row>
    <row r="29">
      <c r="A29" s="283" t="s">
        <v>305</v>
      </c>
      <c r="B29" s="283" t="s">
        <v>118</v>
      </c>
      <c r="C29" s="283" t="str">
        <f>VLOOKUP(B29,Market!A:B,2,FALSE)</f>
        <v>FP</v>
      </c>
      <c r="D29" s="284" t="s">
        <v>527</v>
      </c>
      <c r="E29" s="285" t="s">
        <v>372</v>
      </c>
      <c r="F29" s="286" t="s">
        <v>220</v>
      </c>
      <c r="G29" s="286" t="s">
        <v>217</v>
      </c>
      <c r="H29" s="287">
        <v>7.175</v>
      </c>
      <c r="I29" s="287">
        <v>7.175</v>
      </c>
      <c r="J29" s="288">
        <v>43599.71722924769</v>
      </c>
      <c r="K29" s="284">
        <f>IF($G29&lt;&gt;"",Dashboard!$B$7*SUMIFS(Investment!$F:$F,Investment!$E:$E,$G29),)</f>
        <v>7315.918856</v>
      </c>
      <c r="L29" s="289">
        <f t="shared" si="1"/>
        <v>39141</v>
      </c>
      <c r="M29" s="290">
        <f t="shared" si="2"/>
        <v>-0.0102</v>
      </c>
      <c r="N29" s="291" t="str">
        <f t="shared" si="3"/>
        <v/>
      </c>
      <c r="O29" s="291">
        <f t="shared" si="4"/>
        <v>0.0049</v>
      </c>
      <c r="P29" s="291">
        <f t="shared" si="5"/>
        <v>0</v>
      </c>
      <c r="Q29" s="292" t="str">
        <f t="shared" si="6"/>
        <v/>
      </c>
      <c r="R29" s="284">
        <f>IF($E29&lt;&gt;"",$K29*(($M29+$N29-$O29)*Dashboard!$B$8-$P29),)</f>
        <v>-895.2561511</v>
      </c>
      <c r="S29" s="291">
        <f t="shared" si="7"/>
        <v>-0.1223709788</v>
      </c>
      <c r="T29" s="283" t="s">
        <v>532</v>
      </c>
      <c r="U29" s="283" t="s">
        <v>946</v>
      </c>
      <c r="V29" s="283" t="s">
        <v>947</v>
      </c>
      <c r="W29" s="283" t="s">
        <v>948</v>
      </c>
      <c r="X29" s="283" t="s">
        <v>949</v>
      </c>
      <c r="Y29" s="283" t="s">
        <v>950</v>
      </c>
      <c r="Z29" s="283" t="s">
        <v>951</v>
      </c>
      <c r="AA29" s="283" t="s">
        <v>952</v>
      </c>
      <c r="AB29" s="283" t="s">
        <v>953</v>
      </c>
      <c r="AC29" s="283"/>
      <c r="AD29" s="283" t="s">
        <v>954</v>
      </c>
      <c r="AE29" s="283" t="s">
        <v>690</v>
      </c>
      <c r="AF29" s="283" t="s">
        <v>911</v>
      </c>
      <c r="AG29" s="283" t="s">
        <v>912</v>
      </c>
      <c r="AH29" s="283" t="s">
        <v>545</v>
      </c>
      <c r="AI29" s="283" t="s">
        <v>546</v>
      </c>
      <c r="AJ29" s="283" t="s">
        <v>547</v>
      </c>
      <c r="AK29" s="283" t="s">
        <v>548</v>
      </c>
      <c r="AL29" s="283" t="s">
        <v>955</v>
      </c>
      <c r="AM29" s="283" t="s">
        <v>956</v>
      </c>
    </row>
    <row r="30">
      <c r="A30" s="283" t="s">
        <v>957</v>
      </c>
      <c r="B30" s="283" t="s">
        <v>120</v>
      </c>
      <c r="C30" s="283" t="str">
        <f>VLOOKUP(B30,Market!A:B,2,FALSE)</f>
        <v>TH</v>
      </c>
      <c r="D30" s="284" t="s">
        <v>527</v>
      </c>
      <c r="E30" s="285" t="s">
        <v>958</v>
      </c>
      <c r="F30" s="286" t="s">
        <v>959</v>
      </c>
      <c r="G30" s="286" t="s">
        <v>217</v>
      </c>
      <c r="H30" s="287">
        <v>17.829</v>
      </c>
      <c r="I30" s="287">
        <v>17.829</v>
      </c>
      <c r="J30" s="288">
        <v>43599.06295489584</v>
      </c>
      <c r="K30" s="295">
        <f>IF($G30&lt;&gt;"",Dashboard!$B$7*SUMIFS(Investment!$F:$F,Investment!$E:$E,$G30),)</f>
        <v>7315.918856</v>
      </c>
      <c r="L30" s="289">
        <f t="shared" si="1"/>
        <v>39301</v>
      </c>
      <c r="M30" s="290">
        <f t="shared" si="2"/>
        <v>-0.0069</v>
      </c>
      <c r="N30" s="291" t="str">
        <f t="shared" si="3"/>
        <v/>
      </c>
      <c r="O30" s="291">
        <f t="shared" si="4"/>
        <v>0.0046</v>
      </c>
      <c r="P30" s="291">
        <f t="shared" si="5"/>
        <v>0</v>
      </c>
      <c r="Q30" s="292">
        <f t="shared" si="6"/>
        <v>0.000423</v>
      </c>
      <c r="R30" s="284">
        <f>IF($E30&lt;&gt;"",$K30*(($M30+$N30-$O30)*Dashboard!$B$8-$P30),)</f>
        <v>-681.8175985</v>
      </c>
      <c r="S30" s="291">
        <f t="shared" si="7"/>
        <v>-0.09319644079</v>
      </c>
      <c r="T30" s="283" t="s">
        <v>532</v>
      </c>
      <c r="U30" s="283" t="s">
        <v>961</v>
      </c>
      <c r="V30" s="283" t="s">
        <v>962</v>
      </c>
      <c r="W30" s="283" t="s">
        <v>963</v>
      </c>
      <c r="X30" s="283" t="s">
        <v>964</v>
      </c>
      <c r="Y30" s="283" t="s">
        <v>965</v>
      </c>
      <c r="Z30" s="283" t="s">
        <v>966</v>
      </c>
      <c r="AA30" s="283" t="s">
        <v>967</v>
      </c>
      <c r="AB30" s="283" t="s">
        <v>968</v>
      </c>
      <c r="AC30" s="283"/>
      <c r="AD30" s="283" t="s">
        <v>768</v>
      </c>
      <c r="AE30" s="283" t="s">
        <v>969</v>
      </c>
      <c r="AF30" s="283" t="s">
        <v>970</v>
      </c>
      <c r="AG30" s="283" t="s">
        <v>912</v>
      </c>
      <c r="AH30" s="283" t="s">
        <v>545</v>
      </c>
      <c r="AI30" s="283" t="s">
        <v>546</v>
      </c>
      <c r="AJ30" s="283" t="s">
        <v>547</v>
      </c>
      <c r="AK30" s="283" t="s">
        <v>548</v>
      </c>
      <c r="AL30" s="283" t="s">
        <v>549</v>
      </c>
      <c r="AM30" s="283" t="s">
        <v>971</v>
      </c>
    </row>
    <row r="31">
      <c r="A31" s="296" t="s">
        <v>972</v>
      </c>
      <c r="B31" s="296" t="s">
        <v>112</v>
      </c>
      <c r="C31" s="296" t="str">
        <f>VLOOKUP(B31,Market!A:B,2,FALSE)</f>
        <v>US</v>
      </c>
      <c r="D31" s="297"/>
      <c r="E31" s="298" t="s">
        <v>973</v>
      </c>
      <c r="F31" s="299" t="s">
        <v>974</v>
      </c>
      <c r="G31" s="299" t="s">
        <v>361</v>
      </c>
      <c r="H31" s="300">
        <v>12.735</v>
      </c>
      <c r="I31" s="300">
        <v>12.735</v>
      </c>
      <c r="J31" s="301">
        <v>43599.062954918976</v>
      </c>
      <c r="K31" s="297">
        <f>IF($G31&lt;&gt;"",Dashboard!$B$7*SUMIFS(Investment!$F:$F,Investment!$E:$E,$G31),)</f>
        <v>7315.918856</v>
      </c>
      <c r="L31" s="279">
        <f t="shared" si="1"/>
        <v>41775</v>
      </c>
      <c r="M31" s="302">
        <f t="shared" si="2"/>
        <v>-0.0307</v>
      </c>
      <c r="N31" s="303" t="str">
        <f t="shared" si="3"/>
        <v/>
      </c>
      <c r="O31" s="303">
        <f t="shared" si="4"/>
        <v>0.004</v>
      </c>
      <c r="P31" s="303">
        <f t="shared" si="5"/>
        <v>0.0024</v>
      </c>
      <c r="Q31" s="304" t="str">
        <f t="shared" si="6"/>
        <v/>
      </c>
      <c r="R31" s="297">
        <f>IF($E31&lt;&gt;"",$K31*(($M31+$N31-$O31)*Dashboard!$B$8-$P31),)</f>
        <v>-2074.868698</v>
      </c>
      <c r="S31" s="303">
        <f t="shared" si="7"/>
        <v>-0.28361013</v>
      </c>
      <c r="T31" s="296" t="s">
        <v>532</v>
      </c>
      <c r="U31" s="296" t="s">
        <v>976</v>
      </c>
      <c r="V31" s="296" t="s">
        <v>977</v>
      </c>
      <c r="W31" s="296" t="s">
        <v>978</v>
      </c>
      <c r="X31" s="296" t="s">
        <v>979</v>
      </c>
      <c r="Y31" s="296" t="s">
        <v>607</v>
      </c>
      <c r="Z31" s="296" t="s">
        <v>980</v>
      </c>
      <c r="AA31" s="296" t="s">
        <v>981</v>
      </c>
      <c r="AB31" s="296" t="s">
        <v>982</v>
      </c>
      <c r="AC31" s="296"/>
      <c r="AD31" s="296" t="s">
        <v>983</v>
      </c>
      <c r="AE31" s="296" t="s">
        <v>942</v>
      </c>
      <c r="AF31" s="296" t="s">
        <v>911</v>
      </c>
      <c r="AG31" s="296" t="s">
        <v>912</v>
      </c>
      <c r="AH31" s="296" t="s">
        <v>545</v>
      </c>
      <c r="AI31" s="296" t="s">
        <v>546</v>
      </c>
      <c r="AJ31" s="296" t="s">
        <v>547</v>
      </c>
      <c r="AK31" s="296" t="s">
        <v>548</v>
      </c>
      <c r="AL31" s="296" t="s">
        <v>984</v>
      </c>
      <c r="AM31" s="296" t="s">
        <v>985</v>
      </c>
    </row>
    <row r="32">
      <c r="A32" s="296" t="s">
        <v>986</v>
      </c>
      <c r="B32" s="296" t="s">
        <v>112</v>
      </c>
      <c r="C32" s="296" t="str">
        <f>VLOOKUP(B32,Market!A:B,2,FALSE)</f>
        <v>US</v>
      </c>
      <c r="D32" s="297" t="s">
        <v>527</v>
      </c>
      <c r="E32" s="298" t="s">
        <v>988</v>
      </c>
      <c r="F32" s="299" t="s">
        <v>989</v>
      </c>
      <c r="G32" s="299" t="s">
        <v>361</v>
      </c>
      <c r="H32" s="300">
        <v>12.44</v>
      </c>
      <c r="I32" s="300">
        <v>12.44</v>
      </c>
      <c r="J32" s="301">
        <v>43599.06295494213</v>
      </c>
      <c r="K32" s="297">
        <f>IF($G32&lt;&gt;"",Dashboard!$B$7*SUMIFS(Investment!$F:$F,Investment!$E:$E,$G32),)</f>
        <v>7315.918856</v>
      </c>
      <c r="L32" s="279">
        <f t="shared" si="1"/>
        <v>38380</v>
      </c>
      <c r="M32" s="302">
        <f t="shared" si="2"/>
        <v>-0.0276</v>
      </c>
      <c r="N32" s="303" t="str">
        <f t="shared" si="3"/>
        <v/>
      </c>
      <c r="O32" s="303">
        <f t="shared" si="4"/>
        <v>0.0025</v>
      </c>
      <c r="P32" s="303">
        <f t="shared" si="5"/>
        <v>0.002</v>
      </c>
      <c r="Q32" s="304" t="str">
        <f t="shared" si="6"/>
        <v/>
      </c>
      <c r="R32" s="297">
        <f>IF($E32&lt;&gt;"",$K32*(($M32+$N32-$O32)*Dashboard!$B$8-$P32),)</f>
        <v>-1799.215291</v>
      </c>
      <c r="S32" s="303">
        <f t="shared" si="7"/>
        <v>-0.2459315537</v>
      </c>
      <c r="T32" s="296" t="s">
        <v>532</v>
      </c>
      <c r="U32" s="296" t="s">
        <v>990</v>
      </c>
      <c r="V32" s="296" t="s">
        <v>991</v>
      </c>
      <c r="W32" s="296" t="s">
        <v>992</v>
      </c>
      <c r="X32" s="296" t="s">
        <v>993</v>
      </c>
      <c r="Y32" s="296" t="s">
        <v>994</v>
      </c>
      <c r="Z32" s="296" t="s">
        <v>995</v>
      </c>
      <c r="AA32" s="296" t="s">
        <v>996</v>
      </c>
      <c r="AB32" s="296" t="s">
        <v>997</v>
      </c>
      <c r="AC32" s="296"/>
      <c r="AD32" s="296" t="s">
        <v>611</v>
      </c>
      <c r="AE32" s="296" t="s">
        <v>942</v>
      </c>
      <c r="AF32" s="296" t="s">
        <v>911</v>
      </c>
      <c r="AG32" s="296" t="s">
        <v>912</v>
      </c>
      <c r="AH32" s="296" t="s">
        <v>545</v>
      </c>
      <c r="AI32" s="296" t="s">
        <v>546</v>
      </c>
      <c r="AJ32" s="296" t="s">
        <v>547</v>
      </c>
      <c r="AK32" s="296" t="s">
        <v>548</v>
      </c>
      <c r="AL32" s="296" t="s">
        <v>998</v>
      </c>
      <c r="AM32" s="296" t="s">
        <v>999</v>
      </c>
    </row>
    <row r="33">
      <c r="A33" s="296" t="s">
        <v>1000</v>
      </c>
      <c r="B33" s="296" t="s">
        <v>112</v>
      </c>
      <c r="C33" s="296" t="str">
        <f>VLOOKUP(B33,Market!A:B,2,FALSE)</f>
        <v>US</v>
      </c>
      <c r="D33" s="297" t="s">
        <v>527</v>
      </c>
      <c r="E33" s="298" t="s">
        <v>1001</v>
      </c>
      <c r="F33" s="299" t="s">
        <v>1002</v>
      </c>
      <c r="G33" s="299" t="s">
        <v>361</v>
      </c>
      <c r="H33" s="300">
        <v>125.25</v>
      </c>
      <c r="I33" s="300">
        <v>125.25</v>
      </c>
      <c r="J33" s="301">
        <v>43599.06295496528</v>
      </c>
      <c r="K33" s="297">
        <f>IF($G33&lt;&gt;"",Dashboard!$B$7*SUMIFS(Investment!$F:$F,Investment!$E:$E,$G33),)</f>
        <v>7315.918856</v>
      </c>
      <c r="L33" s="279">
        <f t="shared" si="1"/>
        <v>40065</v>
      </c>
      <c r="M33" s="302">
        <f t="shared" si="2"/>
        <v>-0.029</v>
      </c>
      <c r="N33" s="303" t="str">
        <f t="shared" si="3"/>
        <v/>
      </c>
      <c r="O33" s="303">
        <f t="shared" si="4"/>
        <v>0.0017</v>
      </c>
      <c r="P33" s="303">
        <f t="shared" si="5"/>
        <v>0.002</v>
      </c>
      <c r="Q33" s="304" t="str">
        <f t="shared" si="6"/>
        <v/>
      </c>
      <c r="R33" s="297">
        <f>IF($E33&lt;&gt;"",$K33*(($M33+$N33-$O33)*Dashboard!$B$8-$P33),)</f>
        <v>-1834.788383</v>
      </c>
      <c r="S33" s="303">
        <f t="shared" si="7"/>
        <v>-0.2507939767</v>
      </c>
      <c r="T33" s="296" t="s">
        <v>532</v>
      </c>
      <c r="U33" s="296" t="s">
        <v>1004</v>
      </c>
      <c r="V33" s="296" t="s">
        <v>1005</v>
      </c>
      <c r="W33" s="296" t="s">
        <v>1006</v>
      </c>
      <c r="X33" s="296" t="s">
        <v>1007</v>
      </c>
      <c r="Y33" s="296" t="s">
        <v>1008</v>
      </c>
      <c r="Z33" s="296" t="s">
        <v>1009</v>
      </c>
      <c r="AA33" s="296" t="s">
        <v>1010</v>
      </c>
      <c r="AB33" s="296" t="s">
        <v>1011</v>
      </c>
      <c r="AC33" s="296"/>
      <c r="AD33" s="296" t="s">
        <v>1012</v>
      </c>
      <c r="AE33" s="296" t="s">
        <v>1013</v>
      </c>
      <c r="AF33" s="296" t="s">
        <v>911</v>
      </c>
      <c r="AG33" s="296" t="s">
        <v>912</v>
      </c>
      <c r="AH33" s="296" t="s">
        <v>545</v>
      </c>
      <c r="AI33" s="296" t="s">
        <v>546</v>
      </c>
      <c r="AJ33" s="296" t="s">
        <v>547</v>
      </c>
      <c r="AK33" s="296" t="s">
        <v>548</v>
      </c>
      <c r="AL33" s="296" t="s">
        <v>1014</v>
      </c>
      <c r="AM33" s="296" t="s">
        <v>1015</v>
      </c>
    </row>
    <row r="34">
      <c r="A34" s="296" t="s">
        <v>1016</v>
      </c>
      <c r="B34" s="296" t="s">
        <v>112</v>
      </c>
      <c r="C34" s="296" t="str">
        <f>VLOOKUP(B34,Market!A:B,2,FALSE)</f>
        <v>US</v>
      </c>
      <c r="D34" s="297" t="s">
        <v>527</v>
      </c>
      <c r="E34" s="298" t="s">
        <v>1017</v>
      </c>
      <c r="F34" s="299" t="s">
        <v>1018</v>
      </c>
      <c r="G34" s="299" t="s">
        <v>361</v>
      </c>
      <c r="H34" s="300">
        <v>122.67</v>
      </c>
      <c r="I34" s="300">
        <v>122.67</v>
      </c>
      <c r="J34" s="301">
        <v>43599.062954988425</v>
      </c>
      <c r="K34" s="297">
        <f>IF($G34&lt;&gt;"",Dashboard!$B$7*SUMIFS(Investment!$F:$F,Investment!$E:$E,$G34),)</f>
        <v>7315.918856</v>
      </c>
      <c r="L34" s="279">
        <f t="shared" si="1"/>
        <v>38309</v>
      </c>
      <c r="M34" s="302">
        <f t="shared" si="2"/>
        <v>-0.03</v>
      </c>
      <c r="N34" s="303" t="str">
        <f t="shared" si="3"/>
        <v/>
      </c>
      <c r="O34" s="303">
        <f t="shared" si="4"/>
        <v>0.004</v>
      </c>
      <c r="P34" s="303">
        <f t="shared" si="5"/>
        <v>0.002</v>
      </c>
      <c r="Q34" s="304" t="str">
        <f t="shared" si="6"/>
        <v/>
      </c>
      <c r="R34" s="297">
        <f>IF($E34&lt;&gt;"",$K34*(($M34+$N34-$O34)*Dashboard!$B$8-$P34),)</f>
        <v>-2030.44039</v>
      </c>
      <c r="S34" s="303">
        <f t="shared" si="7"/>
        <v>-0.2775373032</v>
      </c>
      <c r="T34" s="296" t="s">
        <v>532</v>
      </c>
      <c r="U34" s="296" t="s">
        <v>1020</v>
      </c>
      <c r="V34" s="296" t="s">
        <v>1021</v>
      </c>
      <c r="W34" s="296" t="s">
        <v>1022</v>
      </c>
      <c r="X34" s="296" t="s">
        <v>1023</v>
      </c>
      <c r="Y34" s="296" t="s">
        <v>1024</v>
      </c>
      <c r="Z34" s="296" t="s">
        <v>1025</v>
      </c>
      <c r="AA34" s="296" t="s">
        <v>1026</v>
      </c>
      <c r="AB34" s="296" t="s">
        <v>1027</v>
      </c>
      <c r="AC34" s="296"/>
      <c r="AD34" s="296" t="s">
        <v>541</v>
      </c>
      <c r="AE34" s="296" t="s">
        <v>942</v>
      </c>
      <c r="AF34" s="296" t="s">
        <v>911</v>
      </c>
      <c r="AG34" s="296" t="s">
        <v>912</v>
      </c>
      <c r="AH34" s="296" t="s">
        <v>545</v>
      </c>
      <c r="AI34" s="296" t="s">
        <v>546</v>
      </c>
      <c r="AJ34" s="296" t="s">
        <v>547</v>
      </c>
      <c r="AK34" s="296" t="s">
        <v>548</v>
      </c>
      <c r="AL34" s="296" t="s">
        <v>984</v>
      </c>
      <c r="AM34" s="296" t="s">
        <v>985</v>
      </c>
    </row>
    <row r="35">
      <c r="A35" s="296" t="s">
        <v>1028</v>
      </c>
      <c r="B35" s="296" t="s">
        <v>112</v>
      </c>
      <c r="C35" s="296" t="str">
        <f>VLOOKUP(B35,Market!A:B,2,FALSE)</f>
        <v>US</v>
      </c>
      <c r="D35" s="297" t="s">
        <v>527</v>
      </c>
      <c r="E35" s="298" t="s">
        <v>1029</v>
      </c>
      <c r="F35" s="299" t="s">
        <v>1030</v>
      </c>
      <c r="G35" s="299" t="s">
        <v>361</v>
      </c>
      <c r="H35" s="300">
        <v>39.81</v>
      </c>
      <c r="I35" s="300">
        <v>39.81</v>
      </c>
      <c r="J35" s="301">
        <v>43599.14238826389</v>
      </c>
      <c r="K35" s="297">
        <f>IF($G35&lt;&gt;"",Dashboard!$B$7*SUMIFS(Investment!$F:$F,Investment!$E:$E,$G35),)</f>
        <v>7315.918856</v>
      </c>
      <c r="L35" s="279">
        <f t="shared" si="1"/>
        <v>39087</v>
      </c>
      <c r="M35" s="302">
        <f t="shared" si="2"/>
        <v>-0.0413</v>
      </c>
      <c r="N35" s="303">
        <f t="shared" si="3"/>
        <v>0.0145</v>
      </c>
      <c r="O35" s="303">
        <f t="shared" si="4"/>
        <v>0.0078</v>
      </c>
      <c r="P35" s="303">
        <f t="shared" si="5"/>
        <v>0.002</v>
      </c>
      <c r="Q35" s="304">
        <f t="shared" si="6"/>
        <v>0.57908</v>
      </c>
      <c r="R35" s="297">
        <f>IF($E35&lt;&gt;"",$K35*(($M35+$N35-$O35)*Dashboard!$B$8-$P35),)</f>
        <v>-2066.013482</v>
      </c>
      <c r="S35" s="303">
        <f t="shared" si="7"/>
        <v>-0.2823997262</v>
      </c>
      <c r="T35" s="296" t="s">
        <v>532</v>
      </c>
      <c r="U35" s="296" t="s">
        <v>1032</v>
      </c>
      <c r="V35" s="296" t="s">
        <v>1033</v>
      </c>
      <c r="W35" s="296" t="s">
        <v>1034</v>
      </c>
      <c r="X35" s="296" t="s">
        <v>1035</v>
      </c>
      <c r="Y35" s="296" t="s">
        <v>1036</v>
      </c>
      <c r="Z35" s="296" t="s">
        <v>1037</v>
      </c>
      <c r="AA35" s="296" t="s">
        <v>1038</v>
      </c>
      <c r="AB35" s="296" t="s">
        <v>1039</v>
      </c>
      <c r="AC35" s="296"/>
      <c r="AD35" s="296" t="s">
        <v>1040</v>
      </c>
      <c r="AE35" s="296" t="s">
        <v>942</v>
      </c>
      <c r="AF35" s="296" t="s">
        <v>1041</v>
      </c>
      <c r="AG35" s="296" t="s">
        <v>1042</v>
      </c>
      <c r="AH35" s="296" t="s">
        <v>545</v>
      </c>
      <c r="AI35" s="296" t="s">
        <v>546</v>
      </c>
      <c r="AJ35" s="296" t="s">
        <v>547</v>
      </c>
      <c r="AK35" s="296" t="s">
        <v>548</v>
      </c>
      <c r="AL35" s="296" t="s">
        <v>567</v>
      </c>
      <c r="AM35" s="296" t="s">
        <v>1043</v>
      </c>
    </row>
    <row r="36">
      <c r="A36" s="296" t="s">
        <v>318</v>
      </c>
      <c r="B36" s="296" t="s">
        <v>115</v>
      </c>
      <c r="C36" s="296" t="str">
        <f>VLOOKUP(B36,Market!A:B,2,FALSE)</f>
        <v>NA</v>
      </c>
      <c r="D36" s="297" t="s">
        <v>527</v>
      </c>
      <c r="E36" s="298" t="s">
        <v>1044</v>
      </c>
      <c r="F36" s="299" t="s">
        <v>830</v>
      </c>
      <c r="G36" s="299" t="s">
        <v>361</v>
      </c>
      <c r="H36" s="300">
        <v>110.33</v>
      </c>
      <c r="I36" s="300">
        <v>110.33</v>
      </c>
      <c r="J36" s="301">
        <v>43599.717229409725</v>
      </c>
      <c r="K36" s="297">
        <f>IF($G36&lt;&gt;"",Dashboard!$B$7*SUMIFS(Investment!$F:$F,Investment!$E:$E,$G36),)</f>
        <v>7315.918856</v>
      </c>
      <c r="L36" s="279">
        <f t="shared" si="1"/>
        <v>39212</v>
      </c>
      <c r="M36" s="302">
        <f t="shared" si="2"/>
        <v>0.0297</v>
      </c>
      <c r="N36" s="303" t="str">
        <f t="shared" si="3"/>
        <v/>
      </c>
      <c r="O36" s="303">
        <f t="shared" si="4"/>
        <v>0.0039</v>
      </c>
      <c r="P36" s="303">
        <f t="shared" si="5"/>
        <v>0</v>
      </c>
      <c r="Q36" s="304" t="str">
        <f t="shared" si="6"/>
        <v/>
      </c>
      <c r="R36" s="297">
        <f>IF($E36&lt;&gt;"",$K36*(($M36+$N36-$O36)*Dashboard!$B$8-$P36),)</f>
        <v>1529.64296</v>
      </c>
      <c r="S36" s="303">
        <f t="shared" si="7"/>
        <v>0.2090841889</v>
      </c>
      <c r="T36" s="296" t="s">
        <v>532</v>
      </c>
      <c r="U36" s="296" t="s">
        <v>1045</v>
      </c>
      <c r="V36" s="296" t="s">
        <v>1046</v>
      </c>
      <c r="W36" s="296" t="s">
        <v>1047</v>
      </c>
      <c r="X36" s="296" t="s">
        <v>1048</v>
      </c>
      <c r="Y36" s="296" t="s">
        <v>1049</v>
      </c>
      <c r="Z36" s="296" t="s">
        <v>1050</v>
      </c>
      <c r="AA36" s="296" t="s">
        <v>1051</v>
      </c>
      <c r="AB36" s="296" t="s">
        <v>1052</v>
      </c>
      <c r="AC36" s="296"/>
      <c r="AD36" s="296" t="s">
        <v>1053</v>
      </c>
      <c r="AE36" s="296" t="s">
        <v>657</v>
      </c>
      <c r="AF36" s="296" t="s">
        <v>911</v>
      </c>
      <c r="AG36" s="296" t="s">
        <v>912</v>
      </c>
      <c r="AH36" s="296" t="s">
        <v>545</v>
      </c>
      <c r="AI36" s="296" t="s">
        <v>546</v>
      </c>
      <c r="AJ36" s="296" t="s">
        <v>547</v>
      </c>
      <c r="AK36" s="296" t="s">
        <v>548</v>
      </c>
      <c r="AL36" s="296" t="s">
        <v>1055</v>
      </c>
      <c r="AM36" s="296" t="s">
        <v>1056</v>
      </c>
    </row>
    <row r="37">
      <c r="A37" s="296" t="s">
        <v>1057</v>
      </c>
      <c r="B37" s="296" t="s">
        <v>118</v>
      </c>
      <c r="C37" s="296" t="str">
        <f>VLOOKUP(B37,Market!A:B,2,FALSE)</f>
        <v>FP</v>
      </c>
      <c r="D37" s="297" t="s">
        <v>527</v>
      </c>
      <c r="E37" s="298" t="s">
        <v>1058</v>
      </c>
      <c r="F37" s="299" t="s">
        <v>1059</v>
      </c>
      <c r="G37" s="299" t="s">
        <v>361</v>
      </c>
      <c r="H37" s="300">
        <v>108.6</v>
      </c>
      <c r="I37" s="300">
        <v>108.6</v>
      </c>
      <c r="J37" s="301">
        <v>43599.142388333334</v>
      </c>
      <c r="K37" s="297">
        <f>IF($G37&lt;&gt;"",Dashboard!$B$7*SUMIFS(Investment!$F:$F,Investment!$E:$E,$G37),)</f>
        <v>7315.918856</v>
      </c>
      <c r="L37" s="279">
        <f t="shared" si="1"/>
        <v>38663</v>
      </c>
      <c r="M37" s="302">
        <f t="shared" si="2"/>
        <v>0.0294</v>
      </c>
      <c r="N37" s="303" t="str">
        <f t="shared" si="3"/>
        <v/>
      </c>
      <c r="O37" s="303">
        <f t="shared" si="4"/>
        <v>0.004</v>
      </c>
      <c r="P37" s="303">
        <f t="shared" si="5"/>
        <v>0</v>
      </c>
      <c r="Q37" s="304" t="str">
        <f t="shared" si="6"/>
        <v/>
      </c>
      <c r="R37" s="297">
        <f>IF($E37&lt;&gt;"",$K37*(($M37+$N37-$O37)*Dashboard!$B$8-$P37),)</f>
        <v>1505.927565</v>
      </c>
      <c r="S37" s="303">
        <f t="shared" si="7"/>
        <v>0.2058425736</v>
      </c>
      <c r="T37" s="296" t="s">
        <v>532</v>
      </c>
      <c r="U37" s="296" t="s">
        <v>1060</v>
      </c>
      <c r="V37" s="296" t="s">
        <v>1061</v>
      </c>
      <c r="W37" s="296" t="s">
        <v>1062</v>
      </c>
      <c r="X37" s="296" t="s">
        <v>1063</v>
      </c>
      <c r="Y37" s="296" t="s">
        <v>1064</v>
      </c>
      <c r="Z37" s="296" t="s">
        <v>1065</v>
      </c>
      <c r="AA37" s="296" t="s">
        <v>1066</v>
      </c>
      <c r="AB37" s="296" t="s">
        <v>1067</v>
      </c>
      <c r="AC37" s="296"/>
      <c r="AD37" s="296" t="s">
        <v>954</v>
      </c>
      <c r="AE37" s="296" t="s">
        <v>657</v>
      </c>
      <c r="AF37" s="296" t="s">
        <v>911</v>
      </c>
      <c r="AG37" s="296" t="s">
        <v>912</v>
      </c>
      <c r="AH37" s="296" t="s">
        <v>545</v>
      </c>
      <c r="AI37" s="296" t="s">
        <v>546</v>
      </c>
      <c r="AJ37" s="296" t="s">
        <v>547</v>
      </c>
      <c r="AK37" s="296" t="s">
        <v>548</v>
      </c>
      <c r="AL37" s="296" t="s">
        <v>984</v>
      </c>
      <c r="AM37" s="296" t="s">
        <v>985</v>
      </c>
    </row>
    <row r="38">
      <c r="A38" s="296" t="s">
        <v>337</v>
      </c>
      <c r="B38" s="296" t="s">
        <v>126</v>
      </c>
      <c r="C38" s="296" t="str">
        <f>VLOOKUP(B38,Market!A:B,2,FALSE)</f>
        <v>CUR</v>
      </c>
      <c r="D38" s="297" t="s">
        <v>527</v>
      </c>
      <c r="E38" s="298"/>
      <c r="F38" s="299" t="s">
        <v>1068</v>
      </c>
      <c r="G38" s="299"/>
      <c r="H38" s="300">
        <v>1.1236</v>
      </c>
      <c r="I38" s="300">
        <v>1.1236</v>
      </c>
      <c r="J38" s="301">
        <v>43599.142388368055</v>
      </c>
      <c r="K38" s="297" t="str">
        <f>IF($G38&lt;&gt;"",Dashboard!$B$7*SUMIFS(Investment!$F:$F,Investment!$E:$E,$G38),)</f>
        <v/>
      </c>
      <c r="L38" s="279" t="str">
        <f t="shared" si="1"/>
        <v/>
      </c>
      <c r="M38" s="302" t="str">
        <f t="shared" si="2"/>
        <v/>
      </c>
      <c r="N38" s="303" t="str">
        <f t="shared" si="3"/>
        <v/>
      </c>
      <c r="O38" s="303" t="str">
        <f t="shared" si="4"/>
        <v/>
      </c>
      <c r="P38" s="303" t="str">
        <f t="shared" si="5"/>
        <v/>
      </c>
      <c r="Q38" s="304" t="str">
        <f t="shared" si="6"/>
        <v/>
      </c>
      <c r="R38" s="297" t="str">
        <f>IF($E38&lt;&gt;"",$K38*(($M38+$N38-$O38)*Dashboard!$B$8-$P38),)</f>
        <v/>
      </c>
      <c r="S38" s="303" t="str">
        <f t="shared" si="7"/>
        <v/>
      </c>
      <c r="T38" s="296" t="s">
        <v>1070</v>
      </c>
      <c r="U38" s="296"/>
      <c r="V38" s="296"/>
      <c r="W38" s="296"/>
      <c r="X38" s="296"/>
      <c r="Y38" s="296"/>
      <c r="Z38" s="296"/>
      <c r="AA38" s="296"/>
      <c r="AB38" s="296"/>
      <c r="AC38" s="296"/>
      <c r="AD38" s="296" t="s">
        <v>1070</v>
      </c>
      <c r="AE38" s="296"/>
      <c r="AF38" s="296"/>
      <c r="AG38" s="296"/>
      <c r="AH38" s="296"/>
      <c r="AI38" s="296"/>
      <c r="AJ38" s="296"/>
      <c r="AK38" s="296"/>
      <c r="AL38" s="296"/>
      <c r="AM38" s="296"/>
    </row>
  </sheetData>
  <conditionalFormatting sqref="C2:C38">
    <cfRule type="containsBlanks" dxfId="2" priority="1">
      <formula>LEN(TRIM(C2))=0</formula>
    </cfRule>
  </conditionalFormatting>
  <conditionalFormatting sqref="P1:P38">
    <cfRule type="cellIs" dxfId="22" priority="2" operator="equal">
      <formula>0</formula>
    </cfRule>
  </conditionalFormatting>
  <conditionalFormatting sqref="R1:S38">
    <cfRule type="expression" dxfId="6" priority="3">
      <formula>AND(R1&lt;&gt;"",R1=MAXIFS(R:R,$G:$G,$G1))</formula>
    </cfRule>
  </conditionalFormatting>
  <conditionalFormatting sqref="A1:AM38">
    <cfRule type="expression" dxfId="3" priority="4">
      <formula>$C1="US"</formula>
    </cfRule>
  </conditionalFormatting>
  <conditionalFormatting sqref="A1:AM38">
    <cfRule type="expression" dxfId="0" priority="5">
      <formula>VLOOKUP($A1,INDIRECT("Investment!$A:$A"),1,false) &lt;&gt; ""</formula>
    </cfRule>
  </conditionalFormatting>
  <dataValidations>
    <dataValidation type="list" allowBlank="1" sqref="G2:G14 G16:G38">
      <formula1>Investment!$E$2:$E$6</formula1>
    </dataValidation>
    <dataValidation type="list" allowBlank="1" showErrorMessage="1" sqref="G15">
      <formula1>Investment!$E$2:$E$6</formula1>
    </dataValidation>
    <dataValidation type="list" allowBlank="1" showErrorMessage="1" sqref="B2:B38">
      <formula1>Market!$A$2:$A38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5" t="s">
        <v>1074</v>
      </c>
    </row>
    <row r="2">
      <c r="A2" s="306" t="s">
        <v>55</v>
      </c>
      <c r="B2" s="307">
        <f>Dashboard!$B31</f>
        <v>724228.7954</v>
      </c>
    </row>
    <row r="3">
      <c r="A3" s="306" t="s">
        <v>1075</v>
      </c>
      <c r="B3" s="35">
        <f>Dashboard!$B32</f>
        <v>-441755.09</v>
      </c>
    </row>
    <row r="4">
      <c r="A4" s="306" t="s">
        <v>1077</v>
      </c>
      <c r="B4" s="307">
        <f>B2+B3</f>
        <v>282473.7054</v>
      </c>
    </row>
    <row r="5">
      <c r="A5" s="306" t="s">
        <v>1078</v>
      </c>
      <c r="B5" s="35">
        <f>-B3+B4-B4*2</f>
        <v>159281.3846</v>
      </c>
    </row>
    <row r="6">
      <c r="A6" s="308" t="s">
        <v>1074</v>
      </c>
      <c r="B6" s="309">
        <f>B4-B5</f>
        <v>123192.3208</v>
      </c>
    </row>
    <row r="7">
      <c r="A7" s="310" t="s">
        <v>1079</v>
      </c>
      <c r="B7" s="194"/>
    </row>
    <row r="8">
      <c r="A8" s="306" t="s">
        <v>1080</v>
      </c>
      <c r="B8" s="307">
        <f>B2*0.7</f>
        <v>506960.1568</v>
      </c>
    </row>
    <row r="9">
      <c r="A9" s="306" t="s">
        <v>1075</v>
      </c>
      <c r="B9" s="35">
        <f>B3</f>
        <v>-441755.09</v>
      </c>
    </row>
    <row r="10">
      <c r="A10" s="308" t="s">
        <v>1079</v>
      </c>
      <c r="B10" s="309">
        <f>B8+B9</f>
        <v>65205.06678</v>
      </c>
    </row>
    <row r="11">
      <c r="A11" s="311" t="s">
        <v>1081</v>
      </c>
      <c r="B11" s="312">
        <f>B10</f>
        <v>65205.06678</v>
      </c>
    </row>
    <row r="12">
      <c r="A12" s="308" t="s">
        <v>1083</v>
      </c>
      <c r="B12" s="313">
        <v>497000.0</v>
      </c>
    </row>
    <row r="13">
      <c r="A13" s="308" t="s">
        <v>1084</v>
      </c>
      <c r="B13" s="314">
        <f>FLOOR((MIN(MAX($B$6,$B$10)-($B$4-Investment!$AY$7),$B$15*2.3)*(1-Investment!$AH$7)+Dashboard!$B$22+Dashboard!$B$53+Investment!$AT$7)/1000)*1000</f>
        <v>500000</v>
      </c>
    </row>
    <row r="14">
      <c r="A14" s="308" t="s">
        <v>1085</v>
      </c>
      <c r="B14" s="313"/>
    </row>
    <row r="15">
      <c r="A15" s="315" t="s">
        <v>1086</v>
      </c>
      <c r="B15" s="316">
        <f>Dashboard!$B$42+AVERAGEIFS(Evolution!$G:$G,Evolution!$A:$A,"&gt;"&amp;EOMONTH(TODAY(),-1),Evolution!$A:$A,"&lt;="&amp;EOMONTH(TODAY(),0)+1)</f>
        <v>283013.817</v>
      </c>
    </row>
    <row r="16">
      <c r="A16" s="306" t="s">
        <v>1087</v>
      </c>
      <c r="B16" s="29">
        <f>$B$15-Dashboard!$B$42</f>
        <v>58057.28697</v>
      </c>
    </row>
    <row r="17">
      <c r="A17" s="306" t="s">
        <v>1088</v>
      </c>
      <c r="B17" s="29">
        <f>$B$4+$B$15*2.3</f>
        <v>933405.4844</v>
      </c>
    </row>
  </sheetData>
  <mergeCells count="2">
    <mergeCell ref="A7:B7"/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5" width="12.0"/>
    <col customWidth="1" min="6" max="6" width="8.43"/>
    <col customWidth="1" min="7" max="7" width="9.0"/>
    <col customWidth="1" min="8" max="8" width="6.86"/>
    <col customWidth="1" min="9" max="9" width="9.86"/>
    <col customWidth="1" min="10" max="10" width="8.43"/>
    <col customWidth="1" min="11" max="11" width="9.14"/>
    <col customWidth="1" min="12" max="12" width="6.43"/>
  </cols>
  <sheetData>
    <row r="1">
      <c r="A1" s="43" t="s">
        <v>2</v>
      </c>
      <c r="B1" s="3" t="s">
        <v>33</v>
      </c>
      <c r="C1" s="43" t="s">
        <v>1091</v>
      </c>
      <c r="D1" s="3" t="s">
        <v>234</v>
      </c>
      <c r="E1" s="3" t="s">
        <v>357</v>
      </c>
      <c r="F1" s="3" t="s">
        <v>1092</v>
      </c>
      <c r="G1" s="207" t="s">
        <v>1093</v>
      </c>
      <c r="H1" s="3" t="s">
        <v>1092</v>
      </c>
      <c r="I1" s="3" t="s">
        <v>232</v>
      </c>
      <c r="J1" s="3" t="s">
        <v>1094</v>
      </c>
      <c r="K1" s="3" t="s">
        <v>357</v>
      </c>
      <c r="L1" s="3" t="s">
        <v>1092</v>
      </c>
    </row>
    <row r="2">
      <c r="A2" s="125">
        <v>43586.0</v>
      </c>
      <c r="B2" s="132">
        <v>285894.3320000001</v>
      </c>
      <c r="C2" s="132">
        <v>497000.0</v>
      </c>
      <c r="D2" s="132">
        <f t="shared" ref="D2:D3" si="1">B2+C2</f>
        <v>782894.332</v>
      </c>
      <c r="E2" s="132">
        <f t="shared" ref="E2:E3" si="2">B2-B3</f>
        <v>10567.844</v>
      </c>
      <c r="F2" s="317">
        <f t="shared" ref="F2:F3" si="3">C2/B2</f>
        <v>1.738404524</v>
      </c>
      <c r="G2" s="318">
        <f>IF(MONTH(A2)=MONTH(TODAY()),Dashboard!$B$53,MIN(MINIFS(Historic!$G:$G,Historic!$D:$D,"COST",Historic!$B:$B,"",Historic!$A:$A,"&gt;=" &amp; DATE(YEAR($A2),MONTH($A2)+1,1),Historic!$A:$A,"&lt;" &amp; DATE(YEAR($A2),MONTH($A2)+2,1)),MINIFS(Historic!$G:$G,Historic!$D:$D,"COST",Historic!$B:$B,"",Historic!$A:$A,"=XXXXXX")))</f>
        <v>-569.4791667</v>
      </c>
      <c r="H2" s="30">
        <f t="shared" ref="H2:H3" si="4">-G2/C2</f>
        <v>0.001145833333</v>
      </c>
      <c r="I2" s="132">
        <f>SUMIFS(Historic!G:G,Historic!D:D,"=DIVIDEND",Historic!B:B,"&lt;&gt;",Historic!A:A,"&gt;=" &amp; $A2,Historic!A:A,"&lt;=" &amp; EOMONTH($A2,0))</f>
        <v>0</v>
      </c>
      <c r="J2" s="319">
        <f t="shared" ref="J2:J3" si="5">(SUM(OFFSET($I2,0,0,12,1))+SUM(OFFSET($G2,0,0,12,1)))/AVERAGE(OFFSET($B2,0,0,12,1))*$B2/MIN(ROWS(J:J)-ROW()+1,12)</f>
        <v>566.3635734</v>
      </c>
      <c r="K2" s="132">
        <f t="shared" ref="K2:K3" si="6">J2-J3</f>
        <v>-74.51431784</v>
      </c>
      <c r="L2" s="317">
        <f t="shared" ref="L2:L3" si="7">J2/B2*12</f>
        <v>0.02377228969</v>
      </c>
    </row>
    <row r="3">
      <c r="A3" s="125">
        <v>43556.0</v>
      </c>
      <c r="B3" s="132">
        <v>275326.48800000024</v>
      </c>
      <c r="C3" s="132">
        <v>526000.0</v>
      </c>
      <c r="D3" s="132">
        <f t="shared" si="1"/>
        <v>801326.488</v>
      </c>
      <c r="E3" s="132">
        <f t="shared" si="2"/>
        <v>21667.338</v>
      </c>
      <c r="F3" s="317">
        <f t="shared" si="3"/>
        <v>1.91045912</v>
      </c>
      <c r="G3" s="318">
        <f>IF(MONTH(A3)=MONTH(TODAY()),Dashboard!$B$53,MIN(MINIFS(Historic!$G:$G,Historic!$D:$D,"COST",Historic!$B:$B,"",Historic!$A:$A,"&gt;=" &amp; DATE(YEAR($A3),MONTH($A3)+1,1),Historic!$A:$A,"&lt;" &amp; DATE(YEAR($A3),MONTH($A3)+2,1)),MINIFS(Historic!$G:$G,Historic!$D:$D,"COST",Historic!$B:$B,"",Historic!$A:$A,"=XXXXXX")))</f>
        <v>-547.92</v>
      </c>
      <c r="H3" s="30">
        <f t="shared" si="4"/>
        <v>0.001041673004</v>
      </c>
      <c r="I3" s="132">
        <f>SUMIFS(Historic!G:G,Historic!D:D,"=DIVIDEND",Historic!B:B,"&lt;&gt;",Historic!A:A,"&gt;=" &amp; $A3,Historic!A:A,"&lt;=" &amp; EOMONTH($A3,0))</f>
        <v>991.07</v>
      </c>
      <c r="J3" s="319">
        <f t="shared" si="5"/>
        <v>640.8778912</v>
      </c>
      <c r="K3" s="132">
        <f t="shared" si="6"/>
        <v>21.68433557</v>
      </c>
      <c r="L3" s="317">
        <f t="shared" si="7"/>
        <v>0.02793241853</v>
      </c>
    </row>
    <row r="4">
      <c r="A4" s="125">
        <v>43525.0</v>
      </c>
      <c r="B4" s="132">
        <v>253659.15</v>
      </c>
      <c r="C4" s="132">
        <v>575000.0</v>
      </c>
      <c r="D4" s="132">
        <v>828659.15</v>
      </c>
      <c r="E4" s="132">
        <v>6719.778942111559</v>
      </c>
      <c r="F4" s="320">
        <v>2.26682144129238</v>
      </c>
      <c r="G4" s="132">
        <v>-618.92</v>
      </c>
      <c r="H4" s="317">
        <v>0.0010763826086956521</v>
      </c>
      <c r="I4" s="132">
        <v>0.0</v>
      </c>
      <c r="J4" s="319">
        <v>619.1935556644889</v>
      </c>
      <c r="K4" s="132">
        <v>-139.09586653920076</v>
      </c>
      <c r="L4" s="317">
        <v>0.029292547373015593</v>
      </c>
    </row>
    <row r="5">
      <c r="A5" s="125">
        <v>43497.0</v>
      </c>
      <c r="B5" s="132">
        <v>246939.37105788843</v>
      </c>
      <c r="C5" s="132">
        <v>550000.0</v>
      </c>
      <c r="D5" s="132">
        <v>796939.3710578885</v>
      </c>
      <c r="E5" s="132">
        <v>23709.334602581104</v>
      </c>
      <c r="F5" s="317">
        <v>2.2272673557229843</v>
      </c>
      <c r="G5" s="318">
        <v>-534.72</v>
      </c>
      <c r="H5" s="30">
        <v>9.722181818181819E-4</v>
      </c>
      <c r="I5" s="132">
        <v>0.0</v>
      </c>
      <c r="J5" s="319">
        <v>758.2894222036897</v>
      </c>
      <c r="K5" s="132">
        <v>-32.32983794025404</v>
      </c>
      <c r="L5" s="317">
        <f>J5/B5*12</f>
        <v>0.03684901694</v>
      </c>
    </row>
    <row r="6">
      <c r="A6" s="125">
        <v>43466.0</v>
      </c>
      <c r="B6" s="132">
        <v>223230.03645530733</v>
      </c>
      <c r="C6" s="132">
        <v>525000.0</v>
      </c>
      <c r="D6" s="132">
        <v>748230.0364553074</v>
      </c>
      <c r="E6" s="132">
        <v>-13366.508258018759</v>
      </c>
      <c r="F6" s="317">
        <v>2.351834046782095</v>
      </c>
      <c r="G6" s="318">
        <v>-565.1</v>
      </c>
      <c r="H6" s="30">
        <v>0.0010763809523809524</v>
      </c>
      <c r="I6" s="132">
        <v>996.28</v>
      </c>
      <c r="J6" s="319">
        <v>790.6192601439437</v>
      </c>
      <c r="K6" s="132">
        <v>-137.49670388290565</v>
      </c>
      <c r="L6" s="317">
        <v>0.04250069243538736</v>
      </c>
    </row>
    <row r="7">
      <c r="A7" s="125">
        <v>43435.0</v>
      </c>
      <c r="B7" s="132">
        <v>236596.5447133261</v>
      </c>
      <c r="C7" s="132">
        <v>531000.0</v>
      </c>
      <c r="D7" s="132">
        <v>767596.544713326</v>
      </c>
      <c r="E7" s="132">
        <v>6741.804713326099</v>
      </c>
      <c r="F7" s="317">
        <v>2.2443269433346544</v>
      </c>
      <c r="G7" s="318">
        <v>-534.69</v>
      </c>
      <c r="H7" s="30">
        <v>0.0010561179116970077</v>
      </c>
      <c r="I7" s="132">
        <v>4248.66</v>
      </c>
      <c r="J7" s="319">
        <v>928.1159640268494</v>
      </c>
      <c r="K7" s="132">
        <v>470.10887452315757</v>
      </c>
      <c r="L7" s="317">
        <v>0.0470733483526435</v>
      </c>
    </row>
    <row r="8">
      <c r="A8" s="125">
        <v>43405.0</v>
      </c>
      <c r="B8" s="132">
        <v>229854.74</v>
      </c>
      <c r="C8" s="132">
        <v>521000.0</v>
      </c>
      <c r="D8" s="132">
        <v>750854.74</v>
      </c>
      <c r="E8" s="132">
        <v>244.34000000014203</v>
      </c>
      <c r="F8" s="317">
        <v>2.266648927927264</v>
      </c>
      <c r="G8" s="318">
        <v>-579.07</v>
      </c>
      <c r="H8" s="30">
        <v>0.0011114587332053743</v>
      </c>
      <c r="I8" s="132">
        <v>1458.27</v>
      </c>
      <c r="J8" s="319">
        <v>458.0070895036918</v>
      </c>
      <c r="K8" s="132">
        <v>96.96585853904168</v>
      </c>
      <c r="L8" s="317">
        <v>0.023911123494970352</v>
      </c>
    </row>
    <row r="9">
      <c r="A9" s="125">
        <v>43374.0</v>
      </c>
      <c r="B9" s="132">
        <v>229610.39999999985</v>
      </c>
      <c r="C9" s="132">
        <v>515000.0</v>
      </c>
      <c r="D9" s="132">
        <v>744610.3999999999</v>
      </c>
      <c r="E9" s="132">
        <v>-9845.679999999993</v>
      </c>
      <c r="F9" s="317">
        <v>2.2429297627633606</v>
      </c>
      <c r="G9" s="318">
        <v>-555.0</v>
      </c>
      <c r="H9" s="30">
        <v>0.0010776699029126213</v>
      </c>
      <c r="I9" s="132">
        <v>888.6500000000001</v>
      </c>
      <c r="J9" s="319">
        <v>361.04123096465014</v>
      </c>
      <c r="K9" s="132">
        <v>-80.95374132838032</v>
      </c>
      <c r="L9" s="317">
        <v>0.018868896058609735</v>
      </c>
    </row>
    <row r="10">
      <c r="A10" s="125">
        <v>43344.0</v>
      </c>
      <c r="B10" s="132">
        <v>239456.07999999984</v>
      </c>
      <c r="C10" s="132">
        <v>515000.0</v>
      </c>
      <c r="D10" s="132">
        <v>753956.0799999998</v>
      </c>
      <c r="E10" s="132">
        <v>15835.059999999823</v>
      </c>
      <c r="F10" s="317">
        <v>2.148619487966229</v>
      </c>
      <c r="G10" s="318">
        <v>-501.62</v>
      </c>
      <c r="H10" s="30">
        <v>9.740194174757282E-4</v>
      </c>
      <c r="I10" s="132">
        <v>78.54</v>
      </c>
      <c r="J10" s="319">
        <v>441.99497229303046</v>
      </c>
      <c r="K10" s="132">
        <v>-126.05229262694064</v>
      </c>
      <c r="L10" s="317">
        <v>0.02214994777963612</v>
      </c>
    </row>
    <row r="11">
      <c r="A11" s="125">
        <v>43313.0</v>
      </c>
      <c r="B11" s="132">
        <v>223621.02000000002</v>
      </c>
      <c r="C11" s="132">
        <v>481000.0</v>
      </c>
      <c r="D11" s="132">
        <v>704621.02</v>
      </c>
      <c r="E11" s="132">
        <v>106835.76999999999</v>
      </c>
      <c r="F11" s="317">
        <v>2.150960585011194</v>
      </c>
      <c r="G11" s="318">
        <v>-573.99</v>
      </c>
      <c r="H11" s="30">
        <v>0.0011933264033264033</v>
      </c>
      <c r="I11" s="132">
        <v>0.0</v>
      </c>
      <c r="J11" s="319">
        <v>568.0472649199711</v>
      </c>
      <c r="K11" s="132">
        <v>138.47250426253692</v>
      </c>
      <c r="L11" s="317">
        <v>0.030482676355915256</v>
      </c>
    </row>
    <row r="12">
      <c r="A12" s="125">
        <v>43282.0</v>
      </c>
      <c r="B12" s="132">
        <v>116785.25000000003</v>
      </c>
      <c r="C12" s="132">
        <v>445000.0</v>
      </c>
      <c r="D12" s="132">
        <v>561785.25</v>
      </c>
      <c r="E12" s="132">
        <v>25524.030000000028</v>
      </c>
      <c r="F12" s="317">
        <v>3.8104127019465204</v>
      </c>
      <c r="G12" s="318">
        <v>-467.55</v>
      </c>
      <c r="H12" s="30">
        <v>0.0010506741573033708</v>
      </c>
      <c r="I12" s="132">
        <v>428.28999999999996</v>
      </c>
      <c r="J12" s="319">
        <v>429.5747606574342</v>
      </c>
      <c r="K12" s="132">
        <v>36.52613328793797</v>
      </c>
      <c r="L12" s="317">
        <v>0.04413996740075659</v>
      </c>
    </row>
    <row r="13">
      <c r="A13" s="125">
        <v>43252.0</v>
      </c>
      <c r="B13" s="132">
        <v>91261.22</v>
      </c>
      <c r="C13" s="132">
        <v>255000.0</v>
      </c>
      <c r="D13" s="132">
        <v>346261.22</v>
      </c>
      <c r="E13" s="132">
        <v>9847.848985544362</v>
      </c>
      <c r="F13" s="317">
        <v>2.7941769790059787</v>
      </c>
      <c r="G13" s="318">
        <v>-276.19</v>
      </c>
      <c r="H13" s="30">
        <v>0.0010830980392156863</v>
      </c>
      <c r="I13" s="132">
        <v>2488.6299999999997</v>
      </c>
      <c r="J13" s="319">
        <v>393.0486273694962</v>
      </c>
      <c r="K13" s="132">
        <v>257.1660766152361</v>
      </c>
      <c r="L13" s="317">
        <v>0.05168223182238803</v>
      </c>
    </row>
    <row r="14">
      <c r="A14" s="125">
        <v>43221.0</v>
      </c>
      <c r="B14" s="132">
        <v>81413.37101445564</v>
      </c>
      <c r="C14" s="132">
        <v>150000.0</v>
      </c>
      <c r="D14" s="132">
        <v>231413.37101445562</v>
      </c>
      <c r="E14" s="132">
        <v>4460.220037788924</v>
      </c>
      <c r="F14" s="317">
        <v>1.8424491963779048</v>
      </c>
      <c r="G14" s="318">
        <v>-161.46</v>
      </c>
      <c r="H14" s="30">
        <v>0.0010764000000000001</v>
      </c>
      <c r="I14" s="132">
        <v>35.480000000000004</v>
      </c>
      <c r="J14" s="319">
        <v>135.8825507542601</v>
      </c>
      <c r="K14" s="132">
        <v>-10.138712017943533</v>
      </c>
      <c r="L14" s="317">
        <v>0.020028535715117313</v>
      </c>
    </row>
    <row r="15">
      <c r="A15" s="125">
        <v>43191.0</v>
      </c>
      <c r="B15" s="132">
        <v>76953.15097666671</v>
      </c>
      <c r="C15" s="132">
        <v>140000.0</v>
      </c>
      <c r="D15" s="132">
        <v>216953.15097666671</v>
      </c>
      <c r="E15" s="132">
        <v>-2179.3883497333736</v>
      </c>
      <c r="F15" s="317">
        <v>1.819288725973677</v>
      </c>
      <c r="G15" s="318">
        <v>-140.97</v>
      </c>
      <c r="H15" s="30">
        <v>0.0010069285714285714</v>
      </c>
      <c r="I15" s="132">
        <v>377.32</v>
      </c>
      <c r="J15" s="319">
        <v>146.02126277220364</v>
      </c>
      <c r="K15" s="132">
        <v>6.0707784909044165</v>
      </c>
      <c r="L15" s="317">
        <v>0.0227704146097637</v>
      </c>
    </row>
    <row r="16">
      <c r="A16" s="125">
        <v>43160.0</v>
      </c>
      <c r="B16" s="132">
        <v>79132.53932640009</v>
      </c>
      <c r="C16" s="132">
        <v>140000.0</v>
      </c>
      <c r="D16" s="132">
        <v>219132.5393264001</v>
      </c>
      <c r="E16" s="132">
        <v>-4615.138718299975</v>
      </c>
      <c r="F16" s="317">
        <v>1.7691837162275088</v>
      </c>
      <c r="G16" s="318">
        <v>-155.56</v>
      </c>
      <c r="H16" s="30">
        <v>0.0011112142857142857</v>
      </c>
      <c r="I16" s="132">
        <v>417.15999999999997</v>
      </c>
      <c r="J16" s="319">
        <v>139.95048428129923</v>
      </c>
      <c r="K16" s="132">
        <v>18.119791224196646</v>
      </c>
      <c r="L16" s="317">
        <v>0.021222695817311017</v>
      </c>
    </row>
    <row r="17">
      <c r="A17" s="125">
        <v>43132.0</v>
      </c>
      <c r="B17" s="132">
        <v>83747.67804470006</v>
      </c>
      <c r="C17" s="132">
        <v>171000.0</v>
      </c>
      <c r="D17" s="132">
        <v>258747.67804470006</v>
      </c>
      <c r="E17" s="132">
        <v>-6284.354689633285</v>
      </c>
      <c r="F17" s="317">
        <v>2.041847654674429</v>
      </c>
      <c r="G17" s="318">
        <v>-166.36</v>
      </c>
      <c r="H17" s="30">
        <v>9.728654970760235E-4</v>
      </c>
      <c r="I17" s="132">
        <v>30.860000000000003</v>
      </c>
      <c r="J17" s="319">
        <v>121.83069305710258</v>
      </c>
      <c r="K17" s="132">
        <v>-39.103832116894054</v>
      </c>
      <c r="L17" s="317">
        <v>0.01745682209726352</v>
      </c>
    </row>
    <row r="18">
      <c r="A18" s="125">
        <v>43101.0</v>
      </c>
      <c r="B18" s="132">
        <v>90032.03273433335</v>
      </c>
      <c r="C18" s="132">
        <v>180000.0</v>
      </c>
      <c r="D18" s="132">
        <v>270032.03273433336</v>
      </c>
      <c r="E18" s="132">
        <v>31523.020265533356</v>
      </c>
      <c r="F18" s="317">
        <v>1.9992884147261705</v>
      </c>
      <c r="G18" s="318">
        <v>-193.75</v>
      </c>
      <c r="H18" s="30">
        <v>0.0010763888888888889</v>
      </c>
      <c r="I18" s="132">
        <v>856.9799999999999</v>
      </c>
      <c r="J18" s="319">
        <v>160.93452517399663</v>
      </c>
      <c r="K18" s="132">
        <v>93.24753722807925</v>
      </c>
      <c r="L18" s="317">
        <v>0.02145030211398858</v>
      </c>
    </row>
    <row r="19">
      <c r="A19" s="125">
        <v>43070.0</v>
      </c>
      <c r="B19" s="132">
        <v>58509.01246879999</v>
      </c>
      <c r="C19" s="132">
        <v>118000.0</v>
      </c>
      <c r="D19" s="132">
        <v>178013.20538906666</v>
      </c>
      <c r="E19" s="132">
        <v>9407.704996172484</v>
      </c>
      <c r="F19" s="317">
        <v>1.966233918601813</v>
      </c>
      <c r="G19" s="318">
        <v>-127.19</v>
      </c>
      <c r="H19" s="30">
        <v>0.0010778813559322034</v>
      </c>
      <c r="I19" s="132">
        <v>27.43</v>
      </c>
      <c r="J19" s="319">
        <v>67.68698794591738</v>
      </c>
      <c r="K19" s="132">
        <v>-11.047966036943393</v>
      </c>
      <c r="L19" s="317">
        <v>0.013882371639482697</v>
      </c>
    </row>
    <row r="20">
      <c r="A20" s="125">
        <v>43040.0</v>
      </c>
      <c r="B20" s="132">
        <v>49101.30747262751</v>
      </c>
      <c r="C20" s="132">
        <v>98000.0</v>
      </c>
      <c r="D20" s="132">
        <v>147101.3074726275</v>
      </c>
      <c r="E20" s="132">
        <v>-338.16252737249306</v>
      </c>
      <c r="F20" s="317">
        <v>1.9958735325863173</v>
      </c>
      <c r="G20" s="318">
        <v>-102.08333333333333</v>
      </c>
      <c r="H20" s="30">
        <v>0.0010416666666666667</v>
      </c>
      <c r="I20" s="132">
        <v>24.61</v>
      </c>
      <c r="J20" s="319">
        <v>78.73495398286077</v>
      </c>
      <c r="K20" s="132">
        <v>-8.9071236436005</v>
      </c>
      <c r="L20" s="317">
        <v>0.01924224621352573</v>
      </c>
    </row>
    <row r="21">
      <c r="A21" s="125">
        <v>43009.0</v>
      </c>
      <c r="B21" s="132">
        <v>49439.47</v>
      </c>
      <c r="C21" s="132">
        <v>90000.0</v>
      </c>
      <c r="D21" s="132">
        <v>139439.47</v>
      </c>
      <c r="E21" s="132">
        <v>8473.120000000003</v>
      </c>
      <c r="F21" s="317">
        <v>1.8204078644046953</v>
      </c>
      <c r="G21" s="318">
        <v>-93.75</v>
      </c>
      <c r="H21" s="30">
        <v>0.0010416666666666667</v>
      </c>
      <c r="I21" s="132">
        <v>482.99</v>
      </c>
      <c r="J21" s="319">
        <v>87.64207762646127</v>
      </c>
      <c r="K21" s="132">
        <v>44.503593272882185</v>
      </c>
      <c r="L21" s="317">
        <v>0.021272576981863585</v>
      </c>
    </row>
    <row r="22">
      <c r="A22" s="125">
        <v>42979.0</v>
      </c>
      <c r="B22" s="132">
        <v>40966.35</v>
      </c>
      <c r="C22" s="132">
        <v>80000.0</v>
      </c>
      <c r="D22" s="132">
        <v>120966.35</v>
      </c>
      <c r="E22" s="132">
        <v>0.7999999999956344</v>
      </c>
      <c r="F22" s="317">
        <v>1.952822255338833</v>
      </c>
      <c r="G22" s="318">
        <v>-86.11</v>
      </c>
      <c r="H22" s="30">
        <v>0.001076375</v>
      </c>
      <c r="I22" s="132">
        <v>19.49</v>
      </c>
      <c r="J22" s="319">
        <v>43.13848435357909</v>
      </c>
      <c r="K22" s="132">
        <v>-14.211933111262702</v>
      </c>
      <c r="L22" s="317">
        <v>0.012636268846088292</v>
      </c>
    </row>
    <row r="23">
      <c r="A23" s="125">
        <v>42948.0</v>
      </c>
      <c r="B23" s="132">
        <v>40965.55</v>
      </c>
      <c r="C23" s="132">
        <v>73300.0</v>
      </c>
      <c r="D23" s="132">
        <v>114265.55</v>
      </c>
      <c r="E23" s="132">
        <v>4.7700000000040745</v>
      </c>
      <c r="F23" s="317">
        <v>1.7893083334655582</v>
      </c>
      <c r="G23" s="318">
        <v>-78.9</v>
      </c>
      <c r="H23" s="30">
        <v>0.0010763983628922238</v>
      </c>
      <c r="I23" s="132">
        <v>17.77</v>
      </c>
      <c r="J23" s="319">
        <v>57.35041746484179</v>
      </c>
      <c r="K23" s="132">
        <v>-4.704308870973371</v>
      </c>
      <c r="L23" s="317">
        <v>0.016799603803149266</v>
      </c>
    </row>
    <row r="24">
      <c r="A24" s="125">
        <v>42917.0</v>
      </c>
      <c r="B24" s="132">
        <v>40960.78</v>
      </c>
      <c r="C24" s="132">
        <v>66200.0</v>
      </c>
      <c r="D24" s="132">
        <v>107160.78</v>
      </c>
      <c r="E24" s="132">
        <v>-953.9500000000044</v>
      </c>
      <c r="F24" s="317">
        <v>1.6161801606317068</v>
      </c>
      <c r="G24" s="318">
        <v>-66.68</v>
      </c>
      <c r="H24" s="30">
        <v>0.0010072507552870093</v>
      </c>
      <c r="I24" s="132">
        <v>240.32</v>
      </c>
      <c r="J24" s="319">
        <v>62.05472633581516</v>
      </c>
      <c r="K24" s="132">
        <v>12.25053391025552</v>
      </c>
      <c r="L24" s="317">
        <v>0.018179749409795956</v>
      </c>
    </row>
    <row r="25">
      <c r="A25" s="125">
        <v>42887.0</v>
      </c>
      <c r="B25" s="132">
        <v>41914.73</v>
      </c>
      <c r="C25" s="132">
        <v>49800.0</v>
      </c>
      <c r="D25" s="132">
        <v>91714.73000000001</v>
      </c>
      <c r="E25" s="132">
        <v>-1441.7999999999956</v>
      </c>
      <c r="F25" s="317">
        <v>1.1881264653261514</v>
      </c>
      <c r="G25" s="318">
        <v>-55.33</v>
      </c>
      <c r="H25" s="30">
        <v>0.0011110441767068272</v>
      </c>
      <c r="I25" s="132">
        <v>121.37</v>
      </c>
      <c r="J25" s="319">
        <v>49.80419242555964</v>
      </c>
      <c r="K25" s="132">
        <v>-3.2848617191320244</v>
      </c>
      <c r="L25" s="317">
        <v>0.014258717856627388</v>
      </c>
    </row>
    <row r="26">
      <c r="A26" s="125">
        <v>42856.0</v>
      </c>
      <c r="B26" s="132">
        <v>43356.53</v>
      </c>
      <c r="C26" s="132">
        <v>28500.0</v>
      </c>
      <c r="D26" s="132">
        <v>71856.53</v>
      </c>
      <c r="E26" s="132">
        <v>-2225.8199999999997</v>
      </c>
      <c r="F26" s="317">
        <v>0.6573404283045714</v>
      </c>
      <c r="G26" s="318">
        <v>-30.68</v>
      </c>
      <c r="H26" s="30">
        <v>0.0010764912280701753</v>
      </c>
      <c r="I26" s="132">
        <v>0.0</v>
      </c>
      <c r="J26" s="319">
        <v>53.089054144691666</v>
      </c>
      <c r="K26" s="132">
        <v>-5.620712340666387</v>
      </c>
      <c r="L26" s="317">
        <v>0.014693718564107873</v>
      </c>
    </row>
    <row r="27">
      <c r="A27" s="125">
        <v>42826.0</v>
      </c>
      <c r="B27" s="132">
        <v>45582.35</v>
      </c>
      <c r="C27" s="132">
        <v>0.0</v>
      </c>
      <c r="D27" s="132">
        <v>45582.35</v>
      </c>
      <c r="E27" s="132">
        <v>4.5</v>
      </c>
      <c r="F27" s="317">
        <v>0.0</v>
      </c>
      <c r="G27" s="318">
        <v>0.0</v>
      </c>
      <c r="H27" s="30">
        <v>0.0</v>
      </c>
      <c r="I27" s="132">
        <v>91.22</v>
      </c>
      <c r="J27" s="319">
        <v>58.70976648535805</v>
      </c>
      <c r="K27" s="132">
        <v>6.782095430276549</v>
      </c>
      <c r="L27" s="317">
        <v>0.015455920939229695</v>
      </c>
    </row>
    <row r="28">
      <c r="A28" s="125">
        <v>42795.0</v>
      </c>
      <c r="B28" s="132">
        <v>45577.85</v>
      </c>
      <c r="C28" s="132">
        <v>0.0</v>
      </c>
      <c r="D28" s="132">
        <v>45577.85</v>
      </c>
      <c r="E28" s="132">
        <v>620.5800000000017</v>
      </c>
      <c r="F28" s="317">
        <v>0.0</v>
      </c>
      <c r="G28" s="318">
        <v>0.0</v>
      </c>
      <c r="H28" s="30">
        <v>0.0</v>
      </c>
      <c r="I28" s="132">
        <v>4.5</v>
      </c>
      <c r="J28" s="319">
        <v>51.927671055081504</v>
      </c>
      <c r="K28" s="132">
        <v>-5.487421869075156</v>
      </c>
      <c r="L28" s="317">
        <v>0.013671817618886762</v>
      </c>
    </row>
    <row r="29">
      <c r="A29" s="125">
        <v>42767.0</v>
      </c>
      <c r="B29" s="132">
        <v>44957.27</v>
      </c>
      <c r="C29" s="132">
        <v>0.0</v>
      </c>
      <c r="D29" s="132">
        <v>44957.27</v>
      </c>
      <c r="E29" s="132">
        <v>237.6800000000003</v>
      </c>
      <c r="F29" s="317">
        <v>0.0</v>
      </c>
      <c r="G29" s="318">
        <v>0.0</v>
      </c>
      <c r="H29" s="30">
        <v>0.0</v>
      </c>
      <c r="I29" s="132">
        <v>4.87</v>
      </c>
      <c r="J29" s="319">
        <v>57.41509292415666</v>
      </c>
      <c r="K29" s="132">
        <v>-0.2638593294568281</v>
      </c>
      <c r="L29" s="317">
        <v>0.015325243616658216</v>
      </c>
    </row>
    <row r="30">
      <c r="A30" s="125">
        <v>42736.0</v>
      </c>
      <c r="B30" s="132">
        <v>44719.59</v>
      </c>
      <c r="C30" s="132">
        <v>0.0</v>
      </c>
      <c r="D30" s="132">
        <v>44719.59</v>
      </c>
      <c r="E30" s="132">
        <v>121.83000000000175</v>
      </c>
      <c r="F30" s="317">
        <v>0.0</v>
      </c>
      <c r="G30" s="318">
        <v>0.0</v>
      </c>
      <c r="H30" s="30">
        <v>0.0</v>
      </c>
      <c r="I30" s="132">
        <v>237.85999999999999</v>
      </c>
      <c r="J30" s="319">
        <v>57.67895225361349</v>
      </c>
      <c r="K30" s="132">
        <v>4.106952083014058</v>
      </c>
      <c r="L30" s="317">
        <v>0.015477499392176046</v>
      </c>
    </row>
    <row r="31">
      <c r="A31" s="125">
        <v>42705.0</v>
      </c>
      <c r="B31" s="132">
        <v>44597.759999999995</v>
      </c>
      <c r="C31" s="132">
        <v>0.0</v>
      </c>
      <c r="D31" s="132">
        <v>44597.759999999995</v>
      </c>
      <c r="E31" s="132">
        <v>4.569999999999709</v>
      </c>
      <c r="F31" s="317">
        <v>0.0</v>
      </c>
      <c r="G31" s="318">
        <v>0.0</v>
      </c>
      <c r="H31" s="30">
        <v>0.0</v>
      </c>
      <c r="I31" s="132">
        <v>121.82999999999998</v>
      </c>
      <c r="J31" s="319">
        <v>53.57200017059943</v>
      </c>
      <c r="K31" s="132">
        <v>9.640693567282526</v>
      </c>
      <c r="L31" s="317">
        <v>0.01441471504504247</v>
      </c>
    </row>
    <row r="32">
      <c r="A32" s="125">
        <v>42675.0</v>
      </c>
      <c r="B32" s="132">
        <v>44593.189999999995</v>
      </c>
      <c r="C32" s="132">
        <v>0.0</v>
      </c>
      <c r="D32" s="132">
        <v>44593.189999999995</v>
      </c>
      <c r="E32" s="132">
        <v>4.239999999997963</v>
      </c>
      <c r="F32" s="317">
        <v>0.0</v>
      </c>
      <c r="G32" s="318">
        <v>0.0</v>
      </c>
      <c r="H32" s="30">
        <v>0.0</v>
      </c>
      <c r="I32" s="132">
        <v>4.57</v>
      </c>
      <c r="J32" s="319">
        <v>43.931306603316905</v>
      </c>
      <c r="K32" s="132">
        <v>-0.7660338400919784</v>
      </c>
      <c r="L32" s="317">
        <v>0.011821887585073031</v>
      </c>
    </row>
    <row r="33">
      <c r="A33" s="125">
        <v>42644.0</v>
      </c>
      <c r="B33" s="132">
        <v>44588.95</v>
      </c>
      <c r="C33" s="132">
        <v>0.0</v>
      </c>
      <c r="D33" s="132">
        <v>44588.95</v>
      </c>
      <c r="E33" s="132">
        <v>119.66000000000349</v>
      </c>
      <c r="F33" s="317">
        <v>0.0</v>
      </c>
      <c r="G33" s="318">
        <v>0.0</v>
      </c>
      <c r="H33" s="30">
        <v>0.0</v>
      </c>
      <c r="I33" s="132">
        <v>4.4</v>
      </c>
      <c r="J33" s="319">
        <v>44.69734044340888</v>
      </c>
      <c r="K33" s="132">
        <v>-3.8524063853727597</v>
      </c>
      <c r="L33" s="317">
        <v>0.012029170575241326</v>
      </c>
    </row>
    <row r="34">
      <c r="A34" s="125">
        <v>42614.0</v>
      </c>
      <c r="B34" s="132">
        <v>44469.28999999999</v>
      </c>
      <c r="C34" s="132">
        <v>0.0</v>
      </c>
      <c r="D34" s="132">
        <v>44469.28999999999</v>
      </c>
      <c r="E34" s="132">
        <v>4.69999999999709</v>
      </c>
      <c r="F34" s="317">
        <v>0.0</v>
      </c>
      <c r="G34" s="318">
        <v>0.0</v>
      </c>
      <c r="H34" s="30">
        <v>0.0</v>
      </c>
      <c r="I34" s="132">
        <v>119.66</v>
      </c>
      <c r="J34" s="319">
        <v>48.54974682878164</v>
      </c>
      <c r="K34" s="132">
        <v>7.78064693112109</v>
      </c>
      <c r="L34" s="317">
        <v>0.013101107796984836</v>
      </c>
    </row>
    <row r="35">
      <c r="A35" s="125">
        <v>42583.0</v>
      </c>
      <c r="B35" s="132">
        <v>44464.59</v>
      </c>
      <c r="C35" s="132">
        <v>0.0</v>
      </c>
      <c r="D35" s="132">
        <v>44464.59</v>
      </c>
      <c r="E35" s="132">
        <v>4.519999999996799</v>
      </c>
      <c r="F35" s="317">
        <v>0.0</v>
      </c>
      <c r="G35" s="318">
        <v>0.0</v>
      </c>
      <c r="H35" s="30">
        <v>0.0</v>
      </c>
      <c r="I35" s="132">
        <v>4.7</v>
      </c>
      <c r="J35" s="319">
        <v>40.76909989766055</v>
      </c>
      <c r="K35" s="132">
        <v>-4.42355762741861</v>
      </c>
      <c r="L35" s="317">
        <v>0.011002669737243202</v>
      </c>
    </row>
    <row r="36">
      <c r="A36" s="125">
        <v>42552.0</v>
      </c>
      <c r="B36" s="132">
        <v>44460.07</v>
      </c>
      <c r="C36" s="132">
        <v>0.0</v>
      </c>
      <c r="D36" s="132">
        <v>44460.07</v>
      </c>
      <c r="E36" s="132">
        <v>88.37999999999738</v>
      </c>
      <c r="F36" s="317">
        <v>0.0</v>
      </c>
      <c r="G36" s="318">
        <v>0.0</v>
      </c>
      <c r="H36" s="30">
        <v>0.0</v>
      </c>
      <c r="I36" s="132">
        <v>4.69</v>
      </c>
      <c r="J36" s="319">
        <v>45.19265752507916</v>
      </c>
      <c r="K36" s="132">
        <v>-5.566589148035497</v>
      </c>
      <c r="L36" s="317">
        <v>0.01219772911515771</v>
      </c>
    </row>
    <row r="37">
      <c r="A37" s="125">
        <v>42522.0</v>
      </c>
      <c r="B37" s="132">
        <v>44371.69</v>
      </c>
      <c r="C37" s="132">
        <v>0.0</v>
      </c>
      <c r="D37" s="132">
        <v>44371.69</v>
      </c>
      <c r="E37" s="132">
        <v>4.650000000001455</v>
      </c>
      <c r="F37" s="317">
        <v>0.0</v>
      </c>
      <c r="G37" s="318">
        <v>0.0</v>
      </c>
      <c r="H37" s="30">
        <v>0.0</v>
      </c>
      <c r="I37" s="132">
        <v>88.38</v>
      </c>
      <c r="J37" s="319">
        <v>50.75924667311466</v>
      </c>
      <c r="K37" s="132">
        <v>6.11147986274112</v>
      </c>
      <c r="L37" s="317">
        <v>0.013727468123873033</v>
      </c>
    </row>
    <row r="38">
      <c r="A38" s="125">
        <v>42491.0</v>
      </c>
      <c r="B38" s="132">
        <v>44367.04</v>
      </c>
      <c r="C38" s="132">
        <v>0.0</v>
      </c>
      <c r="D38" s="132">
        <v>44367.04</v>
      </c>
      <c r="E38" s="132">
        <v>5225.9100000000035</v>
      </c>
      <c r="F38" s="317">
        <v>0.0</v>
      </c>
      <c r="G38" s="318">
        <v>0.0</v>
      </c>
      <c r="H38" s="30">
        <v>0.0</v>
      </c>
      <c r="I38" s="132">
        <v>4.65</v>
      </c>
      <c r="J38" s="319">
        <v>44.64776681037354</v>
      </c>
      <c r="K38" s="132">
        <v>-1.578017122756627</v>
      </c>
      <c r="L38" s="317">
        <v>0.01207592847583437</v>
      </c>
    </row>
    <row r="39">
      <c r="A39" s="125">
        <v>42461.0</v>
      </c>
      <c r="B39" s="132">
        <v>39141.13</v>
      </c>
      <c r="C39" s="132">
        <v>0.0</v>
      </c>
      <c r="D39" s="132">
        <v>39141.13</v>
      </c>
      <c r="E39" s="132">
        <v>69.26000000000204</v>
      </c>
      <c r="F39" s="317">
        <v>0.0</v>
      </c>
      <c r="G39" s="318">
        <v>0.0</v>
      </c>
      <c r="H39" s="30">
        <v>0.0</v>
      </c>
      <c r="I39" s="132">
        <v>4.08</v>
      </c>
      <c r="J39" s="319">
        <v>46.22578393313017</v>
      </c>
      <c r="K39" s="132">
        <v>-8.59232490555609</v>
      </c>
      <c r="L39" s="317">
        <v>0.014172033541125718</v>
      </c>
    </row>
    <row r="40">
      <c r="A40" s="125">
        <v>42430.0</v>
      </c>
      <c r="B40" s="132">
        <v>39071.869999999995</v>
      </c>
      <c r="C40" s="132">
        <v>0.0</v>
      </c>
      <c r="D40" s="132">
        <v>39071.869999999995</v>
      </c>
      <c r="E40" s="132">
        <v>3.9199999999982538</v>
      </c>
      <c r="F40" s="317">
        <v>0.0</v>
      </c>
      <c r="G40" s="318">
        <v>0.0</v>
      </c>
      <c r="H40" s="30">
        <v>0.0</v>
      </c>
      <c r="I40" s="132">
        <v>69.26</v>
      </c>
      <c r="J40" s="319">
        <v>54.81810883868626</v>
      </c>
      <c r="K40" s="132">
        <v>3.7477144004421987</v>
      </c>
      <c r="L40" s="317">
        <v>0.016836084529976047</v>
      </c>
    </row>
    <row r="41">
      <c r="A41" s="125">
        <v>42401.0</v>
      </c>
      <c r="B41" s="132">
        <v>39067.95</v>
      </c>
      <c r="C41" s="132">
        <v>0.0</v>
      </c>
      <c r="D41" s="132">
        <v>39067.95</v>
      </c>
      <c r="E41" s="132">
        <v>184.76000000000204</v>
      </c>
      <c r="F41" s="317">
        <v>0.0</v>
      </c>
      <c r="G41" s="318">
        <v>0.0</v>
      </c>
      <c r="H41" s="30">
        <v>0.0</v>
      </c>
      <c r="I41" s="132">
        <v>3.92</v>
      </c>
      <c r="J41" s="319">
        <v>51.07039443824406</v>
      </c>
      <c r="K41" s="132">
        <v>-16.171352090613603</v>
      </c>
      <c r="L41" s="317">
        <v>0.015686636571894064</v>
      </c>
    </row>
    <row r="42">
      <c r="A42" s="125">
        <v>42370.0</v>
      </c>
      <c r="B42" s="132">
        <v>38883.189999999995</v>
      </c>
      <c r="C42" s="132">
        <v>0.0</v>
      </c>
      <c r="D42" s="132">
        <v>38883.189999999995</v>
      </c>
      <c r="E42" s="132">
        <v>1478.3099999999977</v>
      </c>
      <c r="F42" s="317">
        <v>0.0</v>
      </c>
      <c r="G42" s="318">
        <v>0.0</v>
      </c>
      <c r="H42" s="30">
        <v>0.0</v>
      </c>
      <c r="I42" s="132">
        <v>184.98</v>
      </c>
      <c r="J42" s="319">
        <v>67.24174652885766</v>
      </c>
      <c r="K42" s="132">
        <v>63.03480878452831</v>
      </c>
      <c r="L42" s="317">
        <v>0.020751922832110532</v>
      </c>
    </row>
    <row r="43">
      <c r="A43" s="125">
        <v>42339.0</v>
      </c>
      <c r="B43" s="132">
        <v>37404.88</v>
      </c>
      <c r="C43" s="132">
        <v>0.0</v>
      </c>
      <c r="D43" s="132">
        <v>37404.88</v>
      </c>
      <c r="E43" s="132">
        <v>1990.5299999999988</v>
      </c>
      <c r="F43" s="317">
        <v>0.0</v>
      </c>
      <c r="G43" s="318">
        <v>0.0</v>
      </c>
      <c r="H43" s="30">
        <v>0.0</v>
      </c>
      <c r="I43" s="132">
        <v>4.1</v>
      </c>
      <c r="J43" s="319">
        <v>4.206937744329348</v>
      </c>
      <c r="K43" s="132">
        <v>0.11693774432934845</v>
      </c>
      <c r="L43" s="317">
        <v>0.0013496434938957745</v>
      </c>
    </row>
    <row r="44">
      <c r="A44" s="125">
        <v>42309.0</v>
      </c>
      <c r="B44" s="132">
        <v>35414.35</v>
      </c>
      <c r="C44" s="132">
        <v>0.0</v>
      </c>
      <c r="D44" s="132">
        <v>35414.35</v>
      </c>
      <c r="E44" s="132">
        <v>35414.35</v>
      </c>
      <c r="F44" s="317">
        <v>0.0</v>
      </c>
      <c r="G44" s="318">
        <v>0.0</v>
      </c>
      <c r="H44" s="30">
        <v>0.0</v>
      </c>
      <c r="I44" s="132">
        <v>4.09</v>
      </c>
      <c r="J44" s="319">
        <v>4.09</v>
      </c>
      <c r="K44" s="132">
        <v>4.09</v>
      </c>
      <c r="L44" s="317">
        <v>0.0013858788880778553</v>
      </c>
    </row>
  </sheetData>
  <conditionalFormatting sqref="G1:G44">
    <cfRule type="expression" dxfId="23" priority="1">
      <formula>H1=""</formula>
    </cfRule>
  </conditionalFormatting>
  <conditionalFormatting sqref="B1:D44 I1:J44">
    <cfRule type="expression" dxfId="20" priority="2">
      <formula>B1=MAX(B:B)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321" t="s">
        <v>2</v>
      </c>
      <c r="B1" s="321" t="s">
        <v>7</v>
      </c>
    </row>
    <row r="2" ht="14.25" customHeight="1">
      <c r="A2" s="322">
        <v>43586.0</v>
      </c>
      <c r="B2" s="323">
        <f>SUMIFS(ExpensesHistoric!C:C,ExpensesHistoric!A:A,"&gt;=" &amp; DATE(YEAR(A2),MONTH(A2),1),ExpensesHistoric!A:A,"&lt;=" &amp; EOMONTH(DATE(YEAR(A2),MONTH(A2),1),0),ExpensesHistoric!D:D,"=X")</f>
        <v>-53</v>
      </c>
    </row>
    <row r="3" ht="14.25" customHeight="1">
      <c r="A3" s="322">
        <v>43556.0</v>
      </c>
      <c r="B3" s="323">
        <v>-160.21</v>
      </c>
    </row>
    <row r="4" ht="14.25" customHeight="1">
      <c r="A4" s="322">
        <v>43525.0</v>
      </c>
      <c r="B4" s="323">
        <v>-117.82</v>
      </c>
    </row>
    <row r="5" ht="14.25" customHeight="1">
      <c r="A5" s="322">
        <v>43497.0</v>
      </c>
      <c r="B5" s="323">
        <v>-55.1</v>
      </c>
    </row>
    <row r="6" ht="14.25" customHeight="1">
      <c r="A6" s="322">
        <v>43466.0</v>
      </c>
      <c r="B6" s="323">
        <v>-36.76</v>
      </c>
    </row>
    <row r="7" ht="14.25" customHeight="1">
      <c r="A7" s="322">
        <v>43435.0</v>
      </c>
      <c r="B7" s="323">
        <v>-325.25</v>
      </c>
    </row>
    <row r="8" ht="14.25" customHeight="1">
      <c r="A8" s="322">
        <v>43405.0</v>
      </c>
      <c r="B8" s="323">
        <v>-133.55</v>
      </c>
    </row>
    <row r="9" ht="14.25" customHeight="1">
      <c r="A9" s="322">
        <v>43374.0</v>
      </c>
      <c r="B9" s="323">
        <v>-141.35</v>
      </c>
    </row>
    <row r="10" ht="14.25" customHeight="1">
      <c r="A10" s="322">
        <v>43344.0</v>
      </c>
      <c r="B10" s="323">
        <v>-71.35</v>
      </c>
    </row>
    <row r="11" ht="14.25" customHeight="1">
      <c r="A11" s="322">
        <v>43313.0</v>
      </c>
      <c r="B11" s="323">
        <v>-707.3299999999995</v>
      </c>
    </row>
    <row r="12" ht="14.25" customHeight="1">
      <c r="A12" s="322">
        <v>43282.0</v>
      </c>
      <c r="B12" s="323">
        <v>0.0</v>
      </c>
    </row>
    <row r="13" ht="14.25" customHeight="1">
      <c r="A13" s="322">
        <v>43252.0</v>
      </c>
      <c r="B13" s="323">
        <v>-894.53</v>
      </c>
    </row>
    <row r="14" ht="14.25" customHeight="1">
      <c r="A14" s="322">
        <v>43221.0</v>
      </c>
      <c r="B14" s="323">
        <v>-119.68</v>
      </c>
    </row>
    <row r="15" ht="14.25" customHeight="1">
      <c r="A15" s="322">
        <v>43191.0</v>
      </c>
      <c r="B15" s="323">
        <v>-5.2</v>
      </c>
    </row>
    <row r="16" ht="14.25" customHeight="1">
      <c r="A16" s="322">
        <v>43160.0</v>
      </c>
      <c r="B16" s="323">
        <v>-119.54</v>
      </c>
    </row>
    <row r="17" ht="14.25" customHeight="1">
      <c r="A17" s="322">
        <v>43132.0</v>
      </c>
      <c r="B17" s="323">
        <v>-11.649999999999999</v>
      </c>
    </row>
    <row r="18" ht="14.25" customHeight="1">
      <c r="A18" s="322">
        <v>43102.0</v>
      </c>
      <c r="B18" s="323">
        <v>-110.64999999999999</v>
      </c>
    </row>
    <row r="19" ht="14.25" customHeight="1">
      <c r="A19" s="322">
        <v>43070.0</v>
      </c>
      <c r="B19" s="323">
        <v>-155.72</v>
      </c>
    </row>
    <row r="20" ht="14.25" customHeight="1">
      <c r="A20" s="322">
        <v>43040.0</v>
      </c>
      <c r="B20" s="323">
        <v>-130.35</v>
      </c>
    </row>
    <row r="21" ht="14.25" customHeight="1">
      <c r="A21" s="322">
        <v>43009.0</v>
      </c>
      <c r="B21" s="323">
        <v>-289.12</v>
      </c>
    </row>
    <row r="22" ht="14.25" customHeight="1">
      <c r="A22" s="322">
        <v>42979.0</v>
      </c>
      <c r="B22" s="323">
        <v>-215.58</v>
      </c>
    </row>
    <row r="23" ht="14.25" customHeight="1">
      <c r="A23" s="322">
        <v>42948.0</v>
      </c>
      <c r="B23" s="323">
        <v>-170.27</v>
      </c>
    </row>
    <row r="24" ht="14.25" customHeight="1">
      <c r="A24" s="322">
        <v>42917.0</v>
      </c>
      <c r="B24" s="323">
        <v>-464.82</v>
      </c>
    </row>
    <row r="25" ht="14.25" customHeight="1">
      <c r="A25" s="322">
        <v>42887.0</v>
      </c>
      <c r="B25" s="323">
        <v>-168.35</v>
      </c>
    </row>
    <row r="26" ht="14.25" customHeight="1">
      <c r="A26" s="322">
        <v>42856.0</v>
      </c>
      <c r="B26" s="323">
        <v>-886.75</v>
      </c>
    </row>
    <row r="27" ht="14.25" customHeight="1">
      <c r="A27" s="322">
        <v>42826.0</v>
      </c>
      <c r="B27" s="323">
        <v>-373.54</v>
      </c>
    </row>
    <row r="28" ht="14.25" customHeight="1">
      <c r="A28" s="322">
        <v>42795.0</v>
      </c>
      <c r="B28" s="323">
        <v>-55.23</v>
      </c>
    </row>
    <row r="29" ht="14.25" customHeight="1">
      <c r="A29" s="322">
        <v>42767.0</v>
      </c>
      <c r="B29" s="323">
        <v>-82.39</v>
      </c>
    </row>
    <row r="30" ht="14.25" customHeight="1">
      <c r="A30" s="322">
        <v>42736.0</v>
      </c>
      <c r="B30" s="323">
        <v>-426.11</v>
      </c>
    </row>
    <row r="31" ht="14.25" customHeight="1">
      <c r="A31" s="322">
        <v>42705.0</v>
      </c>
      <c r="B31" s="323">
        <v>-388.92</v>
      </c>
    </row>
    <row r="32" ht="14.25" customHeight="1">
      <c r="A32" s="322">
        <v>42675.0</v>
      </c>
      <c r="B32" s="323">
        <v>-1063.55</v>
      </c>
    </row>
    <row r="33" ht="14.25" customHeight="1">
      <c r="A33" s="322">
        <v>42644.0</v>
      </c>
      <c r="B33" s="323">
        <v>0.0</v>
      </c>
    </row>
    <row r="34" ht="14.25" customHeight="1">
      <c r="A34" s="322">
        <v>42614.0</v>
      </c>
      <c r="B34" s="323">
        <v>-47.18</v>
      </c>
    </row>
    <row r="35" ht="14.25" customHeight="1">
      <c r="A35" s="322">
        <v>42583.0</v>
      </c>
      <c r="B35" s="323">
        <v>-1438.72</v>
      </c>
    </row>
    <row r="36" ht="14.25" customHeight="1">
      <c r="A36" s="322">
        <v>42552.0</v>
      </c>
      <c r="B36" s="323">
        <v>-208.78</v>
      </c>
    </row>
    <row r="37" ht="14.25" customHeight="1">
      <c r="A37" s="322">
        <v>42522.0</v>
      </c>
      <c r="B37" s="323">
        <v>-83.03</v>
      </c>
    </row>
    <row r="38" ht="14.25" customHeight="1">
      <c r="A38" s="322">
        <v>42491.0</v>
      </c>
      <c r="B38" s="323">
        <v>-20.0</v>
      </c>
    </row>
    <row r="39" ht="14.25" customHeight="1">
      <c r="A39" s="322">
        <v>42461.0</v>
      </c>
      <c r="B39" s="323">
        <v>0.0</v>
      </c>
    </row>
    <row r="40" ht="14.25" customHeight="1">
      <c r="A40" s="322">
        <v>42430.0</v>
      </c>
      <c r="B40" s="323">
        <v>0.0</v>
      </c>
    </row>
    <row r="41" ht="14.25" customHeight="1">
      <c r="A41" s="322">
        <v>42401.0</v>
      </c>
      <c r="B41" s="323">
        <v>-138.03</v>
      </c>
    </row>
    <row r="42" ht="14.25" customHeight="1">
      <c r="A42" s="322">
        <v>42370.0</v>
      </c>
      <c r="B42" s="323">
        <v>-101.8</v>
      </c>
    </row>
    <row r="43" ht="14.25" customHeight="1">
      <c r="A43" s="322">
        <v>42339.0</v>
      </c>
      <c r="B43" s="323">
        <v>-265.03</v>
      </c>
    </row>
    <row r="44" ht="14.25" customHeight="1">
      <c r="A44" s="322">
        <v>42309.0</v>
      </c>
      <c r="B44" s="323">
        <v>-28.97</v>
      </c>
    </row>
    <row r="45" ht="14.25" customHeight="1">
      <c r="A45" s="322">
        <v>42278.0</v>
      </c>
      <c r="B45" s="323">
        <v>-160.67</v>
      </c>
    </row>
    <row r="46" ht="14.25" customHeight="1">
      <c r="A46" s="322">
        <v>42248.0</v>
      </c>
      <c r="B46" s="323">
        <v>-1401.46</v>
      </c>
    </row>
    <row r="47" ht="14.25" customHeight="1">
      <c r="A47" s="322">
        <v>42217.0</v>
      </c>
      <c r="B47" s="323">
        <v>-529.05</v>
      </c>
    </row>
    <row r="48" ht="14.25" customHeight="1">
      <c r="A48" s="322">
        <v>42186.0</v>
      </c>
      <c r="B48" s="323">
        <v>-0.12</v>
      </c>
    </row>
    <row r="49" ht="14.25" customHeight="1">
      <c r="A49" s="322">
        <v>42156.0</v>
      </c>
      <c r="B49" s="323">
        <v>-175.55</v>
      </c>
    </row>
    <row r="50" ht="14.25" customHeight="1">
      <c r="A50" s="322">
        <v>42125.0</v>
      </c>
      <c r="B50" s="323">
        <v>0.0</v>
      </c>
    </row>
    <row r="51" ht="14.25" customHeight="1">
      <c r="A51" s="322">
        <v>42095.0</v>
      </c>
      <c r="B51" s="323">
        <v>-10.14</v>
      </c>
    </row>
    <row r="52" ht="14.25" customHeight="1">
      <c r="A52" s="322">
        <v>42064.0</v>
      </c>
      <c r="B52" s="323">
        <v>-10.35</v>
      </c>
    </row>
    <row r="53" ht="14.25" customHeight="1">
      <c r="A53" s="322">
        <v>42036.0</v>
      </c>
      <c r="B53" s="323">
        <v>-751.92</v>
      </c>
    </row>
    <row r="54" ht="14.25" customHeight="1">
      <c r="A54" s="322">
        <v>42005.0</v>
      </c>
      <c r="B54" s="323">
        <v>-104.37</v>
      </c>
    </row>
    <row r="55" ht="14.25" customHeight="1">
      <c r="A55" s="322">
        <v>41974.0</v>
      </c>
      <c r="B55" s="323">
        <v>-206.93</v>
      </c>
    </row>
    <row r="56" ht="14.25" customHeight="1">
      <c r="A56" s="322">
        <v>41944.0</v>
      </c>
      <c r="B56" s="323">
        <v>-54.97</v>
      </c>
    </row>
    <row r="57" ht="14.25" customHeight="1">
      <c r="A57" s="322">
        <v>41913.0</v>
      </c>
      <c r="B57" s="323">
        <v>-294.43</v>
      </c>
    </row>
    <row r="58" ht="14.25" customHeight="1">
      <c r="A58" s="322">
        <v>41883.0</v>
      </c>
      <c r="B58" s="323">
        <v>-139.02</v>
      </c>
    </row>
    <row r="59" ht="14.25" customHeight="1">
      <c r="A59" s="322">
        <v>41852.0</v>
      </c>
      <c r="B59" s="323">
        <v>-355.78</v>
      </c>
    </row>
    <row r="60" ht="14.25" customHeight="1">
      <c r="A60" s="322">
        <v>41821.0</v>
      </c>
      <c r="B60" s="323">
        <v>-790.07</v>
      </c>
    </row>
    <row r="61" ht="14.25" customHeight="1">
      <c r="A61" s="322">
        <v>41791.0</v>
      </c>
      <c r="B61" s="323">
        <v>0.0</v>
      </c>
    </row>
    <row r="62" ht="14.25" customHeight="1">
      <c r="A62" s="322">
        <v>41760.0</v>
      </c>
      <c r="B62" s="323">
        <v>-91.39</v>
      </c>
    </row>
    <row r="63" ht="14.25" customHeight="1">
      <c r="A63" s="322">
        <v>41730.0</v>
      </c>
      <c r="B63" s="323">
        <v>-92.22</v>
      </c>
    </row>
    <row r="64" ht="14.25" customHeight="1">
      <c r="A64" s="322">
        <v>41699.0</v>
      </c>
      <c r="B64" s="323">
        <v>-1004.53</v>
      </c>
    </row>
    <row r="65" ht="14.25" customHeight="1">
      <c r="A65" s="322">
        <v>41671.0</v>
      </c>
      <c r="B65" s="323">
        <v>-319.47</v>
      </c>
    </row>
    <row r="66" ht="14.25" customHeight="1">
      <c r="A66" s="322">
        <v>41640.0</v>
      </c>
      <c r="B66" s="323">
        <v>-391.4</v>
      </c>
    </row>
    <row r="67" ht="14.25" customHeight="1">
      <c r="A67" s="322">
        <v>41609.0</v>
      </c>
      <c r="B67" s="323">
        <v>-779.28</v>
      </c>
    </row>
    <row r="68" ht="14.25" customHeight="1">
      <c r="A68" s="322">
        <v>41579.0</v>
      </c>
      <c r="B68" s="323">
        <v>-1480.97</v>
      </c>
    </row>
    <row r="69" ht="14.25" customHeight="1">
      <c r="A69" s="322">
        <v>41548.0</v>
      </c>
      <c r="B69" s="323">
        <v>-1153.18</v>
      </c>
    </row>
    <row r="70" ht="14.25" customHeight="1">
      <c r="A70" s="322">
        <v>41518.0</v>
      </c>
      <c r="B70" s="323">
        <v>-763.3</v>
      </c>
    </row>
    <row r="71" ht="14.25" customHeight="1">
      <c r="A71" s="322">
        <v>41487.0</v>
      </c>
      <c r="B71" s="323">
        <v>-196.0</v>
      </c>
    </row>
    <row r="72" ht="14.25" customHeight="1">
      <c r="A72" s="322">
        <v>41456.0</v>
      </c>
      <c r="B72" s="323">
        <v>-11.08</v>
      </c>
    </row>
    <row r="73" ht="14.25" customHeight="1">
      <c r="A73" s="322">
        <v>41426.0</v>
      </c>
      <c r="B73" s="323">
        <v>-4.0</v>
      </c>
    </row>
    <row r="74" ht="14.25" customHeight="1">
      <c r="A74" s="322">
        <v>41395.0</v>
      </c>
      <c r="B74" s="323">
        <v>-656.55</v>
      </c>
    </row>
    <row r="75" ht="14.25" customHeight="1">
      <c r="A75" s="322">
        <v>41365.0</v>
      </c>
      <c r="B75" s="323">
        <v>-3.82</v>
      </c>
    </row>
    <row r="76" ht="14.25" customHeight="1">
      <c r="A76" s="322">
        <v>41334.0</v>
      </c>
      <c r="B76" s="323">
        <v>-368.45</v>
      </c>
    </row>
    <row r="77" ht="14.25" customHeight="1">
      <c r="A77" s="322">
        <v>41306.0</v>
      </c>
      <c r="B77" s="323">
        <v>-39.94</v>
      </c>
    </row>
    <row r="78" ht="14.25" customHeight="1">
      <c r="A78" s="322">
        <v>41275.0</v>
      </c>
      <c r="B78" s="323">
        <v>-218.99</v>
      </c>
    </row>
    <row r="79" ht="14.25" customHeight="1">
      <c r="A79" s="322">
        <v>41244.0</v>
      </c>
      <c r="B79" s="323">
        <v>-253.57</v>
      </c>
    </row>
    <row r="80" ht="14.25" customHeight="1">
      <c r="A80" s="322">
        <v>41214.0</v>
      </c>
      <c r="B80" s="323">
        <v>-107.54</v>
      </c>
    </row>
    <row r="81" ht="14.25" customHeight="1">
      <c r="A81" s="322">
        <v>41183.0</v>
      </c>
      <c r="B81" s="323">
        <v>-251.19</v>
      </c>
    </row>
    <row r="82" ht="14.25" customHeight="1">
      <c r="A82" s="322">
        <v>41153.0</v>
      </c>
      <c r="B82" s="323">
        <v>-4682.23</v>
      </c>
    </row>
    <row r="83" ht="14.25" customHeight="1">
      <c r="A83" s="322">
        <v>41122.0</v>
      </c>
      <c r="B83" s="323">
        <v>-1634.47</v>
      </c>
    </row>
    <row r="84" ht="14.25" customHeight="1">
      <c r="A84" s="322">
        <v>41091.0</v>
      </c>
      <c r="B84" s="323">
        <v>-821.51</v>
      </c>
    </row>
    <row r="85" ht="14.25" customHeight="1">
      <c r="A85" s="322">
        <v>41061.0</v>
      </c>
      <c r="B85" s="323">
        <v>-820.3</v>
      </c>
    </row>
    <row r="86" ht="14.25" customHeight="1">
      <c r="A86" s="322">
        <v>41030.0</v>
      </c>
      <c r="B86" s="323">
        <v>-828.56</v>
      </c>
    </row>
    <row r="87" ht="14.25" customHeight="1">
      <c r="A87" s="322">
        <v>41000.0</v>
      </c>
      <c r="B87" s="323">
        <v>-1189.53</v>
      </c>
    </row>
    <row r="88" ht="14.25" customHeight="1">
      <c r="A88" s="322">
        <v>40969.0</v>
      </c>
      <c r="B88" s="323">
        <v>-1202.78</v>
      </c>
    </row>
    <row r="89" ht="14.25" customHeight="1">
      <c r="A89" s="322">
        <v>40940.0</v>
      </c>
      <c r="B89" s="323">
        <v>-394.05</v>
      </c>
    </row>
    <row r="90" ht="14.25" customHeight="1">
      <c r="A90" s="322">
        <v>40909.0</v>
      </c>
      <c r="B90" s="323">
        <v>-711.03</v>
      </c>
    </row>
    <row r="91" ht="14.25" customHeight="1">
      <c r="A91" s="322">
        <v>40878.0</v>
      </c>
      <c r="B91" s="323">
        <v>-689.47</v>
      </c>
    </row>
    <row r="92" ht="14.25" customHeight="1">
      <c r="A92" s="322">
        <v>40848.0</v>
      </c>
      <c r="B92" s="323">
        <v>-727.7</v>
      </c>
    </row>
    <row r="93" ht="14.25" customHeight="1">
      <c r="A93" s="322">
        <v>40817.0</v>
      </c>
      <c r="B93" s="323">
        <v>-702.17</v>
      </c>
    </row>
    <row r="94" ht="14.25" customHeight="1">
      <c r="A94" s="322">
        <v>40787.0</v>
      </c>
      <c r="B94" s="323">
        <v>-1013.39</v>
      </c>
    </row>
    <row r="95" ht="14.25" customHeight="1">
      <c r="A95" s="322">
        <v>40756.0</v>
      </c>
      <c r="B95" s="323">
        <v>-661.63</v>
      </c>
    </row>
    <row r="96" ht="14.25" customHeight="1">
      <c r="A96" s="322">
        <v>40725.0</v>
      </c>
      <c r="B96" s="323">
        <v>-287.66</v>
      </c>
    </row>
    <row r="97" ht="14.25" customHeight="1">
      <c r="A97" s="322">
        <v>40695.0</v>
      </c>
      <c r="B97" s="323">
        <v>-579.82</v>
      </c>
    </row>
    <row r="98" ht="14.25" customHeight="1">
      <c r="A98" s="322">
        <v>40664.0</v>
      </c>
      <c r="B98" s="323">
        <v>-754.81</v>
      </c>
    </row>
    <row r="99" ht="14.25" customHeight="1">
      <c r="A99" s="322">
        <v>40634.0</v>
      </c>
      <c r="B99" s="323">
        <v>-414.14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13.71"/>
  </cols>
  <sheetData>
    <row r="1" ht="14.25" customHeight="1">
      <c r="A1" s="321" t="s">
        <v>2</v>
      </c>
      <c r="B1" s="321" t="s">
        <v>60</v>
      </c>
      <c r="C1" s="324" t="s">
        <v>64</v>
      </c>
      <c r="D1" s="321" t="s">
        <v>1103</v>
      </c>
    </row>
    <row r="2">
      <c r="A2" s="325">
        <v>43595.0</v>
      </c>
      <c r="B2" s="326" t="s">
        <v>1104</v>
      </c>
      <c r="C2" s="327">
        <v>-340.6</v>
      </c>
      <c r="D2" s="132" t="str">
        <f t="shared" ref="D2:D9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25">
        <v>43593.0</v>
      </c>
      <c r="B3" s="326" t="s">
        <v>1106</v>
      </c>
      <c r="C3" s="327">
        <v>500.0</v>
      </c>
      <c r="D3" s="132" t="str">
        <f t="shared" si="1"/>
        <v/>
      </c>
    </row>
    <row r="4">
      <c r="A4" s="325">
        <v>43592.0</v>
      </c>
      <c r="B4" s="326" t="s">
        <v>1107</v>
      </c>
      <c r="C4" s="327">
        <v>100.0</v>
      </c>
      <c r="D4" s="132" t="str">
        <f t="shared" si="1"/>
        <v/>
      </c>
    </row>
    <row r="5">
      <c r="A5" s="325">
        <v>43591.0</v>
      </c>
      <c r="B5" s="326" t="s">
        <v>1108</v>
      </c>
      <c r="C5" s="327">
        <v>-53.0</v>
      </c>
      <c r="D5" s="132" t="str">
        <f t="shared" si="1"/>
        <v>X</v>
      </c>
    </row>
    <row r="6">
      <c r="A6" s="325">
        <v>43591.0</v>
      </c>
      <c r="B6" s="326" t="s">
        <v>1109</v>
      </c>
      <c r="C6" s="327">
        <v>-903.45</v>
      </c>
      <c r="D6" s="132" t="str">
        <f t="shared" si="1"/>
        <v/>
      </c>
    </row>
    <row r="7">
      <c r="A7" s="325">
        <v>43591.0</v>
      </c>
      <c r="B7" s="326" t="s">
        <v>1110</v>
      </c>
      <c r="C7" s="327">
        <v>207.0</v>
      </c>
      <c r="D7" s="132" t="str">
        <f t="shared" si="1"/>
        <v/>
      </c>
    </row>
    <row r="8">
      <c r="A8" s="325">
        <v>43587.0</v>
      </c>
      <c r="B8" s="326" t="s">
        <v>1111</v>
      </c>
      <c r="C8" s="327">
        <v>502.2</v>
      </c>
      <c r="D8" s="132" t="str">
        <f t="shared" si="1"/>
        <v/>
      </c>
    </row>
    <row r="9">
      <c r="A9" s="325">
        <v>43560.0</v>
      </c>
      <c r="B9" s="326" t="s">
        <v>1112</v>
      </c>
      <c r="C9" s="327">
        <v>-0.15</v>
      </c>
      <c r="D9" s="132" t="str">
        <f t="shared" si="1"/>
        <v>X</v>
      </c>
    </row>
    <row r="10">
      <c r="A10" s="325">
        <v>43560.0</v>
      </c>
      <c r="B10" s="326" t="s">
        <v>1109</v>
      </c>
      <c r="C10" s="327">
        <v>-903.45</v>
      </c>
      <c r="D10" s="132"/>
    </row>
    <row r="11">
      <c r="A11" s="325">
        <v>43558.0</v>
      </c>
      <c r="B11" s="326" t="s">
        <v>1106</v>
      </c>
      <c r="C11" s="327">
        <v>500.0</v>
      </c>
      <c r="D11" s="132"/>
    </row>
    <row r="12">
      <c r="A12" s="325">
        <v>43557.0</v>
      </c>
      <c r="B12" s="326" t="s">
        <v>1113</v>
      </c>
      <c r="C12" s="327">
        <v>-33.0</v>
      </c>
      <c r="D12" s="132" t="s">
        <v>527</v>
      </c>
    </row>
    <row r="13">
      <c r="A13" s="325">
        <v>43557.0</v>
      </c>
      <c r="B13" s="326" t="s">
        <v>1114</v>
      </c>
      <c r="C13" s="327">
        <v>-15.0</v>
      </c>
      <c r="D13" s="132" t="s">
        <v>527</v>
      </c>
    </row>
    <row r="14">
      <c r="A14" s="325">
        <v>43557.0</v>
      </c>
      <c r="B14" s="326" t="s">
        <v>1111</v>
      </c>
      <c r="C14" s="327">
        <v>510.88</v>
      </c>
      <c r="D14" s="132"/>
    </row>
    <row r="15">
      <c r="A15" s="325">
        <v>43556.0</v>
      </c>
      <c r="B15" s="326" t="s">
        <v>1115</v>
      </c>
      <c r="C15" s="327">
        <v>-100.0</v>
      </c>
      <c r="D15" s="132" t="s">
        <v>527</v>
      </c>
    </row>
    <row r="16">
      <c r="A16" s="325">
        <v>43556.0</v>
      </c>
      <c r="B16" s="326" t="s">
        <v>1116</v>
      </c>
      <c r="C16" s="327">
        <v>-12.06</v>
      </c>
      <c r="D16" s="132" t="s">
        <v>527</v>
      </c>
    </row>
    <row r="17">
      <c r="A17" s="325">
        <v>43540.0</v>
      </c>
      <c r="B17" s="326" t="s">
        <v>1117</v>
      </c>
      <c r="C17" s="327">
        <v>-12.91</v>
      </c>
      <c r="D17" s="132" t="s">
        <v>527</v>
      </c>
    </row>
    <row r="18">
      <c r="A18" s="325">
        <v>43539.0</v>
      </c>
      <c r="B18" s="326" t="s">
        <v>1118</v>
      </c>
      <c r="C18" s="327">
        <v>120.0</v>
      </c>
      <c r="D18" s="132"/>
    </row>
    <row r="19">
      <c r="A19" s="325">
        <v>43538.0</v>
      </c>
      <c r="B19" s="326" t="s">
        <v>1119</v>
      </c>
      <c r="C19" s="327">
        <v>-4.91</v>
      </c>
      <c r="D19" s="132" t="s">
        <v>527</v>
      </c>
    </row>
    <row r="20">
      <c r="A20" s="325">
        <v>43538.0</v>
      </c>
      <c r="B20" s="326" t="s">
        <v>1120</v>
      </c>
      <c r="C20" s="327">
        <v>-120.0</v>
      </c>
      <c r="D20" s="132"/>
    </row>
    <row r="21">
      <c r="A21" s="325">
        <v>43538.0</v>
      </c>
      <c r="B21" s="326" t="s">
        <v>1122</v>
      </c>
      <c r="C21" s="327">
        <v>-100.0</v>
      </c>
      <c r="D21" s="132" t="s">
        <v>527</v>
      </c>
    </row>
    <row r="22">
      <c r="A22" s="325">
        <v>43535.0</v>
      </c>
      <c r="B22" s="326" t="s">
        <v>1104</v>
      </c>
      <c r="C22" s="327">
        <v>-340.6</v>
      </c>
      <c r="D22" s="132"/>
    </row>
    <row r="23">
      <c r="A23" s="325">
        <v>43531.0</v>
      </c>
      <c r="B23" s="326" t="s">
        <v>1106</v>
      </c>
      <c r="C23" s="327">
        <v>700.0</v>
      </c>
      <c r="D23" s="132"/>
    </row>
    <row r="24">
      <c r="A24" s="325">
        <v>43530.0</v>
      </c>
      <c r="B24" s="326" t="s">
        <v>1107</v>
      </c>
      <c r="C24" s="327">
        <v>100.0</v>
      </c>
      <c r="D24" s="132"/>
    </row>
    <row r="25">
      <c r="A25" s="125">
        <v>43529.0</v>
      </c>
      <c r="B25" s="330" t="s">
        <v>1111</v>
      </c>
      <c r="C25" s="132">
        <v>461.44</v>
      </c>
      <c r="D25" s="132"/>
    </row>
    <row r="26">
      <c r="A26" s="325">
        <v>43529.0</v>
      </c>
      <c r="B26" s="326" t="s">
        <v>1110</v>
      </c>
      <c r="C26" s="327">
        <v>207.0</v>
      </c>
      <c r="D26" s="132"/>
    </row>
    <row r="27">
      <c r="A27" s="125">
        <v>43529.0</v>
      </c>
      <c r="B27" s="330" t="s">
        <v>1109</v>
      </c>
      <c r="C27" s="132">
        <v>-903.45</v>
      </c>
      <c r="D27" s="132"/>
    </row>
    <row r="28">
      <c r="A28" s="325">
        <v>43517.0</v>
      </c>
      <c r="B28" s="326" t="s">
        <v>1120</v>
      </c>
      <c r="C28" s="327">
        <v>-10.0</v>
      </c>
      <c r="D28" s="132"/>
    </row>
    <row r="29">
      <c r="A29" s="325">
        <v>43511.0</v>
      </c>
      <c r="B29" s="326" t="s">
        <v>1123</v>
      </c>
      <c r="C29" s="327">
        <v>-2.39</v>
      </c>
      <c r="D29" s="132"/>
    </row>
    <row r="30">
      <c r="A30" s="325">
        <v>43510.0</v>
      </c>
      <c r="B30" s="326" t="s">
        <v>1124</v>
      </c>
      <c r="C30" s="327">
        <v>-20.1</v>
      </c>
      <c r="D30" s="132" t="s">
        <v>527</v>
      </c>
    </row>
    <row r="31">
      <c r="A31" s="125">
        <v>43507.0</v>
      </c>
      <c r="B31" s="330" t="s">
        <v>1104</v>
      </c>
      <c r="C31" s="132">
        <v>-340.6</v>
      </c>
      <c r="D31" s="132"/>
    </row>
    <row r="32">
      <c r="A32" s="325">
        <v>43504.0</v>
      </c>
      <c r="B32" s="326" t="s">
        <v>1106</v>
      </c>
      <c r="C32" s="327">
        <v>400.0</v>
      </c>
      <c r="D32" s="132"/>
    </row>
    <row r="33">
      <c r="A33" s="125">
        <v>43502.0</v>
      </c>
      <c r="B33" s="330" t="s">
        <v>1107</v>
      </c>
      <c r="C33" s="132">
        <v>100.0</v>
      </c>
      <c r="D33" s="132"/>
    </row>
    <row r="34">
      <c r="A34" s="325">
        <v>43501.0</v>
      </c>
      <c r="B34" s="326" t="s">
        <v>1125</v>
      </c>
      <c r="C34" s="327">
        <v>-35.0</v>
      </c>
      <c r="D34" s="132" t="s">
        <v>527</v>
      </c>
    </row>
    <row r="35">
      <c r="A35" s="125">
        <v>43501.0</v>
      </c>
      <c r="B35" s="330" t="s">
        <v>1109</v>
      </c>
      <c r="C35" s="132">
        <v>-903.45</v>
      </c>
      <c r="D35" s="132"/>
    </row>
    <row r="36">
      <c r="A36" s="325">
        <v>43501.0</v>
      </c>
      <c r="B36" s="326" t="s">
        <v>1110</v>
      </c>
      <c r="C36" s="327">
        <v>207.0</v>
      </c>
      <c r="D36" s="132"/>
    </row>
    <row r="37">
      <c r="A37" s="325">
        <v>43479.0</v>
      </c>
      <c r="B37" s="326" t="s">
        <v>1126</v>
      </c>
      <c r="C37" s="327">
        <v>-1.76</v>
      </c>
      <c r="D37" s="132" t="s">
        <v>527</v>
      </c>
    </row>
    <row r="38">
      <c r="A38" s="325">
        <v>43475.0</v>
      </c>
      <c r="B38" s="326" t="s">
        <v>1104</v>
      </c>
      <c r="C38" s="327">
        <v>-340.6</v>
      </c>
      <c r="D38" s="132"/>
    </row>
    <row r="39">
      <c r="A39" s="125">
        <v>43474.0</v>
      </c>
      <c r="B39" s="330" t="s">
        <v>1127</v>
      </c>
      <c r="C39" s="132">
        <v>-1000.0</v>
      </c>
      <c r="D39" s="132"/>
    </row>
    <row r="40">
      <c r="A40" s="325">
        <v>43473.0</v>
      </c>
      <c r="B40" s="326" t="s">
        <v>1106</v>
      </c>
      <c r="C40" s="327">
        <v>1500.0</v>
      </c>
      <c r="D40" s="132"/>
    </row>
    <row r="41">
      <c r="A41" s="325">
        <v>43473.0</v>
      </c>
      <c r="B41" s="326" t="s">
        <v>1107</v>
      </c>
      <c r="C41" s="327">
        <v>100.0</v>
      </c>
      <c r="D41" s="132"/>
    </row>
    <row r="42">
      <c r="A42" s="325">
        <v>43472.0</v>
      </c>
      <c r="B42" s="326" t="s">
        <v>1109</v>
      </c>
      <c r="C42" s="327">
        <v>-903.45</v>
      </c>
      <c r="D42" s="132"/>
    </row>
    <row r="43">
      <c r="A43" s="325">
        <v>43470.0</v>
      </c>
      <c r="B43" s="326" t="s">
        <v>1128</v>
      </c>
      <c r="C43" s="327">
        <v>-35.0</v>
      </c>
      <c r="D43" s="132" t="s">
        <v>527</v>
      </c>
    </row>
    <row r="44">
      <c r="A44" s="325">
        <v>43467.0</v>
      </c>
      <c r="B44" s="326" t="s">
        <v>1111</v>
      </c>
      <c r="C44" s="327">
        <v>510.88</v>
      </c>
      <c r="D44" s="132"/>
    </row>
    <row r="45">
      <c r="A45" s="325">
        <v>43454.0</v>
      </c>
      <c r="B45" s="326" t="s">
        <v>1129</v>
      </c>
      <c r="C45" s="327">
        <v>-155.0</v>
      </c>
      <c r="D45" s="132"/>
    </row>
    <row r="46">
      <c r="A46" s="325">
        <v>43453.0</v>
      </c>
      <c r="B46" s="326" t="s">
        <v>1111</v>
      </c>
      <c r="C46" s="327">
        <v>152.45</v>
      </c>
      <c r="D46" s="132"/>
    </row>
    <row r="47">
      <c r="A47" s="325">
        <v>43445.0</v>
      </c>
      <c r="B47" s="326" t="s">
        <v>1118</v>
      </c>
      <c r="C47" s="327">
        <v>55.0</v>
      </c>
      <c r="D47" s="132"/>
    </row>
    <row r="48">
      <c r="A48" s="325">
        <v>43444.0</v>
      </c>
      <c r="B48" s="326" t="s">
        <v>1120</v>
      </c>
      <c r="C48" s="327">
        <v>-55.0</v>
      </c>
      <c r="D48" s="132"/>
    </row>
    <row r="49">
      <c r="A49" s="325">
        <v>43444.0</v>
      </c>
      <c r="B49" s="326" t="s">
        <v>1130</v>
      </c>
      <c r="C49" s="327">
        <v>-1000.0</v>
      </c>
      <c r="D49" s="132"/>
    </row>
    <row r="50">
      <c r="A50" s="325">
        <v>43444.0</v>
      </c>
      <c r="B50" s="326" t="s">
        <v>1104</v>
      </c>
      <c r="C50" s="327">
        <v>-340.6</v>
      </c>
      <c r="D50" s="132"/>
    </row>
    <row r="51">
      <c r="A51" s="325">
        <v>43440.0</v>
      </c>
      <c r="B51" s="326" t="s">
        <v>1131</v>
      </c>
      <c r="C51" s="327">
        <v>-41.85</v>
      </c>
      <c r="D51" s="132" t="s">
        <v>527</v>
      </c>
    </row>
    <row r="52">
      <c r="A52" s="325">
        <v>43440.0</v>
      </c>
      <c r="B52" s="326" t="s">
        <v>1131</v>
      </c>
      <c r="C52" s="327">
        <v>-101.8</v>
      </c>
      <c r="D52" s="132" t="s">
        <v>527</v>
      </c>
    </row>
    <row r="53">
      <c r="A53" s="325">
        <v>43440.0</v>
      </c>
      <c r="B53" s="326" t="s">
        <v>1107</v>
      </c>
      <c r="C53" s="327">
        <v>100.0</v>
      </c>
      <c r="D53" s="132"/>
    </row>
    <row r="54">
      <c r="A54" s="325">
        <v>43440.0</v>
      </c>
      <c r="B54" s="326" t="s">
        <v>1132</v>
      </c>
      <c r="C54" s="327">
        <v>140.0</v>
      </c>
      <c r="D54" s="132"/>
    </row>
    <row r="55">
      <c r="A55" s="325">
        <v>43439.0</v>
      </c>
      <c r="B55" s="326" t="s">
        <v>1109</v>
      </c>
      <c r="C55" s="327">
        <v>-903.45</v>
      </c>
      <c r="D55" s="132"/>
    </row>
    <row r="56">
      <c r="A56" s="325">
        <v>43439.0</v>
      </c>
      <c r="B56" s="326" t="s">
        <v>1110</v>
      </c>
      <c r="C56" s="327">
        <v>207.0</v>
      </c>
      <c r="D56" s="132"/>
    </row>
    <row r="57">
      <c r="A57" s="325">
        <v>43438.0</v>
      </c>
      <c r="B57" s="326" t="s">
        <v>1111</v>
      </c>
      <c r="C57" s="327">
        <v>494.4</v>
      </c>
      <c r="D57" s="132"/>
    </row>
    <row r="58">
      <c r="A58" s="325">
        <v>43437.0</v>
      </c>
      <c r="B58" s="326" t="s">
        <v>1133</v>
      </c>
      <c r="C58" s="327">
        <v>-76.0</v>
      </c>
      <c r="D58" s="132" t="s">
        <v>527</v>
      </c>
    </row>
    <row r="59">
      <c r="A59" s="325">
        <v>43437.0</v>
      </c>
      <c r="B59" s="326" t="s">
        <v>1134</v>
      </c>
      <c r="C59" s="327">
        <v>-23.6</v>
      </c>
      <c r="D59" s="132" t="s">
        <v>527</v>
      </c>
    </row>
    <row r="60">
      <c r="A60" s="325">
        <v>43437.0</v>
      </c>
      <c r="B60" s="326" t="s">
        <v>1134</v>
      </c>
      <c r="C60" s="327">
        <v>-82.0</v>
      </c>
      <c r="D60" s="132" t="s">
        <v>527</v>
      </c>
    </row>
    <row r="61">
      <c r="A61" s="325">
        <v>43437.0</v>
      </c>
      <c r="B61" s="326" t="s">
        <v>1135</v>
      </c>
      <c r="C61" s="327">
        <v>185.0</v>
      </c>
      <c r="D61" s="132"/>
    </row>
    <row r="62">
      <c r="A62" s="325">
        <v>43430.0</v>
      </c>
      <c r="B62" s="326" t="s">
        <v>1136</v>
      </c>
      <c r="C62" s="327">
        <v>-34.0</v>
      </c>
      <c r="D62" s="132"/>
    </row>
    <row r="63">
      <c r="A63" s="325">
        <v>43430.0</v>
      </c>
      <c r="B63" s="326" t="s">
        <v>1137</v>
      </c>
      <c r="C63" s="327">
        <v>33.12</v>
      </c>
      <c r="D63" s="132"/>
    </row>
    <row r="64">
      <c r="A64" s="325">
        <v>43417.0</v>
      </c>
      <c r="B64" s="326" t="s">
        <v>1138</v>
      </c>
      <c r="C64" s="327">
        <v>-7.45</v>
      </c>
      <c r="D64" s="132" t="s">
        <v>527</v>
      </c>
    </row>
    <row r="65">
      <c r="A65" s="325">
        <v>43416.0</v>
      </c>
      <c r="B65" s="326" t="s">
        <v>1139</v>
      </c>
      <c r="C65" s="327">
        <v>-16.1</v>
      </c>
      <c r="D65" s="132" t="s">
        <v>527</v>
      </c>
    </row>
    <row r="66">
      <c r="A66" s="325">
        <v>43416.0</v>
      </c>
      <c r="B66" s="326" t="s">
        <v>1140</v>
      </c>
      <c r="C66" s="327">
        <v>-77.0</v>
      </c>
      <c r="D66" s="132" t="s">
        <v>527</v>
      </c>
    </row>
    <row r="67">
      <c r="A67" s="325">
        <v>43416.0</v>
      </c>
      <c r="B67" s="326" t="s">
        <v>1141</v>
      </c>
      <c r="C67" s="327">
        <v>-33.0</v>
      </c>
      <c r="D67" s="132" t="s">
        <v>527</v>
      </c>
    </row>
    <row r="68">
      <c r="A68" s="325">
        <v>43416.0</v>
      </c>
      <c r="B68" s="326" t="s">
        <v>1104</v>
      </c>
      <c r="C68" s="327">
        <v>-340.6</v>
      </c>
      <c r="D68" s="132"/>
    </row>
    <row r="69">
      <c r="A69" s="325">
        <v>43411.0</v>
      </c>
      <c r="B69" s="326" t="s">
        <v>1142</v>
      </c>
      <c r="C69" s="327">
        <v>-45.0</v>
      </c>
      <c r="D69" s="132"/>
    </row>
    <row r="70">
      <c r="A70" s="325">
        <v>43410.0</v>
      </c>
      <c r="B70" s="326" t="s">
        <v>1107</v>
      </c>
      <c r="C70" s="327">
        <v>100.0</v>
      </c>
      <c r="D70" s="132"/>
    </row>
    <row r="71">
      <c r="A71" s="325">
        <v>43410.0</v>
      </c>
      <c r="B71" s="326" t="s">
        <v>1143</v>
      </c>
      <c r="C71" s="327">
        <v>45.0</v>
      </c>
      <c r="D71" s="132"/>
    </row>
    <row r="72">
      <c r="A72" s="325">
        <v>43409.0</v>
      </c>
      <c r="B72" s="326" t="s">
        <v>1109</v>
      </c>
      <c r="C72" s="327">
        <v>-903.45</v>
      </c>
      <c r="D72" s="132"/>
    </row>
    <row r="73">
      <c r="A73" s="325">
        <v>43398.0</v>
      </c>
      <c r="B73" s="326" t="s">
        <v>1144</v>
      </c>
      <c r="C73" s="327">
        <v>-0.66</v>
      </c>
      <c r="D73" s="132" t="s">
        <v>527</v>
      </c>
    </row>
    <row r="74">
      <c r="A74" s="325">
        <v>43398.0</v>
      </c>
      <c r="B74" s="326" t="s">
        <v>1145</v>
      </c>
      <c r="C74" s="327">
        <v>-922.0</v>
      </c>
      <c r="D74" s="132"/>
    </row>
    <row r="75">
      <c r="A75" s="325">
        <v>43397.0</v>
      </c>
      <c r="B75" s="326" t="s">
        <v>1146</v>
      </c>
      <c r="C75" s="327">
        <v>-6060.0</v>
      </c>
      <c r="D75" s="132"/>
    </row>
    <row r="76">
      <c r="A76" s="325">
        <v>43397.0</v>
      </c>
      <c r="B76" s="326" t="s">
        <v>1147</v>
      </c>
      <c r="C76" s="327">
        <v>6.5</v>
      </c>
      <c r="D76" s="132"/>
    </row>
    <row r="77">
      <c r="A77" s="325">
        <v>43396.0</v>
      </c>
      <c r="B77" s="326" t="s">
        <v>1126</v>
      </c>
      <c r="C77" s="327">
        <v>-0.8</v>
      </c>
      <c r="D77" s="132" t="s">
        <v>527</v>
      </c>
    </row>
    <row r="78">
      <c r="A78" s="325">
        <v>43395.0</v>
      </c>
      <c r="B78" s="326" t="s">
        <v>1118</v>
      </c>
      <c r="C78" s="327">
        <v>9.2</v>
      </c>
      <c r="D78" s="132"/>
    </row>
    <row r="79">
      <c r="A79" s="325">
        <v>43395.0</v>
      </c>
      <c r="B79" s="326" t="s">
        <v>1148</v>
      </c>
      <c r="C79" s="327">
        <v>7000.0</v>
      </c>
      <c r="D79" s="132"/>
    </row>
    <row r="80">
      <c r="A80" s="325">
        <v>43383.0</v>
      </c>
      <c r="B80" s="326" t="s">
        <v>1149</v>
      </c>
      <c r="C80" s="327">
        <v>-134.17</v>
      </c>
      <c r="D80" s="132" t="s">
        <v>527</v>
      </c>
    </row>
    <row r="81">
      <c r="A81" s="325">
        <v>43383.0</v>
      </c>
      <c r="B81" s="326" t="s">
        <v>1104</v>
      </c>
      <c r="C81" s="327">
        <v>-340.6</v>
      </c>
      <c r="D81" s="132"/>
    </row>
    <row r="82">
      <c r="A82" s="325">
        <v>43381.0</v>
      </c>
      <c r="B82" s="326" t="s">
        <v>1107</v>
      </c>
      <c r="C82" s="327">
        <v>100.0</v>
      </c>
      <c r="D82" s="132"/>
    </row>
    <row r="83">
      <c r="A83" s="325">
        <v>43378.0</v>
      </c>
      <c r="B83" s="326" t="s">
        <v>1150</v>
      </c>
      <c r="C83" s="327">
        <v>-0.72</v>
      </c>
      <c r="D83" s="132" t="s">
        <v>527</v>
      </c>
    </row>
    <row r="84">
      <c r="A84" s="325">
        <v>43378.0</v>
      </c>
      <c r="B84" s="326" t="s">
        <v>1151</v>
      </c>
      <c r="C84" s="327">
        <v>-890.0</v>
      </c>
      <c r="D84" s="132"/>
    </row>
    <row r="85">
      <c r="A85" s="325">
        <v>43378.0</v>
      </c>
      <c r="B85" s="326" t="s">
        <v>1152</v>
      </c>
      <c r="C85" s="327">
        <v>800.0</v>
      </c>
      <c r="D85" s="132"/>
    </row>
    <row r="86">
      <c r="A86" s="325">
        <v>43377.0</v>
      </c>
      <c r="B86" s="326" t="s">
        <v>1153</v>
      </c>
      <c r="C86" s="327">
        <v>-1.0</v>
      </c>
      <c r="D86" s="132"/>
    </row>
    <row r="87">
      <c r="A87" s="325">
        <v>43377.0</v>
      </c>
      <c r="B87" s="326" t="s">
        <v>1154</v>
      </c>
      <c r="C87" s="327">
        <v>-5.0</v>
      </c>
      <c r="D87" s="132" t="s">
        <v>527</v>
      </c>
    </row>
    <row r="88">
      <c r="A88" s="325">
        <v>43377.0</v>
      </c>
      <c r="B88" s="326" t="s">
        <v>1153</v>
      </c>
      <c r="C88" s="327">
        <v>1.0</v>
      </c>
      <c r="D88" s="132"/>
    </row>
    <row r="89">
      <c r="A89" s="325">
        <v>43375.0</v>
      </c>
      <c r="B89" s="326" t="s">
        <v>1111</v>
      </c>
      <c r="C89" s="327">
        <v>494.4</v>
      </c>
      <c r="D89" s="132"/>
    </row>
    <row r="90">
      <c r="A90" s="325">
        <v>43356.0</v>
      </c>
      <c r="B90" s="326" t="s">
        <v>1146</v>
      </c>
      <c r="C90" s="327">
        <v>-440.0</v>
      </c>
      <c r="D90" s="132"/>
    </row>
    <row r="91">
      <c r="A91" s="325">
        <v>43355.0</v>
      </c>
      <c r="B91" s="326" t="s">
        <v>1106</v>
      </c>
      <c r="C91" s="327">
        <v>500.0</v>
      </c>
      <c r="D91" s="132"/>
    </row>
    <row r="92">
      <c r="A92" s="325">
        <v>43354.0</v>
      </c>
      <c r="B92" s="326" t="s">
        <v>1155</v>
      </c>
      <c r="C92" s="327">
        <v>350.0</v>
      </c>
      <c r="D92" s="132"/>
    </row>
    <row r="93">
      <c r="A93" s="325">
        <v>43354.0</v>
      </c>
      <c r="B93" s="326" t="s">
        <v>1118</v>
      </c>
      <c r="C93" s="327">
        <v>-350.0</v>
      </c>
      <c r="D93" s="132"/>
    </row>
    <row r="94">
      <c r="A94" s="325">
        <v>43353.0</v>
      </c>
      <c r="B94" s="326" t="s">
        <v>1104</v>
      </c>
      <c r="C94" s="327">
        <v>-340.6</v>
      </c>
      <c r="D94" s="132"/>
    </row>
    <row r="95">
      <c r="A95" s="325">
        <v>43351.0</v>
      </c>
      <c r="B95" s="326" t="s">
        <v>1156</v>
      </c>
      <c r="C95" s="327">
        <v>2.01</v>
      </c>
      <c r="D95" s="132"/>
    </row>
    <row r="96">
      <c r="A96" s="325">
        <v>43351.0</v>
      </c>
      <c r="B96" s="326" t="s">
        <v>1156</v>
      </c>
      <c r="C96" s="327">
        <v>3.05</v>
      </c>
      <c r="D96" s="132"/>
    </row>
    <row r="97">
      <c r="A97" s="325">
        <v>43349.0</v>
      </c>
      <c r="B97" s="326" t="s">
        <v>1107</v>
      </c>
      <c r="C97" s="327">
        <v>100.0</v>
      </c>
      <c r="D97" s="132"/>
    </row>
    <row r="98">
      <c r="A98" s="325">
        <v>43348.0</v>
      </c>
      <c r="B98" s="326" t="s">
        <v>1151</v>
      </c>
      <c r="C98" s="327">
        <v>-890.0</v>
      </c>
      <c r="D98" s="132"/>
    </row>
    <row r="99">
      <c r="A99" s="325">
        <v>43348.0</v>
      </c>
      <c r="B99" s="326" t="s">
        <v>1110</v>
      </c>
      <c r="C99" s="327">
        <v>207.0</v>
      </c>
      <c r="D99" s="132"/>
    </row>
    <row r="100">
      <c r="A100" s="325">
        <v>43347.0</v>
      </c>
      <c r="B100" s="326" t="s">
        <v>1156</v>
      </c>
      <c r="C100" s="327">
        <v>-2.02</v>
      </c>
      <c r="D100" s="132" t="s">
        <v>527</v>
      </c>
    </row>
    <row r="101">
      <c r="A101" s="325">
        <v>43347.0</v>
      </c>
      <c r="B101" s="326" t="s">
        <v>1156</v>
      </c>
      <c r="C101" s="327">
        <v>-3.07</v>
      </c>
      <c r="D101" s="132" t="s">
        <v>527</v>
      </c>
    </row>
    <row r="102">
      <c r="A102" s="325">
        <v>43347.0</v>
      </c>
      <c r="B102" s="326" t="s">
        <v>1158</v>
      </c>
      <c r="C102" s="327">
        <v>0.91</v>
      </c>
      <c r="D102" s="132"/>
    </row>
    <row r="103">
      <c r="A103" s="325">
        <v>43347.0</v>
      </c>
      <c r="B103" s="326" t="s">
        <v>1156</v>
      </c>
      <c r="C103" s="327">
        <v>2.03</v>
      </c>
      <c r="D103" s="132"/>
    </row>
    <row r="104">
      <c r="A104" s="325">
        <v>43347.0</v>
      </c>
      <c r="B104" s="326" t="s">
        <v>1159</v>
      </c>
      <c r="C104" s="327">
        <v>8.1</v>
      </c>
      <c r="D104" s="132"/>
    </row>
    <row r="105">
      <c r="A105" s="325">
        <v>43346.0</v>
      </c>
      <c r="B105" s="326" t="s">
        <v>1111</v>
      </c>
      <c r="C105" s="327">
        <v>510.88</v>
      </c>
      <c r="D105" s="132"/>
    </row>
    <row r="106">
      <c r="A106" s="325">
        <v>43346.0</v>
      </c>
      <c r="B106" s="326" t="s">
        <v>1160</v>
      </c>
      <c r="C106" s="327">
        <v>-26.34</v>
      </c>
      <c r="D106" s="132" t="s">
        <v>527</v>
      </c>
    </row>
    <row r="107">
      <c r="A107" s="325">
        <v>43346.0</v>
      </c>
      <c r="B107" s="326" t="s">
        <v>1161</v>
      </c>
      <c r="C107" s="327">
        <v>-1.67</v>
      </c>
      <c r="D107" s="132" t="s">
        <v>527</v>
      </c>
    </row>
    <row r="108">
      <c r="A108" s="325">
        <v>43346.0</v>
      </c>
      <c r="B108" s="326" t="s">
        <v>1162</v>
      </c>
      <c r="C108" s="327">
        <v>-38.25</v>
      </c>
      <c r="D108" s="132" t="s">
        <v>527</v>
      </c>
    </row>
    <row r="109">
      <c r="A109" s="325">
        <v>43346.0</v>
      </c>
      <c r="B109" s="326" t="s">
        <v>1163</v>
      </c>
      <c r="C109" s="327">
        <v>30.53</v>
      </c>
      <c r="D109" s="132"/>
    </row>
    <row r="110">
      <c r="A110" s="325">
        <v>43346.0</v>
      </c>
      <c r="B110" s="326" t="s">
        <v>1164</v>
      </c>
      <c r="C110" s="327">
        <v>13.53</v>
      </c>
      <c r="D110" s="132"/>
    </row>
    <row r="111">
      <c r="A111" s="325">
        <v>43346.0</v>
      </c>
      <c r="B111" s="326" t="s">
        <v>1159</v>
      </c>
      <c r="C111" s="327">
        <v>1.01</v>
      </c>
      <c r="D111" s="132"/>
    </row>
    <row r="112">
      <c r="A112" s="325">
        <v>43346.0</v>
      </c>
      <c r="B112" s="326" t="s">
        <v>1159</v>
      </c>
      <c r="C112" s="327">
        <v>5.32</v>
      </c>
      <c r="D112" s="132"/>
    </row>
    <row r="113">
      <c r="A113" s="325">
        <v>43342.0</v>
      </c>
      <c r="B113" s="326" t="s">
        <v>1165</v>
      </c>
      <c r="C113" s="327">
        <v>25.15</v>
      </c>
      <c r="D113" s="132"/>
    </row>
    <row r="114">
      <c r="A114" s="125">
        <v>43341.0</v>
      </c>
      <c r="B114" s="330" t="s">
        <v>1158</v>
      </c>
      <c r="C114" s="132">
        <v>1.02</v>
      </c>
      <c r="D114" s="132"/>
    </row>
    <row r="115">
      <c r="A115" s="325">
        <v>43341.0</v>
      </c>
      <c r="B115" s="326" t="s">
        <v>1156</v>
      </c>
      <c r="C115" s="327">
        <v>9.03</v>
      </c>
      <c r="D115" s="132"/>
    </row>
    <row r="116">
      <c r="A116" s="325">
        <v>43341.0</v>
      </c>
      <c r="B116" s="326" t="s">
        <v>1159</v>
      </c>
      <c r="C116" s="327">
        <v>7.53</v>
      </c>
      <c r="D116" s="132"/>
    </row>
    <row r="117">
      <c r="A117" s="325">
        <v>43341.0</v>
      </c>
      <c r="B117" s="326" t="s">
        <v>1159</v>
      </c>
      <c r="C117" s="327">
        <v>8.56</v>
      </c>
      <c r="D117" s="132"/>
    </row>
    <row r="118">
      <c r="A118" s="325">
        <v>43341.0</v>
      </c>
      <c r="B118" s="326" t="s">
        <v>1156</v>
      </c>
      <c r="C118" s="327">
        <v>-2.01</v>
      </c>
      <c r="D118" s="132" t="s">
        <v>527</v>
      </c>
    </row>
    <row r="119">
      <c r="A119" s="325">
        <v>43341.0</v>
      </c>
      <c r="B119" s="326" t="s">
        <v>1156</v>
      </c>
      <c r="C119" s="327">
        <v>-3.05</v>
      </c>
      <c r="D119" s="132" t="s">
        <v>527</v>
      </c>
    </row>
    <row r="120">
      <c r="A120" s="325">
        <v>43341.0</v>
      </c>
      <c r="B120" s="326" t="s">
        <v>1156</v>
      </c>
      <c r="C120" s="327">
        <v>-2.02</v>
      </c>
      <c r="D120" s="132" t="s">
        <v>527</v>
      </c>
    </row>
    <row r="121">
      <c r="A121" s="325">
        <v>43341.0</v>
      </c>
      <c r="B121" s="326" t="s">
        <v>1159</v>
      </c>
      <c r="C121" s="327">
        <v>-8.07</v>
      </c>
      <c r="D121" s="132" t="s">
        <v>527</v>
      </c>
    </row>
    <row r="122">
      <c r="A122" s="325">
        <v>43340.0</v>
      </c>
      <c r="B122" s="326" t="s">
        <v>1156</v>
      </c>
      <c r="C122" s="327">
        <v>1.02</v>
      </c>
      <c r="D122" s="132"/>
    </row>
    <row r="123">
      <c r="A123" s="325">
        <v>43340.0</v>
      </c>
      <c r="B123" s="326" t="s">
        <v>1156</v>
      </c>
      <c r="C123" s="327">
        <v>4.41</v>
      </c>
      <c r="D123" s="132"/>
    </row>
    <row r="124">
      <c r="A124" s="325">
        <v>43340.0</v>
      </c>
      <c r="B124" s="326" t="s">
        <v>1156</v>
      </c>
      <c r="C124" s="327">
        <v>4.62</v>
      </c>
      <c r="D124" s="132"/>
    </row>
    <row r="125">
      <c r="A125" s="325">
        <v>43339.0</v>
      </c>
      <c r="B125" s="326" t="s">
        <v>1166</v>
      </c>
      <c r="C125" s="327">
        <v>-1.35</v>
      </c>
      <c r="D125" s="132" t="s">
        <v>527</v>
      </c>
    </row>
    <row r="126">
      <c r="A126" s="325">
        <v>43339.0</v>
      </c>
      <c r="B126" s="326">
        <v>630380.0</v>
      </c>
      <c r="C126" s="327">
        <v>-79.57</v>
      </c>
      <c r="D126" s="132" t="s">
        <v>527</v>
      </c>
    </row>
    <row r="127">
      <c r="A127" s="325">
        <v>43339.0</v>
      </c>
      <c r="B127" s="326" t="s">
        <v>1163</v>
      </c>
      <c r="C127" s="327">
        <v>-30.14</v>
      </c>
      <c r="D127" s="132" t="s">
        <v>527</v>
      </c>
    </row>
    <row r="128">
      <c r="A128" s="325">
        <v>43339.0</v>
      </c>
      <c r="B128" s="326" t="s">
        <v>1158</v>
      </c>
      <c r="C128" s="327">
        <v>-0.91</v>
      </c>
      <c r="D128" s="132" t="s">
        <v>527</v>
      </c>
    </row>
    <row r="129">
      <c r="A129" s="325">
        <v>43339.0</v>
      </c>
      <c r="B129" s="326" t="s">
        <v>1161</v>
      </c>
      <c r="C129" s="327">
        <v>-1.67</v>
      </c>
      <c r="D129" s="132" t="s">
        <v>527</v>
      </c>
    </row>
    <row r="130">
      <c r="A130" s="325">
        <v>43339.0</v>
      </c>
      <c r="B130" s="326" t="s">
        <v>1159</v>
      </c>
      <c r="C130" s="327">
        <v>-1.0</v>
      </c>
      <c r="D130" s="132" t="s">
        <v>527</v>
      </c>
    </row>
    <row r="131">
      <c r="A131" s="325">
        <v>43339.0</v>
      </c>
      <c r="B131" s="326" t="s">
        <v>1159</v>
      </c>
      <c r="C131" s="327">
        <v>-5.25</v>
      </c>
      <c r="D131" s="132" t="s">
        <v>527</v>
      </c>
    </row>
    <row r="132">
      <c r="A132" s="325">
        <v>43339.0</v>
      </c>
      <c r="B132" s="326" t="s">
        <v>1167</v>
      </c>
      <c r="C132" s="327">
        <v>-13.47</v>
      </c>
      <c r="D132" s="132" t="s">
        <v>527</v>
      </c>
    </row>
    <row r="133">
      <c r="A133" s="325">
        <v>43338.0</v>
      </c>
      <c r="B133" s="326" t="s">
        <v>1168</v>
      </c>
      <c r="C133" s="327">
        <v>-79.21</v>
      </c>
      <c r="D133" s="132" t="s">
        <v>527</v>
      </c>
    </row>
    <row r="134">
      <c r="A134" s="325">
        <v>43337.0</v>
      </c>
      <c r="B134" s="326" t="s">
        <v>1158</v>
      </c>
      <c r="C134" s="327">
        <v>5.29</v>
      </c>
      <c r="D134" s="132"/>
    </row>
    <row r="135">
      <c r="A135" s="325">
        <v>43337.0</v>
      </c>
      <c r="B135" s="326" t="s">
        <v>1156</v>
      </c>
      <c r="C135" s="327">
        <v>3.94</v>
      </c>
      <c r="D135" s="132"/>
    </row>
    <row r="136">
      <c r="A136" s="325">
        <v>43337.0</v>
      </c>
      <c r="B136" s="326" t="s">
        <v>1156</v>
      </c>
      <c r="C136" s="327">
        <v>6.04</v>
      </c>
      <c r="D136" s="132"/>
    </row>
    <row r="137">
      <c r="A137" s="325">
        <v>43335.0</v>
      </c>
      <c r="B137" s="326" t="s">
        <v>1165</v>
      </c>
      <c r="C137" s="327">
        <v>-25.11</v>
      </c>
      <c r="D137" s="132" t="s">
        <v>527</v>
      </c>
    </row>
    <row r="138">
      <c r="A138" s="325">
        <v>43335.0</v>
      </c>
      <c r="B138" s="326" t="s">
        <v>1163</v>
      </c>
      <c r="C138" s="327">
        <v>-30.53</v>
      </c>
      <c r="D138" s="132" t="s">
        <v>527</v>
      </c>
    </row>
    <row r="139">
      <c r="A139" s="325">
        <v>43335.0</v>
      </c>
      <c r="B139" s="326" t="s">
        <v>1159</v>
      </c>
      <c r="C139" s="327">
        <v>-7.52</v>
      </c>
      <c r="D139" s="132" t="s">
        <v>527</v>
      </c>
    </row>
    <row r="140">
      <c r="A140" s="325">
        <v>43335.0</v>
      </c>
      <c r="B140" s="326" t="s">
        <v>1159</v>
      </c>
      <c r="C140" s="327">
        <v>-8.55</v>
      </c>
      <c r="D140" s="132" t="s">
        <v>527</v>
      </c>
    </row>
    <row r="141">
      <c r="A141" s="325">
        <v>43335.0</v>
      </c>
      <c r="B141" s="326" t="s">
        <v>1158</v>
      </c>
      <c r="C141" s="327">
        <v>8.93</v>
      </c>
      <c r="D141" s="132"/>
    </row>
    <row r="142">
      <c r="A142" s="325">
        <v>43334.0</v>
      </c>
      <c r="B142" s="326" t="s">
        <v>1156</v>
      </c>
      <c r="C142" s="327">
        <v>12.61</v>
      </c>
      <c r="D142" s="132"/>
    </row>
    <row r="143">
      <c r="A143" s="325">
        <v>43334.0</v>
      </c>
      <c r="B143" s="326" t="s">
        <v>1156</v>
      </c>
      <c r="C143" s="327">
        <v>9.17</v>
      </c>
      <c r="D143" s="132"/>
    </row>
    <row r="144">
      <c r="A144" s="325">
        <v>43334.0</v>
      </c>
      <c r="B144" s="326" t="s">
        <v>1158</v>
      </c>
      <c r="C144" s="327">
        <v>-1.02</v>
      </c>
      <c r="D144" s="132" t="s">
        <v>527</v>
      </c>
    </row>
    <row r="145">
      <c r="A145" s="325">
        <v>43334.0</v>
      </c>
      <c r="B145" s="326" t="s">
        <v>1156</v>
      </c>
      <c r="C145" s="327">
        <v>-9.03</v>
      </c>
      <c r="D145" s="132" t="s">
        <v>527</v>
      </c>
    </row>
    <row r="146">
      <c r="A146" s="325">
        <v>43334.0</v>
      </c>
      <c r="B146" s="326" t="s">
        <v>1159</v>
      </c>
      <c r="C146" s="327">
        <v>-5.32</v>
      </c>
      <c r="D146" s="132" t="s">
        <v>527</v>
      </c>
    </row>
    <row r="147">
      <c r="A147" s="325">
        <v>43334.0</v>
      </c>
      <c r="B147" s="326" t="s">
        <v>1162</v>
      </c>
      <c r="C147" s="327">
        <v>-60.28</v>
      </c>
      <c r="D147" s="132" t="s">
        <v>527</v>
      </c>
    </row>
    <row r="148">
      <c r="A148" s="325">
        <v>43333.0</v>
      </c>
      <c r="B148" s="326" t="s">
        <v>1166</v>
      </c>
      <c r="C148" s="327">
        <v>-1.38</v>
      </c>
      <c r="D148" s="132" t="s">
        <v>527</v>
      </c>
    </row>
    <row r="149">
      <c r="A149" s="325">
        <v>43333.0</v>
      </c>
      <c r="B149" s="326">
        <v>530090.0</v>
      </c>
      <c r="C149" s="327">
        <v>-81.33</v>
      </c>
      <c r="D149" s="132" t="s">
        <v>527</v>
      </c>
    </row>
    <row r="150">
      <c r="A150" s="325">
        <v>43333.0</v>
      </c>
      <c r="B150" s="326" t="s">
        <v>1156</v>
      </c>
      <c r="C150" s="327">
        <v>-1.03</v>
      </c>
      <c r="D150" s="132" t="s">
        <v>527</v>
      </c>
    </row>
    <row r="151">
      <c r="A151" s="325">
        <v>43333.0</v>
      </c>
      <c r="B151" s="326" t="s">
        <v>1156</v>
      </c>
      <c r="C151" s="327">
        <v>-4.43</v>
      </c>
      <c r="D151" s="132" t="s">
        <v>527</v>
      </c>
    </row>
    <row r="152">
      <c r="A152" s="325">
        <v>43333.0</v>
      </c>
      <c r="B152" s="326" t="s">
        <v>1156</v>
      </c>
      <c r="C152" s="327">
        <v>-4.63</v>
      </c>
      <c r="D152" s="132" t="s">
        <v>527</v>
      </c>
    </row>
    <row r="153">
      <c r="A153" s="325">
        <v>43333.0</v>
      </c>
      <c r="B153" s="326" t="s">
        <v>1156</v>
      </c>
      <c r="C153" s="327">
        <v>1.17</v>
      </c>
      <c r="D153" s="132"/>
    </row>
    <row r="154">
      <c r="A154" s="325">
        <v>43333.0</v>
      </c>
      <c r="B154" s="326" t="s">
        <v>1156</v>
      </c>
      <c r="C154" s="327">
        <v>2.72</v>
      </c>
      <c r="D154" s="132"/>
    </row>
    <row r="155">
      <c r="A155" s="325">
        <v>43333.0</v>
      </c>
      <c r="B155" s="326" t="s">
        <v>1156</v>
      </c>
      <c r="C155" s="327">
        <v>3.5</v>
      </c>
      <c r="D155" s="132"/>
    </row>
    <row r="156">
      <c r="A156" s="325">
        <v>43332.0</v>
      </c>
      <c r="B156" s="326" t="s">
        <v>1165</v>
      </c>
      <c r="C156" s="327">
        <v>-25.15</v>
      </c>
      <c r="D156" s="132" t="s">
        <v>527</v>
      </c>
    </row>
    <row r="157">
      <c r="A157" s="325">
        <v>43331.0</v>
      </c>
      <c r="B157" s="326" t="s">
        <v>1158</v>
      </c>
      <c r="C157" s="327">
        <v>8.99</v>
      </c>
      <c r="D157" s="132"/>
    </row>
    <row r="158">
      <c r="A158" s="325">
        <v>43331.0</v>
      </c>
      <c r="B158" s="326" t="s">
        <v>1158</v>
      </c>
      <c r="C158" s="327">
        <v>-1.02</v>
      </c>
      <c r="D158" s="132" t="s">
        <v>527</v>
      </c>
    </row>
    <row r="159">
      <c r="A159" s="325">
        <v>43331.0</v>
      </c>
      <c r="B159" s="326" t="s">
        <v>1169</v>
      </c>
      <c r="C159" s="327">
        <v>-81.01</v>
      </c>
      <c r="D159" s="132" t="s">
        <v>527</v>
      </c>
    </row>
    <row r="160">
      <c r="A160" s="325">
        <v>43331.0</v>
      </c>
      <c r="B160" s="326" t="s">
        <v>1156</v>
      </c>
      <c r="C160" s="327">
        <v>-9.03</v>
      </c>
      <c r="D160" s="132" t="s">
        <v>527</v>
      </c>
    </row>
    <row r="161">
      <c r="A161" s="325">
        <v>43331.0</v>
      </c>
      <c r="B161" s="326" t="s">
        <v>1159</v>
      </c>
      <c r="C161" s="327">
        <v>-7.53</v>
      </c>
      <c r="D161" s="132" t="s">
        <v>527</v>
      </c>
    </row>
    <row r="162">
      <c r="A162" s="325">
        <v>43331.0</v>
      </c>
      <c r="B162" s="326" t="s">
        <v>1159</v>
      </c>
      <c r="C162" s="327">
        <v>-8.56</v>
      </c>
      <c r="D162" s="132" t="s">
        <v>527</v>
      </c>
    </row>
    <row r="163">
      <c r="A163" s="325">
        <v>43329.0</v>
      </c>
      <c r="B163" s="326" t="s">
        <v>1158</v>
      </c>
      <c r="C163" s="327">
        <v>-9.02</v>
      </c>
      <c r="D163" s="132" t="s">
        <v>527</v>
      </c>
    </row>
    <row r="164">
      <c r="A164" s="325">
        <v>43329.0</v>
      </c>
      <c r="B164" s="326" t="s">
        <v>1156</v>
      </c>
      <c r="C164" s="327">
        <v>-3.45</v>
      </c>
      <c r="D164" s="132" t="s">
        <v>527</v>
      </c>
    </row>
    <row r="165">
      <c r="A165" s="325">
        <v>43329.0</v>
      </c>
      <c r="B165" s="326" t="s">
        <v>1170</v>
      </c>
      <c r="C165" s="327">
        <v>-18.81</v>
      </c>
      <c r="D165" s="132" t="s">
        <v>527</v>
      </c>
    </row>
    <row r="166">
      <c r="A166" s="325">
        <v>43327.0</v>
      </c>
      <c r="B166" s="326" t="s">
        <v>1158</v>
      </c>
      <c r="C166" s="327">
        <v>-5.29</v>
      </c>
      <c r="D166" s="132" t="s">
        <v>527</v>
      </c>
    </row>
    <row r="167">
      <c r="A167" s="325">
        <v>43327.0</v>
      </c>
      <c r="B167" s="326" t="s">
        <v>1172</v>
      </c>
      <c r="C167" s="327">
        <v>-3.04</v>
      </c>
      <c r="D167" s="132" t="s">
        <v>527</v>
      </c>
    </row>
    <row r="168">
      <c r="A168" s="325">
        <v>43327.0</v>
      </c>
      <c r="B168" s="326" t="s">
        <v>1156</v>
      </c>
      <c r="C168" s="327">
        <v>-1.21</v>
      </c>
      <c r="D168" s="132" t="s">
        <v>527</v>
      </c>
    </row>
    <row r="169">
      <c r="A169" s="325">
        <v>43327.0</v>
      </c>
      <c r="B169" s="326" t="s">
        <v>1156</v>
      </c>
      <c r="C169" s="327">
        <v>-12.81</v>
      </c>
      <c r="D169" s="132" t="s">
        <v>527</v>
      </c>
    </row>
    <row r="170">
      <c r="A170" s="325">
        <v>43327.0</v>
      </c>
      <c r="B170" s="326" t="s">
        <v>1156</v>
      </c>
      <c r="C170" s="327">
        <v>-2.8</v>
      </c>
      <c r="D170" s="132" t="s">
        <v>527</v>
      </c>
    </row>
    <row r="171">
      <c r="A171" s="325">
        <v>43327.0</v>
      </c>
      <c r="B171" s="326" t="s">
        <v>1156</v>
      </c>
      <c r="C171" s="327">
        <v>-3.59</v>
      </c>
      <c r="D171" s="132" t="s">
        <v>527</v>
      </c>
    </row>
    <row r="172">
      <c r="A172" s="325">
        <v>43327.0</v>
      </c>
      <c r="B172" s="326" t="s">
        <v>1156</v>
      </c>
      <c r="C172" s="327">
        <v>-3.94</v>
      </c>
      <c r="D172" s="132" t="s">
        <v>527</v>
      </c>
    </row>
    <row r="173">
      <c r="A173" s="325">
        <v>43327.0</v>
      </c>
      <c r="B173" s="326" t="s">
        <v>1156</v>
      </c>
      <c r="C173" s="327">
        <v>-6.04</v>
      </c>
      <c r="D173" s="132" t="s">
        <v>527</v>
      </c>
    </row>
    <row r="174">
      <c r="A174" s="325">
        <v>43327.0</v>
      </c>
      <c r="B174" s="326" t="s">
        <v>1156</v>
      </c>
      <c r="C174" s="327">
        <v>-9.31</v>
      </c>
      <c r="D174" s="132" t="s">
        <v>527</v>
      </c>
    </row>
    <row r="175">
      <c r="A175" s="325">
        <v>43327.0</v>
      </c>
      <c r="B175" s="326" t="s">
        <v>1173</v>
      </c>
      <c r="C175" s="327">
        <v>500.0</v>
      </c>
      <c r="D175" s="132"/>
    </row>
    <row r="176">
      <c r="A176" s="325">
        <v>43325.0</v>
      </c>
      <c r="B176" s="326" t="s">
        <v>1158</v>
      </c>
      <c r="C176" s="327">
        <v>-8.93</v>
      </c>
      <c r="D176" s="132" t="s">
        <v>527</v>
      </c>
    </row>
    <row r="177">
      <c r="A177" s="325">
        <v>43322.0</v>
      </c>
      <c r="B177" s="326" t="s">
        <v>1158</v>
      </c>
      <c r="C177" s="327">
        <v>-1.93</v>
      </c>
      <c r="D177" s="132" t="s">
        <v>527</v>
      </c>
    </row>
    <row r="178">
      <c r="A178" s="325">
        <v>43320.0</v>
      </c>
      <c r="B178" s="326" t="s">
        <v>1158</v>
      </c>
      <c r="C178" s="327">
        <v>-8.99</v>
      </c>
      <c r="D178" s="132" t="s">
        <v>527</v>
      </c>
    </row>
    <row r="179">
      <c r="A179" s="325">
        <v>43320.0</v>
      </c>
      <c r="B179" s="326" t="s">
        <v>1172</v>
      </c>
      <c r="C179" s="327">
        <v>-2.95</v>
      </c>
      <c r="D179" s="132" t="s">
        <v>527</v>
      </c>
    </row>
    <row r="180">
      <c r="A180" s="325">
        <v>43320.0</v>
      </c>
      <c r="B180" s="326" t="s">
        <v>1159</v>
      </c>
      <c r="C180" s="327">
        <v>-5.04</v>
      </c>
      <c r="D180" s="132" t="s">
        <v>527</v>
      </c>
    </row>
    <row r="181">
      <c r="A181" s="325">
        <v>43319.0</v>
      </c>
      <c r="B181" s="326" t="s">
        <v>1107</v>
      </c>
      <c r="C181" s="327">
        <v>100.0</v>
      </c>
      <c r="D181" s="132"/>
    </row>
    <row r="182">
      <c r="A182" s="125">
        <v>43291.0</v>
      </c>
      <c r="B182" s="330" t="s">
        <v>1104</v>
      </c>
      <c r="C182" s="132">
        <v>-340.6</v>
      </c>
      <c r="D182" s="132"/>
    </row>
    <row r="183">
      <c r="A183" s="325">
        <v>43290.0</v>
      </c>
      <c r="B183" s="326" t="s">
        <v>1146</v>
      </c>
      <c r="C183" s="327">
        <v>-108000.0</v>
      </c>
      <c r="D183" s="132"/>
    </row>
    <row r="184">
      <c r="A184" s="325">
        <v>43286.0</v>
      </c>
      <c r="B184" s="326" t="s">
        <v>1110</v>
      </c>
      <c r="C184" s="327">
        <v>207.0</v>
      </c>
      <c r="D184" s="132"/>
    </row>
    <row r="185">
      <c r="A185" s="325">
        <v>43286.0</v>
      </c>
      <c r="B185" s="326" t="s">
        <v>1151</v>
      </c>
      <c r="C185" s="327">
        <v>-890.0</v>
      </c>
      <c r="D185" s="132"/>
    </row>
    <row r="186">
      <c r="A186" s="325">
        <v>43284.0</v>
      </c>
      <c r="B186" s="326" t="s">
        <v>1111</v>
      </c>
      <c r="C186" s="327">
        <v>494.4</v>
      </c>
      <c r="D186" s="132"/>
    </row>
    <row r="187">
      <c r="A187" s="125">
        <v>43276.0</v>
      </c>
      <c r="B187" s="330" t="s">
        <v>1126</v>
      </c>
      <c r="C187" s="132">
        <v>-0.8</v>
      </c>
      <c r="D187" s="132" t="s">
        <v>527</v>
      </c>
    </row>
    <row r="188">
      <c r="A188" s="325">
        <v>43264.0</v>
      </c>
      <c r="B188" s="326" t="s">
        <v>1174</v>
      </c>
      <c r="C188" s="327">
        <v>-866.73</v>
      </c>
      <c r="D188" s="132" t="s">
        <v>527</v>
      </c>
    </row>
    <row r="189">
      <c r="A189" s="325">
        <v>43262.0</v>
      </c>
      <c r="B189" s="326" t="s">
        <v>1104</v>
      </c>
      <c r="C189" s="327">
        <v>-340.6</v>
      </c>
      <c r="D189" s="132"/>
    </row>
    <row r="190">
      <c r="A190" s="325">
        <v>43262.0</v>
      </c>
      <c r="B190" s="326" t="s">
        <v>1175</v>
      </c>
      <c r="C190" s="327">
        <v>-27.0</v>
      </c>
      <c r="D190" s="132" t="s">
        <v>527</v>
      </c>
    </row>
    <row r="191">
      <c r="A191" s="325">
        <v>43251.0</v>
      </c>
      <c r="B191" s="326" t="s">
        <v>1176</v>
      </c>
      <c r="C191" s="327">
        <v>230.0</v>
      </c>
      <c r="D191" s="132"/>
    </row>
    <row r="192">
      <c r="A192" s="325">
        <v>43249.0</v>
      </c>
      <c r="B192" s="326" t="s">
        <v>1177</v>
      </c>
      <c r="C192" s="327">
        <v>-20.0</v>
      </c>
      <c r="D192" s="132" t="s">
        <v>527</v>
      </c>
    </row>
    <row r="193">
      <c r="A193" s="325">
        <v>43249.0</v>
      </c>
      <c r="B193" s="326" t="s">
        <v>1178</v>
      </c>
      <c r="C193" s="327">
        <v>-42.5</v>
      </c>
      <c r="D193" s="132" t="s">
        <v>527</v>
      </c>
    </row>
    <row r="194">
      <c r="A194" s="325">
        <v>43248.0</v>
      </c>
      <c r="B194" s="326" t="s">
        <v>1179</v>
      </c>
      <c r="C194" s="327">
        <v>-5.2</v>
      </c>
      <c r="D194" s="132" t="s">
        <v>527</v>
      </c>
    </row>
    <row r="195">
      <c r="A195" s="325">
        <v>43248.0</v>
      </c>
      <c r="B195" s="326" t="s">
        <v>1179</v>
      </c>
      <c r="C195" s="327">
        <v>-0.8</v>
      </c>
      <c r="D195" s="132" t="s">
        <v>527</v>
      </c>
    </row>
    <row r="196">
      <c r="A196" s="325">
        <v>43246.0</v>
      </c>
      <c r="B196" s="326" t="s">
        <v>1180</v>
      </c>
      <c r="C196" s="327">
        <v>-22.9</v>
      </c>
      <c r="D196" s="132" t="s">
        <v>527</v>
      </c>
    </row>
    <row r="197">
      <c r="A197" s="325">
        <v>43244.0</v>
      </c>
      <c r="B197" s="326" t="s">
        <v>1181</v>
      </c>
      <c r="C197" s="327">
        <v>-20.84</v>
      </c>
      <c r="D197" s="132" t="s">
        <v>527</v>
      </c>
    </row>
    <row r="198">
      <c r="A198" s="325">
        <v>43243.0</v>
      </c>
      <c r="B198" s="326" t="s">
        <v>1182</v>
      </c>
      <c r="C198" s="327">
        <v>17.96</v>
      </c>
      <c r="D198" s="132"/>
    </row>
    <row r="199">
      <c r="A199" s="325">
        <v>43243.0</v>
      </c>
      <c r="B199" s="326" t="s">
        <v>1118</v>
      </c>
      <c r="C199" s="327">
        <v>35.89</v>
      </c>
      <c r="D199" s="132"/>
    </row>
    <row r="200">
      <c r="A200" s="325">
        <v>43242.0</v>
      </c>
      <c r="B200" s="326" t="s">
        <v>1183</v>
      </c>
      <c r="C200" s="327">
        <v>-35.89</v>
      </c>
      <c r="D200" s="132"/>
    </row>
    <row r="201">
      <c r="A201" s="325">
        <v>43229.0</v>
      </c>
      <c r="B201" s="326" t="s">
        <v>1107</v>
      </c>
      <c r="C201" s="327">
        <v>100.0</v>
      </c>
      <c r="D201" s="132"/>
    </row>
    <row r="202">
      <c r="A202" s="325">
        <v>43229.0</v>
      </c>
      <c r="B202" s="326" t="s">
        <v>1179</v>
      </c>
      <c r="C202" s="327">
        <v>-2.0</v>
      </c>
      <c r="D202" s="132" t="s">
        <v>527</v>
      </c>
    </row>
    <row r="203">
      <c r="A203" s="125">
        <v>43227.0</v>
      </c>
      <c r="B203" s="330" t="s">
        <v>1151</v>
      </c>
      <c r="C203" s="132">
        <v>-890.0</v>
      </c>
      <c r="D203" s="132"/>
    </row>
    <row r="204">
      <c r="A204" s="325">
        <v>43227.0</v>
      </c>
      <c r="B204" s="326" t="s">
        <v>1184</v>
      </c>
      <c r="C204" s="327">
        <v>700.0</v>
      </c>
      <c r="D204" s="132"/>
    </row>
    <row r="205">
      <c r="A205" s="325">
        <v>43225.0</v>
      </c>
      <c r="B205" s="326" t="s">
        <v>1185</v>
      </c>
      <c r="C205" s="327">
        <v>-5.44</v>
      </c>
      <c r="D205" s="132" t="s">
        <v>527</v>
      </c>
    </row>
    <row r="206">
      <c r="A206" s="125">
        <v>43224.0</v>
      </c>
      <c r="B206" s="330" t="s">
        <v>1110</v>
      </c>
      <c r="C206" s="132">
        <v>207.0</v>
      </c>
      <c r="D206" s="132"/>
    </row>
    <row r="207">
      <c r="A207" s="325">
        <v>43207.0</v>
      </c>
      <c r="B207" s="326" t="s">
        <v>1126</v>
      </c>
      <c r="C207" s="327">
        <v>-0.8</v>
      </c>
      <c r="D207" s="132" t="s">
        <v>527</v>
      </c>
    </row>
    <row r="208">
      <c r="A208" s="325">
        <v>43202.0</v>
      </c>
      <c r="B208" s="326" t="s">
        <v>1179</v>
      </c>
      <c r="C208" s="327">
        <v>-2.6</v>
      </c>
      <c r="D208" s="132" t="s">
        <v>527</v>
      </c>
    </row>
    <row r="209">
      <c r="A209" s="325">
        <v>43202.0</v>
      </c>
      <c r="B209" s="326" t="s">
        <v>1179</v>
      </c>
      <c r="C209" s="327">
        <v>-1.3</v>
      </c>
      <c r="D209" s="132" t="s">
        <v>527</v>
      </c>
    </row>
    <row r="210">
      <c r="A210" s="325">
        <v>43200.0</v>
      </c>
      <c r="B210" s="326" t="s">
        <v>1104</v>
      </c>
      <c r="C210" s="327">
        <v>-340.6</v>
      </c>
      <c r="D210" s="132"/>
    </row>
    <row r="211">
      <c r="A211" s="325">
        <v>43199.0</v>
      </c>
      <c r="B211" s="326" t="s">
        <v>1186</v>
      </c>
      <c r="C211" s="327">
        <v>-0.5</v>
      </c>
      <c r="D211" s="132" t="s">
        <v>527</v>
      </c>
    </row>
    <row r="212">
      <c r="A212" s="325">
        <v>43195.0</v>
      </c>
      <c r="B212" s="326" t="s">
        <v>1151</v>
      </c>
      <c r="C212" s="327">
        <v>-890.0</v>
      </c>
      <c r="D212" s="132"/>
    </row>
    <row r="213">
      <c r="A213" s="325">
        <v>43195.0</v>
      </c>
      <c r="B213" s="326" t="s">
        <v>1110</v>
      </c>
      <c r="C213" s="327">
        <v>207.0</v>
      </c>
      <c r="D213" s="132"/>
    </row>
    <row r="214">
      <c r="A214" s="325">
        <v>43195.0</v>
      </c>
      <c r="B214" s="326" t="s">
        <v>1184</v>
      </c>
      <c r="C214" s="327">
        <v>700.0</v>
      </c>
      <c r="D214" s="132"/>
    </row>
    <row r="215">
      <c r="A215" s="331">
        <v>43193.0</v>
      </c>
      <c r="B215" s="332" t="s">
        <v>1111</v>
      </c>
      <c r="C215" s="327">
        <v>494.4</v>
      </c>
      <c r="D215" s="329"/>
    </row>
    <row r="216">
      <c r="A216" s="325">
        <v>43193.0</v>
      </c>
      <c r="B216" s="326" t="s">
        <v>1111</v>
      </c>
      <c r="C216" s="327">
        <v>505.92</v>
      </c>
      <c r="D216" s="132"/>
    </row>
    <row r="217">
      <c r="A217" s="325">
        <v>43186.0</v>
      </c>
      <c r="B217" s="326" t="s">
        <v>1126</v>
      </c>
      <c r="C217" s="327">
        <v>-1.6</v>
      </c>
      <c r="D217" s="132" t="s">
        <v>527</v>
      </c>
    </row>
    <row r="218">
      <c r="A218" s="125">
        <v>43186.0</v>
      </c>
      <c r="B218" s="330" t="s">
        <v>1179</v>
      </c>
      <c r="C218" s="132">
        <v>-0.8</v>
      </c>
      <c r="D218" s="132" t="s">
        <v>527</v>
      </c>
    </row>
    <row r="219">
      <c r="A219" s="325">
        <v>43179.0</v>
      </c>
      <c r="B219" s="326" t="s">
        <v>1188</v>
      </c>
      <c r="C219" s="327">
        <v>-3.0</v>
      </c>
      <c r="D219" s="132" t="s">
        <v>527</v>
      </c>
    </row>
    <row r="220">
      <c r="A220" s="325">
        <v>43178.0</v>
      </c>
      <c r="B220" s="326" t="s">
        <v>1181</v>
      </c>
      <c r="C220" s="327">
        <v>-21.34</v>
      </c>
      <c r="D220" s="132" t="s">
        <v>527</v>
      </c>
    </row>
    <row r="221">
      <c r="A221" s="325">
        <v>43173.0</v>
      </c>
      <c r="B221" s="326" t="s">
        <v>1179</v>
      </c>
      <c r="C221" s="327">
        <v>-0.8</v>
      </c>
      <c r="D221" s="132" t="s">
        <v>527</v>
      </c>
    </row>
    <row r="222">
      <c r="A222" s="325">
        <v>43171.0</v>
      </c>
      <c r="B222" s="326" t="s">
        <v>1189</v>
      </c>
      <c r="C222" s="327">
        <v>100.0</v>
      </c>
      <c r="D222" s="132"/>
    </row>
    <row r="223">
      <c r="A223" s="325">
        <v>43171.0</v>
      </c>
      <c r="B223" s="326" t="s">
        <v>1104</v>
      </c>
      <c r="C223" s="327">
        <v>-340.6</v>
      </c>
      <c r="D223" s="132"/>
    </row>
    <row r="224">
      <c r="A224" s="325">
        <v>43164.0</v>
      </c>
      <c r="B224" s="326" t="s">
        <v>1190</v>
      </c>
      <c r="C224" s="327">
        <v>-90.0</v>
      </c>
      <c r="D224" s="132" t="s">
        <v>527</v>
      </c>
    </row>
    <row r="225">
      <c r="A225" s="325">
        <v>43164.0</v>
      </c>
      <c r="B225" s="326" t="s">
        <v>1110</v>
      </c>
      <c r="C225" s="327">
        <v>207.0</v>
      </c>
      <c r="D225" s="132"/>
    </row>
    <row r="226">
      <c r="A226" s="125">
        <v>43164.0</v>
      </c>
      <c r="B226" s="330" t="s">
        <v>1191</v>
      </c>
      <c r="C226" s="132">
        <v>-285.0</v>
      </c>
      <c r="D226" s="132"/>
    </row>
    <row r="227">
      <c r="A227" s="125">
        <v>43164.0</v>
      </c>
      <c r="B227" s="330" t="s">
        <v>1151</v>
      </c>
      <c r="C227" s="132">
        <v>-890.0</v>
      </c>
      <c r="D227" s="132"/>
    </row>
    <row r="228">
      <c r="A228" s="125">
        <v>43164.0</v>
      </c>
      <c r="B228" s="330" t="s">
        <v>1184</v>
      </c>
      <c r="C228" s="132">
        <v>700.0</v>
      </c>
      <c r="D228" s="132"/>
    </row>
    <row r="229">
      <c r="A229" s="125">
        <v>43160.0</v>
      </c>
      <c r="B229" s="330" t="s">
        <v>1179</v>
      </c>
      <c r="C229" s="132">
        <v>-2.0</v>
      </c>
      <c r="D229" s="132" t="s">
        <v>527</v>
      </c>
    </row>
    <row r="230">
      <c r="A230" s="125">
        <v>43160.0</v>
      </c>
      <c r="B230" s="330" t="s">
        <v>1111</v>
      </c>
      <c r="C230" s="132">
        <v>456.96</v>
      </c>
      <c r="D230" s="132"/>
    </row>
    <row r="231">
      <c r="A231" s="325">
        <v>43158.0</v>
      </c>
      <c r="B231" s="326" t="s">
        <v>1126</v>
      </c>
      <c r="C231" s="327">
        <v>-3.6</v>
      </c>
      <c r="D231" s="132" t="s">
        <v>527</v>
      </c>
    </row>
    <row r="232">
      <c r="A232" s="325">
        <v>43151.0</v>
      </c>
      <c r="B232" s="326" t="s">
        <v>1192</v>
      </c>
      <c r="C232" s="327">
        <v>-1.0</v>
      </c>
      <c r="D232" s="132" t="s">
        <v>527</v>
      </c>
    </row>
    <row r="233">
      <c r="A233" s="325">
        <v>43145.0</v>
      </c>
      <c r="B233" s="326" t="s">
        <v>1179</v>
      </c>
      <c r="C233" s="327">
        <v>-0.8</v>
      </c>
      <c r="D233" s="132" t="s">
        <v>527</v>
      </c>
    </row>
    <row r="234">
      <c r="A234" s="325">
        <v>43143.0</v>
      </c>
      <c r="B234" s="326" t="s">
        <v>1104</v>
      </c>
      <c r="C234" s="327">
        <v>-340.6</v>
      </c>
      <c r="D234" s="132"/>
    </row>
    <row r="235">
      <c r="A235" s="325">
        <v>43138.0</v>
      </c>
      <c r="B235" s="326" t="s">
        <v>1193</v>
      </c>
      <c r="C235" s="327">
        <v>1.32</v>
      </c>
      <c r="D235" s="132"/>
    </row>
    <row r="236">
      <c r="A236" s="325">
        <v>43136.0</v>
      </c>
      <c r="B236" s="326" t="s">
        <v>1151</v>
      </c>
      <c r="C236" s="327">
        <v>-890.0</v>
      </c>
      <c r="D236" s="132"/>
    </row>
    <row r="237">
      <c r="A237" s="325">
        <v>43136.0</v>
      </c>
      <c r="B237" s="326" t="s">
        <v>1110</v>
      </c>
      <c r="C237" s="327">
        <v>207.0</v>
      </c>
      <c r="D237" s="132"/>
    </row>
    <row r="238">
      <c r="A238" s="325">
        <v>43136.0</v>
      </c>
      <c r="B238" s="326" t="s">
        <v>1184</v>
      </c>
      <c r="C238" s="327">
        <v>700.0</v>
      </c>
      <c r="D238" s="132"/>
    </row>
    <row r="239">
      <c r="A239" s="325">
        <v>43134.0</v>
      </c>
      <c r="B239" s="326" t="s">
        <v>1194</v>
      </c>
      <c r="C239" s="327">
        <v>1.13</v>
      </c>
      <c r="D239" s="132"/>
    </row>
    <row r="240">
      <c r="A240" s="325">
        <v>43133.0</v>
      </c>
      <c r="B240" s="326" t="s">
        <v>1181</v>
      </c>
      <c r="C240" s="327" t="s">
        <v>1195</v>
      </c>
      <c r="D240" s="132"/>
    </row>
    <row r="241">
      <c r="A241" s="325">
        <v>43132.0</v>
      </c>
      <c r="B241" s="326" t="s">
        <v>1111</v>
      </c>
      <c r="C241" s="327">
        <v>505.92</v>
      </c>
      <c r="D241" s="132"/>
    </row>
    <row r="242">
      <c r="A242" s="325">
        <v>43132.0</v>
      </c>
      <c r="B242" s="326" t="s">
        <v>1196</v>
      </c>
      <c r="C242" s="327">
        <v>-6.25</v>
      </c>
      <c r="D242" s="132" t="s">
        <v>527</v>
      </c>
    </row>
    <row r="243">
      <c r="A243" s="325">
        <v>43127.0</v>
      </c>
      <c r="B243" s="326" t="s">
        <v>1197</v>
      </c>
      <c r="C243" s="327">
        <v>-3.41</v>
      </c>
      <c r="D243" s="132" t="s">
        <v>527</v>
      </c>
    </row>
    <row r="244">
      <c r="A244" s="325">
        <v>43126.0</v>
      </c>
      <c r="B244" s="326" t="s">
        <v>1198</v>
      </c>
      <c r="C244" s="327">
        <v>100.0</v>
      </c>
      <c r="D244" s="132"/>
    </row>
    <row r="245">
      <c r="A245" s="325">
        <v>43124.0</v>
      </c>
      <c r="B245" s="326" t="s">
        <v>1155</v>
      </c>
      <c r="C245" s="327">
        <v>20.0</v>
      </c>
      <c r="D245" s="132"/>
    </row>
    <row r="246">
      <c r="A246" s="325">
        <v>43124.0</v>
      </c>
      <c r="B246" s="326" t="s">
        <v>1199</v>
      </c>
      <c r="C246" s="327">
        <v>-20.0</v>
      </c>
      <c r="D246" s="132"/>
    </row>
    <row r="247">
      <c r="A247" s="325">
        <v>43116.0</v>
      </c>
      <c r="B247" s="326" t="s">
        <v>1200</v>
      </c>
      <c r="C247" s="327">
        <v>-2.9</v>
      </c>
      <c r="D247" s="132" t="s">
        <v>527</v>
      </c>
    </row>
    <row r="248">
      <c r="A248" s="325">
        <v>43116.0</v>
      </c>
      <c r="B248" s="326" t="s">
        <v>1200</v>
      </c>
      <c r="C248" s="327">
        <v>-2.74</v>
      </c>
      <c r="D248" s="132" t="s">
        <v>527</v>
      </c>
    </row>
    <row r="249">
      <c r="A249" s="325">
        <v>43115.0</v>
      </c>
      <c r="B249" s="326" t="s">
        <v>1201</v>
      </c>
      <c r="C249" s="327">
        <v>-74.82</v>
      </c>
      <c r="D249" s="132" t="s">
        <v>527</v>
      </c>
    </row>
    <row r="250">
      <c r="A250" s="325">
        <v>43112.0</v>
      </c>
      <c r="B250" s="326" t="s">
        <v>1151</v>
      </c>
      <c r="C250" s="327" t="s">
        <v>1202</v>
      </c>
      <c r="D250" s="132"/>
    </row>
    <row r="251">
      <c r="A251" s="325">
        <v>43111.0</v>
      </c>
      <c r="B251" s="326" t="s">
        <v>1155</v>
      </c>
      <c r="C251" s="327">
        <v>400.0</v>
      </c>
      <c r="D251" s="132"/>
    </row>
    <row r="252">
      <c r="A252" s="325">
        <v>43111.0</v>
      </c>
      <c r="B252" s="326" t="s">
        <v>1203</v>
      </c>
      <c r="C252" s="327">
        <v>-2.01</v>
      </c>
      <c r="D252" s="132" t="s">
        <v>527</v>
      </c>
    </row>
    <row r="253">
      <c r="A253" s="325">
        <v>43111.0</v>
      </c>
      <c r="B253" s="326" t="s">
        <v>1204</v>
      </c>
      <c r="C253" s="327">
        <v>-2.39</v>
      </c>
      <c r="D253" s="132" t="s">
        <v>527</v>
      </c>
    </row>
    <row r="254">
      <c r="A254" s="325">
        <v>43110.0</v>
      </c>
      <c r="B254" s="326" t="s">
        <v>1205</v>
      </c>
      <c r="C254" s="327">
        <v>-400.0</v>
      </c>
      <c r="D254" s="132"/>
    </row>
    <row r="255">
      <c r="A255" s="325">
        <v>43110.0</v>
      </c>
      <c r="B255" s="326" t="s">
        <v>1104</v>
      </c>
      <c r="C255" s="327">
        <v>-340.6</v>
      </c>
      <c r="D255" s="132"/>
    </row>
    <row r="256">
      <c r="A256" s="325">
        <v>43109.0</v>
      </c>
      <c r="B256" s="326" t="s">
        <v>1206</v>
      </c>
      <c r="C256" s="327">
        <v>-3.19</v>
      </c>
      <c r="D256" s="132" t="s">
        <v>527</v>
      </c>
    </row>
    <row r="257">
      <c r="A257" s="325">
        <v>43109.0</v>
      </c>
      <c r="B257" s="326" t="s">
        <v>1206</v>
      </c>
      <c r="C257" s="327">
        <v>-2.94</v>
      </c>
      <c r="D257" s="132" t="s">
        <v>527</v>
      </c>
    </row>
    <row r="258">
      <c r="A258" s="325">
        <v>43109.0</v>
      </c>
      <c r="B258" s="326" t="s">
        <v>1206</v>
      </c>
      <c r="C258" s="327">
        <v>-1.13</v>
      </c>
      <c r="D258" s="132" t="s">
        <v>527</v>
      </c>
    </row>
    <row r="259">
      <c r="A259" s="325">
        <v>43108.0</v>
      </c>
      <c r="B259" s="326" t="s">
        <v>1207</v>
      </c>
      <c r="C259" s="327">
        <v>-3.95</v>
      </c>
      <c r="D259" s="132" t="s">
        <v>527</v>
      </c>
    </row>
    <row r="260">
      <c r="A260" s="325">
        <v>43107.0</v>
      </c>
      <c r="B260" s="326" t="s">
        <v>1208</v>
      </c>
      <c r="C260" s="327">
        <v>-7.37</v>
      </c>
      <c r="D260" s="132" t="s">
        <v>527</v>
      </c>
    </row>
    <row r="261">
      <c r="A261" s="125">
        <v>43105.0</v>
      </c>
      <c r="B261" s="150" t="s">
        <v>1110</v>
      </c>
      <c r="C261" s="134">
        <v>207.0</v>
      </c>
      <c r="D261" s="134"/>
    </row>
    <row r="262">
      <c r="A262" s="125">
        <v>43105.0</v>
      </c>
      <c r="B262" s="127" t="s">
        <v>1209</v>
      </c>
      <c r="C262" s="132">
        <v>40.0</v>
      </c>
      <c r="D262" s="134"/>
    </row>
    <row r="263">
      <c r="A263" s="125">
        <v>43105.0</v>
      </c>
      <c r="B263" s="127" t="s">
        <v>1151</v>
      </c>
      <c r="C263" s="132">
        <v>890.0</v>
      </c>
      <c r="D263" s="134"/>
    </row>
    <row r="264">
      <c r="A264" s="125">
        <v>43105.0</v>
      </c>
      <c r="B264" s="127" t="s">
        <v>1184</v>
      </c>
      <c r="C264" s="132">
        <v>700.0</v>
      </c>
      <c r="D264" s="134"/>
    </row>
    <row r="265">
      <c r="A265" s="325">
        <v>43104.0</v>
      </c>
      <c r="B265" s="326" t="s">
        <v>1197</v>
      </c>
      <c r="C265" s="327">
        <v>-3.8</v>
      </c>
      <c r="D265" s="132" t="s">
        <v>527</v>
      </c>
    </row>
    <row r="266">
      <c r="A266" s="325">
        <v>43104.0</v>
      </c>
      <c r="B266" s="333" t="s">
        <v>1146</v>
      </c>
      <c r="C266" s="327">
        <v>-30000.0</v>
      </c>
      <c r="D266" s="132"/>
    </row>
    <row r="267">
      <c r="A267" s="325">
        <v>43103.0</v>
      </c>
      <c r="B267" s="333" t="s">
        <v>1210</v>
      </c>
      <c r="C267" s="327">
        <v>5000.0</v>
      </c>
      <c r="D267" s="132"/>
    </row>
    <row r="268">
      <c r="A268" s="325">
        <v>43103.0</v>
      </c>
      <c r="B268" s="333" t="s">
        <v>1211</v>
      </c>
      <c r="C268" s="327">
        <v>505.92</v>
      </c>
      <c r="D268" s="132"/>
    </row>
    <row r="269">
      <c r="A269" s="325">
        <v>43102.0</v>
      </c>
      <c r="B269" s="333" t="s">
        <v>1212</v>
      </c>
      <c r="C269" s="327">
        <v>400.0</v>
      </c>
      <c r="D269" s="132"/>
    </row>
    <row r="270">
      <c r="A270" s="325">
        <v>43102.0</v>
      </c>
      <c r="B270" s="333" t="s">
        <v>1210</v>
      </c>
      <c r="C270" s="327">
        <v>25000.0</v>
      </c>
      <c r="D270" s="132"/>
    </row>
    <row r="271">
      <c r="A271" s="325">
        <v>43096.0</v>
      </c>
      <c r="B271" s="333" t="s">
        <v>1136</v>
      </c>
      <c r="C271" s="327">
        <v>-259.0</v>
      </c>
      <c r="D271" s="132"/>
    </row>
    <row r="272">
      <c r="A272" s="325">
        <v>43088.0</v>
      </c>
      <c r="B272" s="333" t="s">
        <v>1213</v>
      </c>
      <c r="C272" s="327">
        <v>110.0</v>
      </c>
      <c r="D272" s="132"/>
    </row>
    <row r="273">
      <c r="A273" s="325">
        <v>43083.0</v>
      </c>
      <c r="B273" s="333" t="s">
        <v>1214</v>
      </c>
      <c r="C273" s="327">
        <v>-6.05</v>
      </c>
      <c r="D273" s="132" t="s">
        <v>527</v>
      </c>
    </row>
    <row r="274">
      <c r="A274" s="325">
        <v>43083.0</v>
      </c>
      <c r="B274" s="333" t="s">
        <v>1215</v>
      </c>
      <c r="C274" s="327">
        <v>-9.35</v>
      </c>
      <c r="D274" s="132" t="s">
        <v>527</v>
      </c>
    </row>
    <row r="275">
      <c r="A275" s="325">
        <v>43083.0</v>
      </c>
      <c r="B275" s="333" t="s">
        <v>1211</v>
      </c>
      <c r="C275" s="327">
        <v>152.45</v>
      </c>
      <c r="D275" s="132"/>
    </row>
    <row r="276">
      <c r="A276" s="325">
        <v>43080.0</v>
      </c>
      <c r="B276" s="333" t="s">
        <v>1104</v>
      </c>
      <c r="C276" s="327">
        <v>-340.6</v>
      </c>
      <c r="D276" s="132"/>
    </row>
    <row r="277">
      <c r="A277" s="125">
        <v>43080.0</v>
      </c>
      <c r="B277" s="56" t="s">
        <v>1206</v>
      </c>
      <c r="C277" s="132">
        <v>-1.32</v>
      </c>
      <c r="D277" s="132" t="s">
        <v>527</v>
      </c>
    </row>
    <row r="278">
      <c r="A278" s="125">
        <v>43076.0</v>
      </c>
      <c r="B278" s="56" t="s">
        <v>1216</v>
      </c>
      <c r="C278" s="132">
        <v>35.1</v>
      </c>
      <c r="D278" s="132"/>
    </row>
    <row r="279">
      <c r="A279" s="125">
        <v>43075.0</v>
      </c>
      <c r="B279" s="56" t="s">
        <v>1217</v>
      </c>
      <c r="C279" s="132">
        <v>700.0</v>
      </c>
      <c r="D279" s="132"/>
    </row>
    <row r="280">
      <c r="A280" s="125">
        <v>43074.0</v>
      </c>
      <c r="B280" s="56" t="s">
        <v>1110</v>
      </c>
      <c r="C280" s="132">
        <v>207.0</v>
      </c>
      <c r="D280" s="132"/>
    </row>
    <row r="281">
      <c r="A281" s="125">
        <v>43074.0</v>
      </c>
      <c r="B281" s="56" t="s">
        <v>1218</v>
      </c>
      <c r="C281" s="132">
        <v>-101.0</v>
      </c>
      <c r="D281" s="132" t="s">
        <v>527</v>
      </c>
    </row>
    <row r="282">
      <c r="A282" s="125">
        <v>43074.0</v>
      </c>
      <c r="B282" s="56" t="s">
        <v>1151</v>
      </c>
      <c r="C282" s="132">
        <v>-890.0</v>
      </c>
      <c r="D282" s="132"/>
    </row>
    <row r="283">
      <c r="A283" s="125">
        <v>43073.0</v>
      </c>
      <c r="B283" s="56" t="s">
        <v>1153</v>
      </c>
      <c r="C283" s="132">
        <v>1.0</v>
      </c>
      <c r="D283" s="132"/>
    </row>
    <row r="284">
      <c r="A284" s="125">
        <v>43073.0</v>
      </c>
      <c r="B284" s="56" t="s">
        <v>1219</v>
      </c>
      <c r="C284" s="132">
        <v>-38.0</v>
      </c>
      <c r="D284" s="132" t="s">
        <v>527</v>
      </c>
    </row>
    <row r="285">
      <c r="A285" s="125">
        <v>43073.0</v>
      </c>
      <c r="B285" s="56" t="s">
        <v>1153</v>
      </c>
      <c r="C285" s="132">
        <v>-1.0</v>
      </c>
      <c r="D285" s="132"/>
    </row>
    <row r="286">
      <c r="A286" s="125">
        <v>43073.0</v>
      </c>
      <c r="B286" s="56" t="s">
        <v>1211</v>
      </c>
      <c r="C286" s="132">
        <v>489.6</v>
      </c>
      <c r="D286" s="132"/>
    </row>
    <row r="287">
      <c r="A287" s="125">
        <v>43069.0</v>
      </c>
      <c r="B287" s="56" t="s">
        <v>1206</v>
      </c>
      <c r="C287" s="132">
        <v>-21.99</v>
      </c>
      <c r="D287" s="132" t="s">
        <v>527</v>
      </c>
    </row>
    <row r="288">
      <c r="A288" s="125">
        <v>43068.0</v>
      </c>
      <c r="B288" s="56" t="s">
        <v>1146</v>
      </c>
      <c r="C288" s="132">
        <v>-10000.0</v>
      </c>
      <c r="D288" s="132"/>
    </row>
    <row r="289">
      <c r="A289" s="125">
        <v>43068.0</v>
      </c>
      <c r="B289" s="56" t="s">
        <v>1220</v>
      </c>
      <c r="C289" s="132">
        <v>10000.0</v>
      </c>
      <c r="D289" s="132"/>
    </row>
    <row r="290">
      <c r="A290" s="125">
        <v>43067.0</v>
      </c>
      <c r="B290" s="56" t="s">
        <v>1221</v>
      </c>
      <c r="C290" s="132">
        <v>-989.01</v>
      </c>
      <c r="D290" s="132"/>
    </row>
    <row r="291">
      <c r="A291" s="125">
        <v>43063.0</v>
      </c>
      <c r="B291" s="56" t="s">
        <v>1206</v>
      </c>
      <c r="C291" s="132">
        <v>-83.27</v>
      </c>
      <c r="D291" s="132" t="s">
        <v>527</v>
      </c>
    </row>
    <row r="292">
      <c r="A292" s="125">
        <v>43061.0</v>
      </c>
      <c r="B292" s="56" t="s">
        <v>1222</v>
      </c>
      <c r="C292" s="132">
        <v>-5.3</v>
      </c>
      <c r="D292" s="132" t="s">
        <v>527</v>
      </c>
    </row>
    <row r="293">
      <c r="A293" s="125">
        <v>43056.0</v>
      </c>
      <c r="B293" s="56" t="s">
        <v>1181</v>
      </c>
      <c r="C293" s="132">
        <v>-19.79</v>
      </c>
      <c r="D293" s="132" t="s">
        <v>527</v>
      </c>
    </row>
    <row r="294">
      <c r="A294" s="125">
        <v>43055.0</v>
      </c>
      <c r="B294" s="56" t="s">
        <v>1146</v>
      </c>
      <c r="C294" s="132">
        <v>-1000.0</v>
      </c>
      <c r="D294" s="132"/>
    </row>
    <row r="295">
      <c r="A295" s="125">
        <v>43053.0</v>
      </c>
      <c r="B295" s="56" t="s">
        <v>1212</v>
      </c>
      <c r="C295" s="132">
        <v>1350.0</v>
      </c>
      <c r="D295" s="132"/>
    </row>
    <row r="296">
      <c r="A296" s="125">
        <v>43053.0</v>
      </c>
      <c r="B296" s="56" t="s">
        <v>1118</v>
      </c>
      <c r="C296" s="132">
        <v>-1000.0</v>
      </c>
      <c r="D296" s="132"/>
    </row>
    <row r="297">
      <c r="A297" s="125">
        <v>43053.0</v>
      </c>
      <c r="B297" s="56" t="s">
        <v>1155</v>
      </c>
      <c r="C297" s="132">
        <v>1000.0</v>
      </c>
      <c r="D297" s="132"/>
    </row>
    <row r="298">
      <c r="A298" s="125">
        <v>43052.0</v>
      </c>
      <c r="B298" s="56" t="s">
        <v>1223</v>
      </c>
      <c r="C298" s="132">
        <v>192.8</v>
      </c>
      <c r="D298" s="132"/>
    </row>
    <row r="299">
      <c r="A299" s="125">
        <v>43049.0</v>
      </c>
      <c r="B299" s="56" t="s">
        <v>1104</v>
      </c>
      <c r="C299" s="132">
        <v>-340.6</v>
      </c>
      <c r="D299" s="132"/>
    </row>
    <row r="300">
      <c r="A300" s="125">
        <v>43048.0</v>
      </c>
      <c r="B300" s="56" t="s">
        <v>1224</v>
      </c>
      <c r="C300" s="132">
        <v>700.0</v>
      </c>
      <c r="D300" s="132"/>
    </row>
    <row r="301">
      <c r="A301" s="125">
        <v>43045.0</v>
      </c>
      <c r="B301" s="56" t="s">
        <v>1151</v>
      </c>
      <c r="C301" s="132">
        <v>-890.0</v>
      </c>
      <c r="D301" s="132"/>
    </row>
    <row r="302">
      <c r="A302" s="125">
        <v>43041.0</v>
      </c>
      <c r="B302" s="56" t="s">
        <v>1211</v>
      </c>
      <c r="C302" s="132">
        <v>505.92</v>
      </c>
      <c r="D302" s="132"/>
    </row>
  </sheetData>
  <autoFilter ref="$A$1:$D$302"/>
  <hyperlinks>
    <hyperlink r:id="rId1" ref="B17"/>
    <hyperlink r:id="rId2" ref="B243"/>
    <hyperlink r:id="rId3" ref="B265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206</v>
      </c>
      <c r="B1" s="63" t="s">
        <v>1226</v>
      </c>
    </row>
    <row r="2">
      <c r="A2" s="20" t="s">
        <v>1227</v>
      </c>
      <c r="B2" s="334">
        <v>16.14</v>
      </c>
    </row>
    <row r="3">
      <c r="A3" s="20" t="s">
        <v>1228</v>
      </c>
      <c r="B3" s="334">
        <v>25.28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206</v>
      </c>
      <c r="B1" s="63" t="s">
        <v>1231</v>
      </c>
      <c r="C1" s="63" t="s">
        <v>1093</v>
      </c>
      <c r="D1" s="63" t="s">
        <v>234</v>
      </c>
    </row>
    <row r="2">
      <c r="A2" s="20" t="s">
        <v>1232</v>
      </c>
      <c r="B2" s="334">
        <v>14589.421875</v>
      </c>
      <c r="C2" s="209">
        <v>37.7235546875</v>
      </c>
      <c r="D2" s="335">
        <v>15127.1454296875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63" t="s">
        <v>60</v>
      </c>
      <c r="B1" s="63" t="s">
        <v>1233</v>
      </c>
      <c r="C1" s="63" t="s">
        <v>1234</v>
      </c>
      <c r="D1" s="63" t="s">
        <v>1235</v>
      </c>
      <c r="E1" s="63" t="s">
        <v>1236</v>
      </c>
      <c r="F1" s="63" t="s">
        <v>1237</v>
      </c>
      <c r="G1" s="63" t="s">
        <v>1093</v>
      </c>
      <c r="H1" s="63" t="s">
        <v>231</v>
      </c>
      <c r="I1" s="63" t="s">
        <v>1238</v>
      </c>
      <c r="J1" s="63" t="s">
        <v>1239</v>
      </c>
    </row>
    <row r="2">
      <c r="A2" s="336" t="s">
        <v>1240</v>
      </c>
      <c r="B2" s="337">
        <v>-340.6</v>
      </c>
      <c r="C2" s="128">
        <v>24.0</v>
      </c>
      <c r="D2" s="125">
        <v>42988.0</v>
      </c>
      <c r="E2" s="125">
        <f t="shared" ref="E2:E7" si="1">IF(AND($C2&lt;&gt;"",$D2&lt;&gt;""),DATE(YEAR($D2+DATE(0,$C2,0)),MONTH($D2+DATE(0,$C2,0)),DAY($D2)),"")</f>
        <v>43687</v>
      </c>
      <c r="F2" s="35">
        <f t="shared" ref="F2:F7" si="2">IF($C2,ABS($C2*$B2),"")</f>
        <v>8174.4</v>
      </c>
      <c r="G2" s="35">
        <f t="shared" ref="G2:G7" si="3">IF(AND($F2&lt;&gt;"",$B2&lt;0),MOD(ABS($F2),1000),"")</f>
        <v>174.4</v>
      </c>
      <c r="H2" s="164">
        <f t="shared" ref="H2:H7" si="4">IF($G2,$G2/($F2-$G2)/($C2/23),"")</f>
        <v>0.02089166667</v>
      </c>
      <c r="I2">
        <f t="shared" ref="I2:I7" si="5">IF(AND($E2&lt;&gt;"",TODAY()&lt;=$E2),DATEDIF(TODAY()+1,$E2,"M")+1,"")</f>
        <v>3</v>
      </c>
      <c r="J2" s="314">
        <f t="shared" ref="J2:J7" si="6">IF(AND($E2&lt;&gt;"",TODAY()&lt;=$E2),$I2*$B2,"")</f>
        <v>-1021.8</v>
      </c>
    </row>
    <row r="3">
      <c r="A3" s="336" t="s">
        <v>1227</v>
      </c>
      <c r="B3" s="337">
        <v>-704.62</v>
      </c>
      <c r="C3" s="128">
        <v>36.0</v>
      </c>
      <c r="D3" s="125">
        <v>43286.0</v>
      </c>
      <c r="E3" s="125">
        <f t="shared" si="1"/>
        <v>44352</v>
      </c>
      <c r="F3" s="35">
        <f t="shared" si="2"/>
        <v>25366.32</v>
      </c>
      <c r="G3" s="35">
        <f t="shared" si="3"/>
        <v>366.32</v>
      </c>
      <c r="H3" s="164">
        <f t="shared" si="4"/>
        <v>0.009361511111</v>
      </c>
      <c r="I3">
        <f t="shared" si="5"/>
        <v>25</v>
      </c>
      <c r="J3" s="314">
        <f t="shared" si="6"/>
        <v>-17615.5</v>
      </c>
    </row>
    <row r="4">
      <c r="A4" s="336" t="s">
        <v>1243</v>
      </c>
      <c r="B4" s="337">
        <v>-198.83000000000004</v>
      </c>
      <c r="E4" s="125" t="str">
        <f t="shared" si="1"/>
        <v/>
      </c>
      <c r="F4" s="35" t="str">
        <f t="shared" si="2"/>
        <v/>
      </c>
      <c r="G4" s="35" t="str">
        <f t="shared" si="3"/>
        <v/>
      </c>
      <c r="H4" s="164" t="str">
        <f t="shared" si="4"/>
        <v/>
      </c>
      <c r="I4" t="str">
        <f t="shared" si="5"/>
        <v/>
      </c>
      <c r="J4" s="338" t="str">
        <f t="shared" si="6"/>
        <v/>
      </c>
    </row>
    <row r="5">
      <c r="A5" s="336" t="s">
        <v>1244</v>
      </c>
      <c r="B5" s="337">
        <f>16.48*DAY(EOMONTH(TODAY(),0))</f>
        <v>510.88</v>
      </c>
      <c r="E5" s="125" t="str">
        <f t="shared" si="1"/>
        <v/>
      </c>
      <c r="F5" s="35" t="str">
        <f t="shared" si="2"/>
        <v/>
      </c>
      <c r="G5" s="35" t="str">
        <f t="shared" si="3"/>
        <v/>
      </c>
      <c r="H5" s="164" t="str">
        <f t="shared" si="4"/>
        <v/>
      </c>
      <c r="I5" t="str">
        <f t="shared" si="5"/>
        <v/>
      </c>
      <c r="J5" s="338" t="str">
        <f t="shared" si="6"/>
        <v/>
      </c>
    </row>
    <row r="6">
      <c r="A6" s="336" t="s">
        <v>1245</v>
      </c>
      <c r="B6" s="337">
        <v>207.0</v>
      </c>
      <c r="E6" s="125" t="str">
        <f t="shared" si="1"/>
        <v/>
      </c>
      <c r="F6" s="35" t="str">
        <f t="shared" si="2"/>
        <v/>
      </c>
      <c r="G6" s="35" t="str">
        <f t="shared" si="3"/>
        <v/>
      </c>
      <c r="H6" s="164" t="str">
        <f t="shared" si="4"/>
        <v/>
      </c>
      <c r="I6" t="str">
        <f t="shared" si="5"/>
        <v/>
      </c>
      <c r="J6" s="338" t="str">
        <f t="shared" si="6"/>
        <v/>
      </c>
    </row>
    <row r="7">
      <c r="A7" s="336" t="s">
        <v>1246</v>
      </c>
      <c r="B7" s="337">
        <v>100.0</v>
      </c>
      <c r="C7" s="56">
        <v>135.0</v>
      </c>
      <c r="D7" s="125">
        <v>42861.0</v>
      </c>
      <c r="E7" s="125">
        <f t="shared" si="1"/>
        <v>46940</v>
      </c>
      <c r="F7" s="35">
        <f t="shared" si="2"/>
        <v>13500</v>
      </c>
      <c r="G7" s="35" t="str">
        <f t="shared" si="3"/>
        <v/>
      </c>
      <c r="H7" s="164" t="str">
        <f t="shared" si="4"/>
        <v/>
      </c>
      <c r="I7">
        <f t="shared" si="5"/>
        <v>110</v>
      </c>
      <c r="J7" s="314">
        <f t="shared" si="6"/>
        <v>11000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6" width="12.0"/>
  </cols>
  <sheetData>
    <row r="1">
      <c r="A1" s="43" t="s">
        <v>2</v>
      </c>
      <c r="B1" s="3" t="s">
        <v>64</v>
      </c>
      <c r="C1" s="3" t="s">
        <v>231</v>
      </c>
      <c r="D1" s="3" t="s">
        <v>1248</v>
      </c>
      <c r="E1" s="3" t="s">
        <v>1249</v>
      </c>
      <c r="F1" s="3" t="s">
        <v>234</v>
      </c>
    </row>
    <row r="2">
      <c r="A2" s="125">
        <v>43586.0</v>
      </c>
      <c r="B2" s="132">
        <v>15089.421875</v>
      </c>
      <c r="C2" s="317">
        <v>0.0075</v>
      </c>
      <c r="D2" s="132">
        <v>37.7235546875</v>
      </c>
      <c r="E2" s="132">
        <v>0.0</v>
      </c>
      <c r="F2" s="132">
        <v>15127.1454296875</v>
      </c>
    </row>
    <row r="3">
      <c r="A3" s="125">
        <v>43556.0</v>
      </c>
      <c r="B3" s="132">
        <v>15089.421875</v>
      </c>
      <c r="C3" s="317">
        <v>0.0075</v>
      </c>
      <c r="D3" s="132">
        <v>28.292666015625</v>
      </c>
      <c r="E3" s="132">
        <v>0.0</v>
      </c>
      <c r="F3" s="132">
        <v>15117.714541015624</v>
      </c>
    </row>
    <row r="4">
      <c r="A4" s="125">
        <v>43525.0</v>
      </c>
      <c r="B4" s="132">
        <v>15089.421875</v>
      </c>
      <c r="C4" s="317">
        <v>0.0075</v>
      </c>
      <c r="D4" s="132">
        <v>18.86177734375</v>
      </c>
      <c r="E4" s="132">
        <v>0.0</v>
      </c>
      <c r="F4" s="132">
        <v>15108.28365234375</v>
      </c>
    </row>
    <row r="5">
      <c r="A5" s="125">
        <v>43497.0</v>
      </c>
      <c r="B5" s="132">
        <v>15089.421875</v>
      </c>
      <c r="C5" s="317">
        <v>0.0075</v>
      </c>
      <c r="D5" s="132">
        <v>9.430888671875</v>
      </c>
      <c r="E5" s="132">
        <v>-1000.0</v>
      </c>
      <c r="F5" s="132">
        <v>15098.852763671875</v>
      </c>
    </row>
    <row r="6">
      <c r="A6" s="125">
        <v>43466.0</v>
      </c>
      <c r="B6" s="132">
        <v>16089.421875</v>
      </c>
      <c r="C6" s="317">
        <v>0.0075</v>
      </c>
      <c r="D6" s="132">
        <v>83.171875</v>
      </c>
      <c r="E6" s="132">
        <v>-1000.0</v>
      </c>
      <c r="F6" s="132">
        <v>16089.421875</v>
      </c>
    </row>
    <row r="7">
      <c r="A7" s="125">
        <v>43435.0</v>
      </c>
      <c r="B7" s="132">
        <v>17006.25</v>
      </c>
      <c r="C7" s="317">
        <v>0.0075</v>
      </c>
      <c r="D7" s="132">
        <v>73.16796875</v>
      </c>
      <c r="E7" s="132">
        <v>0.0</v>
      </c>
      <c r="F7" s="132">
        <v>17079.41796875</v>
      </c>
    </row>
    <row r="8">
      <c r="A8" s="125">
        <v>43405.0</v>
      </c>
      <c r="B8" s="132">
        <v>17006.25</v>
      </c>
      <c r="C8" s="317">
        <v>0.0075</v>
      </c>
      <c r="D8" s="132">
        <v>62.5390625</v>
      </c>
      <c r="E8" s="132">
        <v>7000.0</v>
      </c>
      <c r="F8" s="132">
        <v>17068.7890625</v>
      </c>
    </row>
    <row r="9">
      <c r="A9" s="125">
        <v>43374.0</v>
      </c>
      <c r="B9" s="132">
        <v>10006.25</v>
      </c>
      <c r="C9" s="317">
        <v>0.0075</v>
      </c>
      <c r="D9" s="132">
        <v>56.28515625</v>
      </c>
      <c r="E9" s="132">
        <v>0.0</v>
      </c>
      <c r="F9" s="132">
        <v>10062.53515625</v>
      </c>
    </row>
    <row r="10">
      <c r="A10" s="125">
        <v>43344.0</v>
      </c>
      <c r="B10" s="132">
        <v>10006.25</v>
      </c>
      <c r="C10" s="317">
        <v>0.0075</v>
      </c>
      <c r="D10" s="132">
        <v>50.03125</v>
      </c>
      <c r="E10" s="132">
        <v>0.0</v>
      </c>
      <c r="F10" s="132">
        <v>10056.28125</v>
      </c>
    </row>
    <row r="11">
      <c r="A11" s="125">
        <v>43313.0</v>
      </c>
      <c r="B11" s="132">
        <v>10006.25</v>
      </c>
      <c r="C11" s="317">
        <v>0.0075</v>
      </c>
      <c r="D11" s="132">
        <v>43.77734375</v>
      </c>
      <c r="E11" s="132">
        <v>0.0</v>
      </c>
      <c r="F11" s="132">
        <v>10050.02734375</v>
      </c>
    </row>
    <row r="12">
      <c r="A12" s="125">
        <v>43282.0</v>
      </c>
      <c r="B12" s="132">
        <v>10006.25</v>
      </c>
      <c r="C12" s="317">
        <v>0.0075</v>
      </c>
      <c r="D12" s="132">
        <v>37.5234375</v>
      </c>
      <c r="E12" s="132">
        <v>0.0</v>
      </c>
      <c r="F12" s="132">
        <v>10043.7734375</v>
      </c>
    </row>
    <row r="13">
      <c r="A13" s="125">
        <v>43252.0</v>
      </c>
      <c r="B13" s="132">
        <v>10006.25</v>
      </c>
      <c r="C13" s="317">
        <v>0.0075</v>
      </c>
      <c r="D13" s="132">
        <v>31.26953125</v>
      </c>
      <c r="E13" s="132">
        <v>0.0</v>
      </c>
      <c r="F13" s="132">
        <v>10037.51953125</v>
      </c>
    </row>
    <row r="14">
      <c r="A14" s="125">
        <v>43221.0</v>
      </c>
      <c r="B14" s="132">
        <v>10006.25</v>
      </c>
      <c r="C14" s="317">
        <v>0.0075</v>
      </c>
      <c r="D14" s="132">
        <v>25.015625</v>
      </c>
      <c r="E14" s="132">
        <v>0.0</v>
      </c>
      <c r="F14" s="132">
        <v>10031.265625</v>
      </c>
    </row>
    <row r="15">
      <c r="A15" s="125">
        <v>43191.0</v>
      </c>
      <c r="B15" s="132">
        <v>10006.25</v>
      </c>
      <c r="C15" s="317">
        <v>0.0075</v>
      </c>
      <c r="D15" s="132">
        <v>18.76171875</v>
      </c>
      <c r="E15" s="132">
        <v>0.0</v>
      </c>
      <c r="F15" s="132">
        <v>10025.01171875</v>
      </c>
    </row>
    <row r="16">
      <c r="A16" s="125">
        <v>43160.0</v>
      </c>
      <c r="B16" s="132">
        <v>10006.25</v>
      </c>
      <c r="C16" s="317">
        <v>0.0075</v>
      </c>
      <c r="D16" s="132">
        <v>12.5078125</v>
      </c>
      <c r="E16" s="132">
        <v>0.0</v>
      </c>
      <c r="F16" s="132">
        <v>10018.7578125</v>
      </c>
    </row>
    <row r="17">
      <c r="A17" s="125">
        <v>43132.0</v>
      </c>
      <c r="B17" s="132">
        <v>10006.25</v>
      </c>
      <c r="C17" s="317">
        <v>0.0075</v>
      </c>
      <c r="D17" s="132">
        <v>6.25390625</v>
      </c>
      <c r="E17" s="132">
        <v>0.0</v>
      </c>
      <c r="F17" s="132">
        <v>10012.50390625</v>
      </c>
    </row>
    <row r="18">
      <c r="A18" s="125">
        <v>43101.0</v>
      </c>
      <c r="B18" s="132">
        <v>10006.25</v>
      </c>
      <c r="C18" s="317">
        <v>0.0075</v>
      </c>
      <c r="D18" s="132">
        <v>6.25</v>
      </c>
      <c r="E18" s="132">
        <v>0.0</v>
      </c>
      <c r="F18" s="132">
        <v>10006.25</v>
      </c>
    </row>
    <row r="19">
      <c r="A19" s="125">
        <v>43070.0</v>
      </c>
      <c r="B19" s="132">
        <v>10000.0</v>
      </c>
      <c r="C19" s="317">
        <v>0.0075</v>
      </c>
      <c r="D19" s="132">
        <v>0.0</v>
      </c>
      <c r="E19" s="132">
        <v>10000.0</v>
      </c>
      <c r="F19" s="132">
        <v>10000.0</v>
      </c>
    </row>
  </sheetData>
  <drawing r:id="rId2"/>
  <legacyDrawing r:id="rId3"/>
</worksheet>
</file>