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3">
      <text>
        <t xml:space="preserve">Chèque Robot</t>
      </text>
    </comment>
    <comment authorId="0" ref="C14">
      <text>
        <t xml:space="preserve">Inclus dans -1000 car 700 de crédit</t>
      </text>
    </comment>
    <comment authorId="0" ref="C18">
      <text>
        <t xml:space="preserve">Inclus dans -1000 car 700 de crédit</t>
      </text>
    </comment>
    <comment authorId="0" ref="C27">
      <text>
        <t xml:space="preserve">2020 donation</t>
      </text>
    </comment>
    <comment authorId="0" ref="C28">
      <text>
        <t xml:space="preserve">Non paiement du crédit</t>
      </text>
    </comment>
    <comment authorId="0" ref="C29">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9">
      <text>
        <t xml:space="preserve">WARNING : Should be the same as the spreadsheet name with account data historic</t>
      </text>
    </comment>
    <comment authorId="0" ref="A10">
      <text>
        <t xml:space="preserve">Set a value if the movement is recurrent (happening every month), can only be negative (withdraw)</t>
      </text>
    </comment>
    <comment authorId="0" ref="A14">
      <text>
        <t xml:space="preserve">Money donated to charity</t>
      </text>
    </comment>
    <comment authorId="0" ref="A15">
      <text>
        <t xml:space="preserve">Number of financed projects</t>
      </text>
    </comment>
    <comment authorId="0" ref="A16">
      <text>
        <t xml:space="preserve">Time since first investment</t>
      </text>
    </comment>
    <comment authorId="0" ref="A34">
      <text>
        <t xml:space="preserve">Amount not added because the money has not been invested</t>
      </text>
    </comment>
    <comment authorId="0" ref="A35">
      <text>
        <t xml:space="preserve">Money really invested (movement - rejected)</t>
      </text>
    </comment>
    <comment authorId="0" ref="A36">
      <text>
        <t xml:space="preserve">Cumulated amount without interest</t>
      </text>
    </comment>
    <comment authorId="0" ref="A37">
      <text>
        <t xml:space="preserve">The monthly rate from which calculate interests</t>
      </text>
    </comment>
    <comment authorId="0" ref="A38">
      <text>
        <t xml:space="preserve">The cumulated rate since the beginning of savings</t>
      </text>
    </comment>
    <comment authorId="0" ref="A39">
      <text>
        <t xml:space="preserve">The cumulated rate adjusted to one year</t>
      </text>
    </comment>
    <comment authorId="0" ref="A40">
      <text>
        <t xml:space="preserve">Current gain (= Current Value * Rate / 12)</t>
      </text>
    </comment>
    <comment authorId="0" ref="A41">
      <text>
        <t xml:space="preserve">Cumulated gain since the beginning of saving</t>
      </text>
    </comment>
    <comment authorId="0" ref="A42">
      <text>
        <t xml:space="preserve">Money collected for charity</t>
      </text>
    </comment>
    <comment authorId="0" ref="A43">
      <text>
        <t xml:space="preserve">Minimum guaranteed in case of negative rate</t>
      </text>
    </comment>
    <comment authorId="0" ref="A44">
      <text>
        <t xml:space="preserve">Total of value and gain cumulated</t>
      </text>
    </comment>
    <comment authorId="0" ref="A45">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<sst xmlns="http://schemas.openxmlformats.org/spreadsheetml/2006/main" count="599" uniqueCount="373">
  <si>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</si>
  <si>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</si>
  <si>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</si>
  <si>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</si>
  <si>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</si>
  <si>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</si>
  <si>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</si>
  <si>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</si>
  <si>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</si>
  <si>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</si>
  <si>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</si>
  <si>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</si>
  <si>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</si>
  <si>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</si>
  <si>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</si>
  <si>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</si>
  <si>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</si>
  <si>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</si>
  <si>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</si>
  <si>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</si>
  <si>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</si>
  <si>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</si>
  <si>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</si>
  <si>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</si>
  <si>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</si>
  <si>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</si>
  <si>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</si>
  <si>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</si>
  <si>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</si>
  <si>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</si>
  <si>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</si>
  <si>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</si>
  <si>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</si>
  <si>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</si>
  <si>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</si>
  <si>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</si>
  <si>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</si>
  <si>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</si>
  <si>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</si>
  <si>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</si>
  <si>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</si>
  <si>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</si>
  <si>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</si>
  <si>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</si>
  <si>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</si>
  <si>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</si>
  <si>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</si>
  <si>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</si>
  <si>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</si>
  <si>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</si>
  <si>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</si>
  <si>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</si>
  <si>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</si>
  <si>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</si>
  <si>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</si>
  <si>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</si>
  <si>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</si>
  <si>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</si>
  <si>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</si>
  <si>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</si>
  <si>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</si>
  <si>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</si>
  <si>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</si>
  <si>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</si>
  <si>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</si>
  <si>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</si>
  <si>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</si>
  <si>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</si>
  <si>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</si>
  <si>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</si>
  <si>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</si>
  <si>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</si>
  <si>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</si>
  <si>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</si>
  <si>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</si>
  <si>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</si>
  <si>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</si>
  <si>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</si>
  <si>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</si>
  <si>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</si>
  <si>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</si>
  <si>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</si>
  <si>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</si>
  <si>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</si>
  <si>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</si>
  <si>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</si>
  <si>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</si>
  <si>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</si>
  <si>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</si>
  <si>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</si>
  <si>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</si>
  <si>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</si>
  <si>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</si>
  <si>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</si>
  <si>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</si>
  <si>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</si>
  <si>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</si>
  <si>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</si>
  <si>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</si>
  <si>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</si>
  <si>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</si>
  <si>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</si>
  <si>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</si>
  <si>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</si>
  <si>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</si>
  <si>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</si>
  <si>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</si>
  <si>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</si>
  <si>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</si>
  <si>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</si>
  <si>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</si>
  <si>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</si>
  <si>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</si>
  <si>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</si>
  <si>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</si>
  <si>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</si>
  <si>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</si>
  <si>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</si>
  <si>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</si>
  <si>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</si>
  <si>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</si>
  <si>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</si>
  <si>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</si>
  <si>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</si>
  <si>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</si>
  <si>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</si>
  <si>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</si>
  <si>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</si>
  <si>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</si>
  <si>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</si>
  <si>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</si>
  <si>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</si>
  <si>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</si>
  <si>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</si>
  <si>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</si>
  <si>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</si>
  <si>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</si>
  <si>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</si>
  <si>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</si>
  <si>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</si>
  <si>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</si>
  <si>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</si>
  <si>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</si>
  <si>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</si>
  <si>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</si>
  <si>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</si>
  <si>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</si>
  <si>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</si>
  <si>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</si>
  <si>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</si>
  <si>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</si>
  <si>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</si>
  <si>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</si>
  <si>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</si>
  <si>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</si>
  <si>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</si>
  <si>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</si>
  <si>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</si>
  <si>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</si>
  <si>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</si>
  <si>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</si>
  <si>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</si>
  <si>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</si>
  <si>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</si>
  <si>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</si>
  <si>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</si>
  <si>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</si>
  <si>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</si>
  <si>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</si>
  <si>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</si>
  <si>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</si>
  <si>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</si>
  <si>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</si>
  <si>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</si>
  <si>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</si>
  <si>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</si>
  <si>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</si>
  <si>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</si>
  <si>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</si>
  <si>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</si>
  <si>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</si>
  <si>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</si>
  <si>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</si>
  <si>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</si>
  <si>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</si>
  <si>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</si>
  <si>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</si>
  <si>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</si>
  <si>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</si>
  <si>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</si>
  <si>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</si>
  <si>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</si>
  <si>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</si>
  <si>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</si>
  <si>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</si>
  <si>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</si>
  <si>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</si>
  <si>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</si>
  <si>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</si>
  <si>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</si>
  <si>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</si>
  <si>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</si>
  <si>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</si>
  <si>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</si>
  <si>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</si>
  <si>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</si>
  <si>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</si>
  <si>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</si>
  <si>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</si>
  <si>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</si>
  <si>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</si>
  <si>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</si>
  <si>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</si>
  <si>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</si>
  <si>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</si>
  <si>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</si>
  <si>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</si>
  <si>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</si>
  <si>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</si>
  <si>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</si>
  <si>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</si>
  <si>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</si>
  <si>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</si>
  <si>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</si>
  <si>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</si>
  <si>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</si>
  <si>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</si>
  <si>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</si>
  <si>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</si>
  <si>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</si>
  <si>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</si>
  <si>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</si>
  <si>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</si>
  <si>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</si>
  <si>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</si>
  <si>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</si>
  <si>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</si>
  <si>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</si>
  <si>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</si>
  <si>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</si>
  <si>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</si>
  <si>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</si>
  <si>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</si>
  <si>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</si>
  <si>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</si>
  <si>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</si>
  <si>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</si>
  <si>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</si>
  <si>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</si>
  <si>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</si>
  <si>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</si>
  <si>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</si>
  <si>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</si>
  <si>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</si>
  <si>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</si>
  <si>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</si>
  <si>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</si>
  <si>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</si>
  <si>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</si>
  <si>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</si>
  <si>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</si>
  <si>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</si>
  <si>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</si>
  <si>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</si>
  <si>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</si>
  <si>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</si>
  <si>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</si>
  <si>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</si>
  <si>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</si>
  <si>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</si>
  <si>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</si>
  <si>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</si>
  <si>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</si>
  <si>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</si>
  <si>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</si>
  <si>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</si>
  <si>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</si>
  <si>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</si>
  <si>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</si>
  <si>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</si>
  <si>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</si>
  <si>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</si>
  <si>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</si>
  <si>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</si>
  <si>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</si>
  <si>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</si>
  <si>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</si>
  <si>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</si>
  <si>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</si>
  <si>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</si>
  <si>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</si>
  <si>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</si>
  <si>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</si>
  <si>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</si>
  <si>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</si>
  <si>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</si>
  <si>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</si>
  <si>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</si>
  <si>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</si>
  <si>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</si>
  <si>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</si>
  <si>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</si>
  <si>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</si>
  <si>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</si>
  <si>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</si>
  <si>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</si>
  <si>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</si>
  <si>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</si>
  <si>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</si>
  <si>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</si>
  <si>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</si>
  <si>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</si>
  <si>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</si>
  <si>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</si>
  <si>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</si>
  <si>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</si>
  <si>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</si>
  <si>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</si>
  <si>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</si>
  <si>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</si>
  <si>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</si>
  <si>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</si>
  <si>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</si>
  <si>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</si>
  <si>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</si>
  <si>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</si>
  <si>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</si>
  <si>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</si>
  <si>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</si>
  <si>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</si>
  <si>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</si>
  <si>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</si>
  <si>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</si>
  <si>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</si>
  <si>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</si>
  <si>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</si>
  <si>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</si>
  <si>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</si>
  <si>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</si>
  <si>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Immédiat</t>
  </si>
  <si>
    <t>Start of next month</t>
  </si>
  <si>
    <t>Début du mois prochain</t>
  </si>
  <si>
    <t>free</t>
  </si>
  <si>
    <t>gratuit</t>
  </si>
  <si>
    <t>Recipient</t>
  </si>
  <si>
    <t>Bénéficiaire</t>
  </si>
  <si>
    <t>Banque Adress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</si>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</sst>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3">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name val="Arial"/>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4" fontId="8" numFmtId="172" xfId="0" applyAlignment="1" applyFont="1" applyNumberFormat="1">
      <alignment horizontal="center" readingOrder="0" vertical="bottom"/>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9" numFmtId="0" xfId="0" applyAlignment="1" applyFont="1">
      <alignment horizontal="center" shrinkToFit="0" vertical="top" wrapText="1"/>
    </xf>
    <xf borderId="0" fillId="0" fontId="10"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vertical="top"/>
    </xf>
    <xf borderId="0" fillId="2" fontId="1" numFmtId="168" xfId="0" applyAlignment="1" applyFont="1" applyNumberFormat="1">
      <alignment horizontal="center" readingOrder="0" vertical="top"/>
    </xf>
    <xf borderId="0" fillId="0" fontId="2" numFmtId="0" xfId="0" applyAlignment="1" applyFont="1">
      <alignment horizontal="center" readingOrder="0" vertical="top"/>
    </xf>
    <xf borderId="0" fillId="0" fontId="2" numFmtId="168" xfId="0" applyAlignment="1" applyFont="1" applyNumberFormat="1">
      <alignment horizontal="center" readingOrder="0"/>
    </xf>
    <xf borderId="0" fillId="0" fontId="2" numFmtId="0" xfId="0" applyAlignment="1" applyFont="1">
      <alignment horizontal="center" readingOrder="0" vertical="top"/>
    </xf>
    <xf borderId="0" fillId="4" fontId="11" numFmtId="0" xfId="0" applyAlignment="1" applyFont="1">
      <alignment horizontal="center" readingOrder="0"/>
    </xf>
    <xf borderId="2" fillId="0" fontId="2" numFmtId="168" xfId="0" applyAlignment="1" applyBorder="1" applyFont="1" applyNumberFormat="1">
      <alignment horizontal="center" readingOrder="0"/>
    </xf>
    <xf borderId="0" fillId="0" fontId="2" numFmtId="165" xfId="0" applyAlignment="1" applyFont="1" applyNumberFormat="1">
      <alignment horizontal="center" readingOrder="0"/>
    </xf>
    <xf borderId="0" fillId="0" fontId="2" numFmtId="0" xfId="0" applyAlignment="1" applyFont="1">
      <alignment horizontal="center"/>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44166.9352</v>
      </c>
    </row>
    <row r="2">
      <c r="A2" s="1" t="s">
        <v>1</v>
      </c>
      <c r="B2" s="3">
        <f>DATEVALUE($B$1)</f>
        <v>44166</v>
      </c>
    </row>
    <row r="3">
      <c r="A3" s="1" t="s">
        <v>2</v>
      </c>
      <c r="B3" s="4">
        <f>TIMEVALUE($B$1)</f>
        <v>0.9351967593</v>
      </c>
    </row>
    <row r="4">
      <c r="A4" s="1" t="s">
        <v>3</v>
      </c>
      <c r="B4" s="5">
        <f>YEAR($B$1)</f>
        <v>2020</v>
      </c>
    </row>
    <row r="5">
      <c r="A5" s="1" t="s">
        <v>4</v>
      </c>
      <c r="B5" s="5">
        <f>MONTH($B$1)</f>
        <v>12</v>
      </c>
    </row>
    <row r="6">
      <c r="A6" s="1" t="s">
        <v>5</v>
      </c>
      <c r="B6" s="5">
        <f>DAY($B$1)</f>
        <v>1</v>
      </c>
    </row>
    <row r="7">
      <c r="A7" s="1" t="s">
        <v>6</v>
      </c>
      <c r="B7" s="5">
        <f>WEEKDAY($B$1,2)</f>
        <v>2</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IFERROR(__xludf.DUMMYFUNCTION("""COMPUTED_VALUE"""),298924.8915798419)</f>
        <v>298924.8916</v>
      </c>
    </row>
    <row r="2">
      <c r="A2" s="5" t="str">
        <f>IFERROR(__xludf.DUMMYFUNCTION("""COMPUTED_VALUE"""),"Cumulated profit total rate")</f>
        <v>Cumulated profit total rate</v>
      </c>
      <c r="B2" s="11">
        <f>IFERROR(__xludf.DUMMYFUNCTION("""COMPUTED_VALUE"""),1.0493971467622076)</f>
        <v>1.049397147</v>
      </c>
    </row>
    <row r="3">
      <c r="A3" s="5" t="str">
        <f>IFERROR(__xludf.DUMMYFUNCTION("""COMPUTED_VALUE"""),"Cumulated profit")</f>
        <v>Cumulated profit</v>
      </c>
      <c r="B3" s="10">
        <f>IFERROR(__xludf.DUMMYFUNCTION("""COMPUTED_VALUE"""),186836.47400000007)</f>
        <v>186836.474</v>
      </c>
    </row>
    <row r="4">
      <c r="A4" s="5" t="str">
        <f>IFERROR(__xludf.DUMMYFUNCTION("""COMPUTED_VALUE"""),"Cumulated profit rate")</f>
        <v>Cumulated profit rate</v>
      </c>
      <c r="B4" s="11">
        <f>IFERROR(__xludf.DUMMYFUNCTION("""COMPUTED_VALUE"""),0.1086737476197608)</f>
        <v>0.1086737476</v>
      </c>
    </row>
    <row r="5">
      <c r="A5" s="5" t="str">
        <f>IFERROR(__xludf.DUMMYFUNCTION("""COMPUTED_VALUE"""),"Cumulated dividend")</f>
        <v>Cumulated dividend</v>
      </c>
      <c r="B5" s="10">
        <f>IFERROR(__xludf.DUMMYFUNCTION("""COMPUTED_VALUE"""),40274.780000000006)</f>
        <v>40274.78</v>
      </c>
    </row>
    <row r="6">
      <c r="A6" s="5" t="str">
        <f>IFERROR(__xludf.DUMMYFUNCTION("""COMPUTED_VALUE"""),"Cumulated dividend rate")</f>
        <v>Cumulated dividend rate</v>
      </c>
      <c r="B6" s="11">
        <f>IFERROR(__xludf.DUMMYFUNCTION("""COMPUTED_VALUE"""),0.023425893153824925)</f>
        <v>0.02342589315</v>
      </c>
    </row>
    <row r="7">
      <c r="A7" s="5" t="str">
        <f>IFERROR(__xludf.DUMMYFUNCTION("""COMPUTED_VALUE"""),"Average investment")</f>
        <v>Average investment</v>
      </c>
      <c r="B7" s="10">
        <f>IFERROR(__xludf.DUMMYFUNCTION("""COMPUTED_VALUE"""),178041.7209790042)</f>
        <v>178041.721</v>
      </c>
    </row>
    <row r="8">
      <c r="A8" s="5" t="str">
        <f>IFERROR(__xludf.DUMMYFUNCTION("""COMPUTED_VALUE"""),"Saving duration")</f>
        <v>Saving duration</v>
      </c>
      <c r="B8" s="12">
        <f>IFERROR(__xludf.DUMMYFUNCTION("""COMPUTED_VALUE"""),9.656399726214921)</f>
        <v>9.656399726</v>
      </c>
    </row>
    <row r="9">
      <c r="A9" s="5" t="str">
        <f>IFERROR(__xludf.DUMMYFUNCTION("""COMPUTED_VALUE"""),"Saving duration")</f>
        <v>Saving duration</v>
      </c>
      <c r="B9" s="12" t="str">
        <f>IFERROR(__xludf.DUMMYFUNCTION("""COMPUTED_VALUE"""),"116 months (9.7 years)")</f>
        <v>116 months (9.7 years)</v>
      </c>
    </row>
    <row r="10">
      <c r="A10" s="5" t="str">
        <f>IFERROR(__xludf.DUMMYFUNCTION("""COMPUTED_VALUE"""),"Working free duration")</f>
        <v>Working free duration</v>
      </c>
      <c r="B10" s="13" t="str">
        <f>IFERROR(__xludf.DUMMYFUNCTION("""COMPUTED_VALUE"""),"244 months (20.3 years)")</f>
        <v>244 months (20.3 years)</v>
      </c>
    </row>
    <row r="11">
      <c r="A11" s="5" t="str">
        <f>IFERROR(__xludf.DUMMYFUNCTION("""COMPUTED_VALUE"""),"Since Independance duration")</f>
        <v>Since Independance duration</v>
      </c>
      <c r="B11" s="13" t="str">
        <f>IFERROR(__xludf.DUMMYFUNCTION("""COMPUTED_VALUE"""),"1269 months (105.8 years)")</f>
        <v>1269 months (105.8 years)</v>
      </c>
    </row>
    <row r="12">
      <c r="A12" s="5" t="str">
        <f>IFERROR(__xludf.DUMMYFUNCTION("""COMPUTED_VALUE"""),"Since Independance gap")</f>
        <v>Since Independance gap</v>
      </c>
      <c r="B12" s="10">
        <f>IFERROR(__xludf.DUMMYFUNCTION("""COMPUTED_VALUE"""),-329686.42504170403)</f>
        <v>-329686.425</v>
      </c>
    </row>
    <row r="13">
      <c r="A13" s="5" t="str">
        <f>IFERROR(__xludf.DUMMYFUNCTION("""COMPUTED_VALUE"""),"Monthly income")</f>
        <v>Monthly income</v>
      </c>
      <c r="B13" s="10">
        <f>IFERROR(__xludf.DUMMYFUNCTION("""COMPUTED_VALUE"""),967.3068358623298)</f>
        <v>967.3068359</v>
      </c>
    </row>
    <row r="14">
      <c r="A14" s="5" t="str">
        <f>IFERROR(__xludf.DUMMYFUNCTION("""COMPUTED_VALUE"""),"Monthly expenses")</f>
        <v>Monthly expenses</v>
      </c>
      <c r="B14" s="10">
        <f>IFERROR(__xludf.DUMMYFUNCTION("""COMPUTED_VALUE"""),-1227.1484615384622)</f>
        <v>-1227.148462</v>
      </c>
    </row>
    <row r="15">
      <c r="A15" s="5" t="str">
        <f>IFERROR(__xludf.DUMMYFUNCTION("""COMPUTED_VALUE"""),"Income use")</f>
        <v>Income use</v>
      </c>
      <c r="B15" s="14">
        <f>IFERROR(__xludf.DUMMYFUNCTION("""COMPUTED_VALUE"""),1.2686237872437758)</f>
        <v>1.268623787</v>
      </c>
    </row>
    <row r="16">
      <c r="A16" s="5" t="str">
        <f>IFERROR(__xludf.DUMMYFUNCTION("""COMPUTED_VALUE"""),"Current expense")</f>
        <v>Current expense</v>
      </c>
      <c r="B16" s="10">
        <f>IFERROR(__xludf.DUMMYFUNCTION("""COMPUTED_VALUE"""),0.0)</f>
        <v>0</v>
      </c>
    </row>
    <row r="17">
      <c r="A17" s="5" t="str">
        <f>IFERROR(__xludf.DUMMYFUNCTION("""COMPUTED_VALUE"""),"Expense gap ")</f>
        <v>Expense gap </v>
      </c>
      <c r="B17" s="10">
        <f>IFERROR(__xludf.DUMMYFUNCTION("""COMPUTED_VALUE"""),-1131.8323130140916)</f>
        <v>-1131.832313</v>
      </c>
    </row>
    <row r="18">
      <c r="A18" s="5" t="str">
        <f>IFERROR(__xludf.DUMMYFUNCTION("""COMPUTED_VALUE"""),"Savings available")</f>
        <v>Savings available</v>
      </c>
      <c r="B18" s="10">
        <f>IFERROR(__xludf.DUMMYFUNCTION("""COMPUTED_VALUE"""),3.54)</f>
        <v>3.54</v>
      </c>
    </row>
    <row r="19">
      <c r="A19" s="5" t="str">
        <f>IFERROR(__xludf.DUMMYFUNCTION("""COMPUTED_VALUE"""),"Current monthly dividend / thousand")</f>
        <v>Current monthly dividend / thousand</v>
      </c>
      <c r="B19" s="15">
        <f>IFERROR(__xludf.DUMMYFUNCTION("""COMPUTED_VALUE"""),2.55951819269166)</f>
        <v>2.559518193</v>
      </c>
    </row>
    <row r="20">
      <c r="A20" s="5" t="str">
        <f>IFERROR(__xludf.DUMMYFUNCTION("""COMPUTED_VALUE"""),"Monthly payment")</f>
        <v>Monthly payment</v>
      </c>
      <c r="B20" s="10">
        <f>IFERROR(__xludf.DUMMYFUNCTION("""COMPUTED_VALUE"""),-1800.0)</f>
        <v>-1800</v>
      </c>
    </row>
    <row r="21">
      <c r="A21" s="5" t="str">
        <f>IFERROR(__xludf.DUMMYFUNCTION("""COMPUTED_VALUE"""),"Current monthly dividend")</f>
        <v>Current monthly dividend</v>
      </c>
      <c r="B21" s="15">
        <f>IFERROR(__xludf.DUMMYFUNCTION("""COMPUTED_VALUE"""),438.14124207569796)</f>
        <v>438.1412421</v>
      </c>
    </row>
    <row r="22">
      <c r="A22" s="5" t="str">
        <f>IFERROR(__xludf.DUMMYFUNCTION("""COMPUTED_VALUE"""),"Last year monthly dividend ")</f>
        <v>Last year monthly dividend </v>
      </c>
      <c r="B22" s="15">
        <f>IFERROR(__xludf.DUMMYFUNCTION("""COMPUTED_VALUE"""),95.31614852437059)</f>
        <v>95.31614852</v>
      </c>
    </row>
    <row r="23">
      <c r="A23" s="5" t="str">
        <f>IFERROR(__xludf.DUMMYFUNCTION("""COMPUTED_VALUE"""),"Monthly income progress average")</f>
        <v>Monthly income progress average</v>
      </c>
      <c r="B23" s="10">
        <f>IFERROR(__xludf.DUMMYFUNCTION("""COMPUTED_VALUE"""),-54.51160389860857)</f>
        <v>-54.5116039</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IFERROR(__xludf.DUMMYFUNCTION("""COMPUTED_VALUE"""),-13797.855999999909)</f>
        <v>-13797.856</v>
      </c>
    </row>
    <row r="26">
      <c r="A26" s="5" t="str">
        <f>IFERROR(__xludf.DUMMYFUNCTION("""COMPUTED_VALUE"""),"Monthly profit percentage")</f>
        <v>Monthly profit percentage</v>
      </c>
      <c r="B26" s="11">
        <f>IFERROR(__xludf.DUMMYFUNCTION("""COMPUTED_VALUE"""),-0.0359926448818199)</f>
        <v>-0.03599264488</v>
      </c>
    </row>
    <row r="27">
      <c r="A27" s="5" t="str">
        <f>IFERROR(__xludf.DUMMYFUNCTION("""COMPUTED_VALUE"""),"Next portfolio objective")</f>
        <v>Next portfolio objective</v>
      </c>
      <c r="B27" s="10">
        <f>IFERROR(__xludf.DUMMYFUNCTION("""COMPUTED_VALUE"""),389637.095)</f>
        <v>389637.095</v>
      </c>
    </row>
    <row r="28">
      <c r="A28" s="5" t="str">
        <f>IFERROR(__xludf.DUMMYFUNCTION("""COMPUTED_VALUE"""),"Next portfolio objective spread")</f>
        <v>Next portfolio objective spread</v>
      </c>
      <c r="B28" s="10">
        <f>IFERROR(__xludf.DUMMYFUNCTION("""COMPUTED_VALUE"""),-20082.850999999908)</f>
        <v>-20082.851</v>
      </c>
    </row>
    <row r="29">
      <c r="A29" s="5" t="str">
        <f>IFERROR(__xludf.DUMMYFUNCTION("""COMPUTED_VALUE"""),"Next portfolio objective ratio")</f>
        <v>Next portfolio objective ratio</v>
      </c>
      <c r="B29" s="16">
        <f>IFERROR(__xludf.DUMMYFUNCTION("""COMPUTED_VALUE"""),-2.1953646741166724)</f>
        <v>-2.195364674</v>
      </c>
    </row>
    <row r="30">
      <c r="A30" s="5" t="str">
        <f>IFERROR(__xludf.DUMMYFUNCTION("""COMPUTED_VALUE"""),"Debt")</f>
        <v>Debt</v>
      </c>
      <c r="B30" s="10">
        <f>IFERROR(__xludf.DUMMYFUNCTION("""COMPUTED_VALUE"""),-70632.89242015811)</f>
        <v>-70632.89242</v>
      </c>
    </row>
    <row r="31">
      <c r="A31" s="5" t="str">
        <f>IFERROR(__xludf.DUMMYFUNCTION("""COMPUTED_VALUE"""),"Owing")</f>
        <v>Owing</v>
      </c>
      <c r="B31" s="10">
        <f>IFERROR(__xludf.DUMMYFUNCTION("""COMPUTED_VALUE"""),9200.0)</f>
        <v>9200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IFERROR(__xludf.DUMMYFUNCTION("""COMPUTED_VALUE"""),-56258.34242015811)</f>
        <v>-56258.34242</v>
      </c>
    </row>
    <row r="34">
      <c r="A34" s="5" t="str">
        <f>IFERROR(__xludf.DUMMYFUNCTION("""COMPUTED_VALUE"""),"Current portfolio duration")</f>
        <v>Current portfolio duration</v>
      </c>
      <c r="B34" s="12">
        <f>IFERROR(__xludf.DUMMYFUNCTION("""COMPUTED_VALUE"""),5.100616016427105)</f>
        <v>5.100616016</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IFERROR(__xludf.DUMMYFUNCTION("""COMPUTED_VALUE"""),1268579.664)</f>
        <v>1268579.664</v>
      </c>
    </row>
    <row r="37">
      <c r="A37" s="5" t="str">
        <f>IFERROR(__xludf.DUMMYFUNCTION("""COMPUTED_VALUE"""),"Current portfolio cash")</f>
        <v>Current portfolio cash</v>
      </c>
      <c r="B37" s="10">
        <f>IFERROR(__xludf.DUMMYFUNCTION("""COMPUTED_VALUE"""),-899025.42)</f>
        <v>-899025.42</v>
      </c>
    </row>
    <row r="38">
      <c r="A38" s="5" t="str">
        <f>IFERROR(__xludf.DUMMYFUNCTION("""COMPUTED_VALUE"""),"Current portfolio value")</f>
        <v>Current portfolio value</v>
      </c>
      <c r="B38" s="10">
        <f>IFERROR(__xludf.DUMMYFUNCTION("""COMPUTED_VALUE"""),369554.24400000006)</f>
        <v>369554.244</v>
      </c>
    </row>
    <row r="39">
      <c r="A39" s="5" t="str">
        <f>IFERROR(__xludf.DUMMYFUNCTION("""COMPUTED_VALUE"""),"Current portfolio total profit")</f>
        <v>Current portfolio total profit</v>
      </c>
      <c r="B39" s="17">
        <f>IFERROR(__xludf.DUMMYFUNCTION("""COMPUTED_VALUE"""),198373.1040000001)</f>
        <v>198373.104</v>
      </c>
    </row>
    <row r="40">
      <c r="A40" s="5" t="str">
        <f>IFERROR(__xludf.DUMMYFUNCTION("""COMPUTED_VALUE"""),"Current portfolio total profit rate")</f>
        <v>Current portfolio total profit rate</v>
      </c>
      <c r="B40" s="11">
        <f>IFERROR(__xludf.DUMMYFUNCTION("""COMPUTED_VALUE"""),0.21844312208086755)</f>
        <v>0.2184431221</v>
      </c>
    </row>
    <row r="41">
      <c r="A41" s="5" t="str">
        <f>IFERROR(__xludf.DUMMYFUNCTION("""COMPUTED_VALUE"""),"Current portfolio profit")</f>
        <v>Current portfolio profit</v>
      </c>
      <c r="B41" s="10">
        <f>IFERROR(__xludf.DUMMYFUNCTION("""COMPUTED_VALUE"""),180269.5940000001)</f>
        <v>180269.594</v>
      </c>
    </row>
    <row r="42">
      <c r="A42" s="5" t="str">
        <f>IFERROR(__xludf.DUMMYFUNCTION("""COMPUTED_VALUE"""),"Current portfolio profit rate")</f>
        <v>Current portfolio profit rate</v>
      </c>
      <c r="B42" s="11">
        <f>IFERROR(__xludf.DUMMYFUNCTION("""COMPUTED_VALUE"""),0.19850802420075267)</f>
        <v>0.1985080242</v>
      </c>
    </row>
    <row r="43">
      <c r="A43" s="5" t="str">
        <f>IFERROR(__xludf.DUMMYFUNCTION("""COMPUTED_VALUE"""),"Current portfolio dividend")</f>
        <v>Current portfolio dividend</v>
      </c>
      <c r="B43" s="10">
        <f>IFERROR(__xludf.DUMMYFUNCTION("""COMPUTED_VALUE"""),36872.689999999995)</f>
        <v>36872.69</v>
      </c>
    </row>
    <row r="44">
      <c r="A44" s="5" t="str">
        <f>IFERROR(__xludf.DUMMYFUNCTION("""COMPUTED_VALUE"""),"Current portfolio dividend rate")</f>
        <v>Current portfolio dividend rate</v>
      </c>
      <c r="B44" s="11">
        <f>IFERROR(__xludf.DUMMYFUNCTION("""COMPUTED_VALUE"""),0.0406032136449303)</f>
        <v>0.04060321364</v>
      </c>
    </row>
    <row r="45">
      <c r="A45" s="5" t="str">
        <f>IFERROR(__xludf.DUMMYFUNCTION("""COMPUTED_VALUE"""),"Current portfolio cost")</f>
        <v>Current portfolio cost</v>
      </c>
      <c r="B45" s="10">
        <f>IFERROR(__xludf.DUMMYFUNCTION("""COMPUTED_VALUE"""),-18769.180000000008)</f>
        <v>-18769.18</v>
      </c>
    </row>
    <row r="46">
      <c r="A46" s="5" t="str">
        <f>IFERROR(__xludf.DUMMYFUNCTION("""COMPUTED_VALUE"""),"Current portfolio cost rate")</f>
        <v>Current portfolio cost rate</v>
      </c>
      <c r="B46" s="11">
        <f>IFERROR(__xludf.DUMMYFUNCTION("""COMPUTED_VALUE"""),-0.02066811576481546)</f>
        <v>-0.02066811576</v>
      </c>
    </row>
    <row r="47">
      <c r="A47" s="5" t="str">
        <f>IFERROR(__xludf.DUMMYFUNCTION("""COMPUTED_VALUE"""),"Total Approvisionnement")</f>
        <v>Total Approvisionnement</v>
      </c>
      <c r="B47" s="10">
        <f>IFERROR(__xludf.DUMMYFUNCTION("""COMPUTED_VALUE"""),182717.77)</f>
        <v>182717.77</v>
      </c>
    </row>
    <row r="48">
      <c r="A48" s="5" t="str">
        <f>IFERROR(__xludf.DUMMYFUNCTION("""COMPUTED_VALUE"""),"Current Approvisionnement")</f>
        <v>Current Approvisionnement</v>
      </c>
      <c r="B48" s="10">
        <f>IFERROR(__xludf.DUMMYFUNCTION("""COMPUTED_VALUE"""),171181.13999999996)</f>
        <v>171181.14</v>
      </c>
    </row>
    <row r="49">
      <c r="A49" s="5" t="str">
        <f>IFERROR(__xludf.DUMMYFUNCTION("""COMPUTED_VALUE"""),"Previous profit")</f>
        <v>Previous profit</v>
      </c>
      <c r="B49" s="10">
        <f>IFERROR(__xludf.DUMMYFUNCTION("""COMPUTED_VALUE"""),-11585.259999999835)</f>
        <v>-11585.26</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IFERROR(__xludf.DUMMYFUNCTION("""COMPUTED_VALUE"""),"29.1% (29.1%)")</f>
        <v>29.1% (29.1%)</v>
      </c>
    </row>
    <row r="52">
      <c r="A52" s="5" t="str">
        <f>IFERROR(__xludf.DUMMYFUNCTION("""COMPUTED_VALUE"""),"Margin")</f>
        <v>Margin</v>
      </c>
      <c r="B52" s="10">
        <f>IFERROR(__xludf.DUMMYFUNCTION("""COMPUTED_VALUE"""),-11019.858200000017)</f>
        <v>-11019.8582</v>
      </c>
    </row>
    <row r="53">
      <c r="A53" s="5" t="str">
        <f>IFERROR(__xludf.DUMMYFUNCTION("""COMPUTED_VALUE"""),"Next Allocation")</f>
        <v>Next Allocation</v>
      </c>
      <c r="B53" s="10">
        <f>IFERROR(__xludf.DUMMYFUNCTION("""COMPUTED_VALUE"""),810000.0)</f>
        <v>810000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IFERROR(__xludf.DUMMYFUNCTION("""COMPUTED_VALUE"""),0.007089886254558648)</f>
        <v>0.007089886255</v>
      </c>
    </row>
    <row r="56">
      <c r="A56" s="5" t="str">
        <f>IFERROR(__xludf.DUMMYFUNCTION("""COMPUTED_VALUE"""),"EONIA")</f>
        <v>EONIA</v>
      </c>
      <c r="B56" s="19">
        <f>IFERROR(__xludf.DUMMYFUNCTION("""COMPUTED_VALUE"""),-0.00471)</f>
        <v>-0.00471</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IFERROR(__xludf.DUMMYFUNCTION("""COMPUTED_VALUE"""),-57106.68541191309)</f>
        <v>-57106.68541</v>
      </c>
    </row>
    <row r="60">
      <c r="A60" s="5" t="str">
        <f>IFERROR(__xludf.DUMMYFUNCTION("""COMPUTED_VALUE"""),"Today's result")</f>
        <v>Today's result</v>
      </c>
      <c r="B60" s="15">
        <f>IFERROR(__xludf.DUMMYFUNCTION("""COMPUTED_VALUE"""),-12897.650000000014)</f>
        <v>-12897.65</v>
      </c>
    </row>
    <row r="61">
      <c r="A61" s="5" t="str">
        <f>IFERROR(__xludf.DUMMYFUNCTION("""COMPUTED_VALUE"""),"Last year daily average progress")</f>
        <v>Last year daily average progress</v>
      </c>
      <c r="B61" s="15">
        <f>IFERROR(__xludf.DUMMYFUNCTION("""COMPUTED_VALUE"""),547.602604227617)</f>
        <v>547.6026042</v>
      </c>
    </row>
    <row r="62">
      <c r="A62" s="5" t="str">
        <f>IFERROR(__xludf.DUMMYFUNCTION("""COMPUTED_VALUE"""),"Transaction per month")</f>
        <v>Transaction per month</v>
      </c>
      <c r="B62" s="20">
        <f>IFERROR(__xludf.DUMMYFUNCTION("""COMPUTED_VALUE"""),13.717622293504412)</f>
        <v>13.71762229</v>
      </c>
    </row>
    <row r="63">
      <c r="A63" s="5" t="str">
        <f>IFERROR(__xludf.DUMMYFUNCTION("""COMPUTED_VALUE"""),"Average profit per transaction")</f>
        <v>Average profit per transaction</v>
      </c>
      <c r="B63" s="10">
        <f>IFERROR(__xludf.DUMMYFUNCTION("""COMPUTED_VALUE"""),356.8758298727942)</f>
        <v>356.8758299</v>
      </c>
    </row>
    <row r="64">
      <c r="A64" s="5" t="str">
        <f>IFERROR(__xludf.DUMMYFUNCTION("""COMPUTED_VALUE"""),"Average profit per month")</f>
        <v>Average profit per month</v>
      </c>
      <c r="B64" s="10">
        <f>IFERROR(__xludf.DUMMYFUNCTION("""COMPUTED_VALUE"""),4895.48783987593)</f>
        <v>4895.48784</v>
      </c>
    </row>
    <row r="65">
      <c r="A65" s="5" t="str">
        <f>IFERROR(__xludf.DUMMYFUNCTION("""COMPUTED_VALUE"""),"Total profit per month")</f>
        <v>Total profit per month</v>
      </c>
      <c r="B65" s="10">
        <f>IFERROR(__xludf.DUMMYFUNCTION("""COMPUTED_VALUE"""),5333.629081951628)</f>
        <v>5333.629082</v>
      </c>
    </row>
    <row r="66">
      <c r="A66" s="5" t="str">
        <f>IFERROR(__xludf.DUMMYFUNCTION("""COMPUTED_VALUE"""),"Instant profit per trading day")</f>
        <v>Instant profit per trading day</v>
      </c>
      <c r="B66" s="10">
        <f>IFERROR(__xludf.DUMMYFUNCTION("""COMPUTED_VALUE"""),147.15250881226052)</f>
        <v>147.1525088</v>
      </c>
    </row>
    <row r="67">
      <c r="A67" s="5" t="str">
        <f>IFERROR(__xludf.DUMMYFUNCTION("""COMPUTED_VALUE"""),"Instant profit per transaction")</f>
        <v>Instant profit per transaction</v>
      </c>
      <c r="B67" s="10">
        <f>IFERROR(__xludf.DUMMYFUNCTION("""COMPUTED_VALUE"""),300.5227292644757)</f>
        <v>300.5227293</v>
      </c>
    </row>
    <row r="68">
      <c r="A68" s="5" t="str">
        <f>IFERROR(__xludf.DUMMYFUNCTION("""COMPUTED_VALUE"""),"Instant profit per month")</f>
        <v>Instant profit per month</v>
      </c>
      <c r="B68" s="10">
        <f>IFERROR(__xludf.DUMMYFUNCTION("""COMPUTED_VALUE"""),4122.457290663163)</f>
        <v>4122.457291</v>
      </c>
    </row>
    <row r="69">
      <c r="A69" s="5" t="str">
        <f>IFERROR(__xludf.DUMMYFUNCTION("""COMPUTED_VALUE"""),"Last month stock average progress")</f>
        <v>Last month stock average progress</v>
      </c>
      <c r="B69" s="11">
        <f>IFERROR(__xludf.DUMMYFUNCTION("""COMPUTED_VALUE"""),0.0030784917754572644)</f>
        <v>0.003078491775</v>
      </c>
    </row>
    <row r="70">
      <c r="A70" s="5" t="str">
        <f>IFERROR(__xludf.DUMMYFUNCTION("""COMPUTED_VALUE"""),"Last negative average profit in days")</f>
        <v>Last negative average profit in days</v>
      </c>
      <c r="B70" s="21" t="str">
        <f>IFERROR(__xludf.DUMMYFUNCTION("""COMPUTED_VALUE"""),"224d (7.5m)")</f>
        <v>224d (7.5m)</v>
      </c>
    </row>
    <row r="71">
      <c r="A71" s="5" t="str">
        <f>IFERROR(__xludf.DUMMYFUNCTION("""COMPUTED_VALUE"""),"Last updated")</f>
        <v>Last updated</v>
      </c>
      <c r="B71" s="22">
        <f>IFERROR(__xludf.DUMMYFUNCTION("""COMPUTED_VALUE"""),0.18530184027622454)</f>
        <v>0.1853018403</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IFERROR(__xludf.DUMMYFUNCTION("""COMPUTED_VALUE"""),44166.0)</f>
        <v>44166</v>
      </c>
      <c r="B2" s="5" t="str">
        <f>IFERROR(__xludf.DUMMYFUNCTION("""COMPUTED_VALUE"""),"Intermediate US bonds (7-10 year)")</f>
        <v>Intermediate US bonds (7-10 year)</v>
      </c>
      <c r="C2" s="5" t="str">
        <f>IFERROR(__xludf.DUMMYFUNCTION("""COMPUTED_VALUE"""),"iShares Treasury Bond 7-10 UCITS")</f>
        <v>iShares Treasury Bond 7-10 UCITS</v>
      </c>
      <c r="D2" s="21" t="str">
        <f>IFERROR(__xludf.DUMMYFUNCTION("""COMPUTED_VALUE"""),"BUY")</f>
        <v>BUY</v>
      </c>
      <c r="E2" s="21">
        <f>IFERROR(__xludf.DUMMYFUNCTION("""COMPUTED_VALUE"""),16.0)</f>
        <v>16</v>
      </c>
      <c r="F2" s="25">
        <f>IFERROR(__xludf.DUMMYFUNCTION("""COMPUTED_VALUE"""),183.8)</f>
        <v>183.8</v>
      </c>
      <c r="G2" s="10">
        <f>IFERROR(__xludf.DUMMYFUNCTION("""COMPUTED_VALUE"""),-2940.8)</f>
        <v>-2940.8</v>
      </c>
    </row>
    <row r="3">
      <c r="A3" s="24">
        <f>IFERROR(__xludf.DUMMYFUNCTION("""COMPUTED_VALUE"""),44166.0)</f>
        <v>44166</v>
      </c>
      <c r="B3" s="5" t="str">
        <f>IFERROR(__xludf.DUMMYFUNCTION("""COMPUTED_VALUE"""),"Commodities")</f>
        <v>Commodities</v>
      </c>
      <c r="C3" s="5" t="str">
        <f>IFERROR(__xludf.DUMMYFUNCTION("""COMPUTED_VALUE"""),"ETFS All Commodities ETC")</f>
        <v>ETFS All Commodities ETC</v>
      </c>
      <c r="D3" s="21" t="str">
        <f>IFERROR(__xludf.DUMMYFUNCTION("""COMPUTED_VALUE"""),"SELL")</f>
        <v>SELL</v>
      </c>
      <c r="E3" s="21">
        <f>IFERROR(__xludf.DUMMYFUNCTION("""COMPUTED_VALUE"""),-1000.0)</f>
        <v>-1000</v>
      </c>
      <c r="F3" s="25">
        <f>IFERROR(__xludf.DUMMYFUNCTION("""COMPUTED_VALUE"""),6.495)</f>
        <v>6.495</v>
      </c>
      <c r="G3" s="10">
        <f>IFERROR(__xludf.DUMMYFUNCTION("""COMPUTED_VALUE"""),6495.0)</f>
        <v>6495</v>
      </c>
    </row>
    <row r="4">
      <c r="A4" s="24">
        <f>IFERROR(__xludf.DUMMYFUNCTION("""COMPUTED_VALUE"""),44165.0)</f>
        <v>44165</v>
      </c>
      <c r="B4" s="5"/>
      <c r="C4" s="5"/>
      <c r="D4" s="21" t="str">
        <f>IFERROR(__xludf.DUMMYFUNCTION("""COMPUTED_VALUE"""),"COST")</f>
        <v>COST</v>
      </c>
      <c r="E4" s="5"/>
      <c r="F4" s="5"/>
      <c r="G4" s="10">
        <f>IFERROR(__xludf.DUMMYFUNCTION("""COMPUTED_VALUE"""),-900.21)</f>
        <v>-900.21</v>
      </c>
    </row>
    <row r="5">
      <c r="A5" s="24">
        <f>IFERROR(__xludf.DUMMYFUNCTION("""COMPUTED_VALUE"""),44165.0)</f>
        <v>44165</v>
      </c>
      <c r="B5" s="5" t="str">
        <f>IFERROR(__xludf.DUMMYFUNCTION("""COMPUTED_VALUE"""),"Commodities")</f>
        <v>Commodities</v>
      </c>
      <c r="C5" s="5" t="str">
        <f>IFERROR(__xludf.DUMMYFUNCTION("""COMPUTED_VALUE"""),"ETFS All Commodities ETC")</f>
        <v>ETFS All Commodities ETC</v>
      </c>
      <c r="D5" s="21" t="str">
        <f>IFERROR(__xludf.DUMMYFUNCTION("""COMPUTED_VALUE"""),"SELL")</f>
        <v>SELL</v>
      </c>
      <c r="E5" s="21">
        <f>IFERROR(__xludf.DUMMYFUNCTION("""COMPUTED_VALUE"""),-310.0)</f>
        <v>-310</v>
      </c>
      <c r="F5" s="25">
        <f>IFERROR(__xludf.DUMMYFUNCTION("""COMPUTED_VALUE"""),6.47)</f>
        <v>6.47</v>
      </c>
      <c r="G5" s="10">
        <f>IFERROR(__xludf.DUMMYFUNCTION("""COMPUTED_VALUE"""),2005.7)</f>
        <v>2005.7</v>
      </c>
    </row>
    <row r="6">
      <c r="A6" s="24">
        <f>IFERROR(__xludf.DUMMYFUNCTION("""COMPUTED_VALUE"""),44162.0)</f>
        <v>44162</v>
      </c>
      <c r="B6" s="5" t="str">
        <f>IFERROR(__xludf.DUMMYFUNCTION("""COMPUTED_VALUE"""),"Gold")</f>
        <v>Gold</v>
      </c>
      <c r="C6" s="5" t="str">
        <f>IFERROR(__xludf.DUMMYFUNCTION("""COMPUTED_VALUE"""),"ETFS Physical Gold")</f>
        <v>ETFS Physical Gold</v>
      </c>
      <c r="D6" s="21" t="str">
        <f>IFERROR(__xludf.DUMMYFUNCTION("""COMPUTED_VALUE"""),"BUY")</f>
        <v>BUY</v>
      </c>
      <c r="E6" s="21">
        <f>IFERROR(__xludf.DUMMYFUNCTION("""COMPUTED_VALUE"""),370.0)</f>
        <v>370</v>
      </c>
      <c r="F6" s="25">
        <f>IFERROR(__xludf.DUMMYFUNCTION("""COMPUTED_VALUE"""),141.27)</f>
        <v>141.27</v>
      </c>
      <c r="G6" s="10">
        <f>IFERROR(__xludf.DUMMYFUNCTION("""COMPUTED_VALUE"""),-52269.9)</f>
        <v>-52269.9</v>
      </c>
    </row>
    <row r="7">
      <c r="A7" s="24">
        <f>IFERROR(__xludf.DUMMYFUNCTION("""COMPUTED_VALUE"""),44162.0)</f>
        <v>44162</v>
      </c>
      <c r="B7" s="5" t="str">
        <f>IFERROR(__xludf.DUMMYFUNCTION("""COMPUTED_VALUE"""),"Stocks")</f>
        <v>Stocks</v>
      </c>
      <c r="C7" s="5" t="str">
        <f>IFERROR(__xludf.DUMMYFUNCTION("""COMPUTED_VALUE"""),"Vanguard S&amp;P 500 UCITS")</f>
        <v>Vanguard S&amp;P 500 UCITS</v>
      </c>
      <c r="D7" s="21" t="str">
        <f>IFERROR(__xludf.DUMMYFUNCTION("""COMPUTED_VALUE"""),"SELL")</f>
        <v>SELL</v>
      </c>
      <c r="E7" s="21">
        <f>IFERROR(__xludf.DUMMYFUNCTION("""COMPUTED_VALUE"""),-960.0)</f>
        <v>-960</v>
      </c>
      <c r="F7" s="25">
        <f>IFERROR(__xludf.DUMMYFUNCTION("""COMPUTED_VALUE"""),57.912)</f>
        <v>57.912</v>
      </c>
      <c r="G7" s="10">
        <f>IFERROR(__xludf.DUMMYFUNCTION("""COMPUTED_VALUE"""),55595.52)</f>
        <v>55595.52</v>
      </c>
    </row>
    <row r="8">
      <c r="A8" s="24">
        <f>IFERROR(__xludf.DUMMYFUNCTION("""COMPUTED_VALUE"""),44162.0)</f>
        <v>44162</v>
      </c>
      <c r="B8" s="5" t="str">
        <f>IFERROR(__xludf.DUMMYFUNCTION("""COMPUTED_VALUE"""),"Gold")</f>
        <v>Gold</v>
      </c>
      <c r="C8" s="5" t="str">
        <f>IFERROR(__xludf.DUMMYFUNCTION("""COMPUTED_VALUE"""),"ETFS Physical Gold")</f>
        <v>ETFS Physical Gold</v>
      </c>
      <c r="D8" s="21" t="str">
        <f>IFERROR(__xludf.DUMMYFUNCTION("""COMPUTED_VALUE"""),"BUY")</f>
        <v>BUY</v>
      </c>
      <c r="E8" s="21">
        <f>IFERROR(__xludf.DUMMYFUNCTION("""COMPUTED_VALUE"""),180.0)</f>
        <v>180</v>
      </c>
      <c r="F8" s="25">
        <f>IFERROR(__xludf.DUMMYFUNCTION("""COMPUTED_VALUE"""),143.65)</f>
        <v>143.65</v>
      </c>
      <c r="G8" s="10">
        <f>IFERROR(__xludf.DUMMYFUNCTION("""COMPUTED_VALUE"""),-25857.0)</f>
        <v>-25857</v>
      </c>
    </row>
    <row r="9">
      <c r="A9" s="24">
        <f>IFERROR(__xludf.DUMMYFUNCTION("""COMPUTED_VALUE"""),44161.0)</f>
        <v>44161</v>
      </c>
      <c r="B9" s="5" t="str">
        <f>IFERROR(__xludf.DUMMYFUNCTION("""COMPUTED_VALUE"""),"Intermediate US bonds (7-10 year)")</f>
        <v>Intermediate US bonds (7-10 year)</v>
      </c>
      <c r="C9" s="5" t="str">
        <f>IFERROR(__xludf.DUMMYFUNCTION("""COMPUTED_VALUE"""),"iShares Treasury Bond 7-10 UCITS")</f>
        <v>iShares Treasury Bond 7-10 UCITS</v>
      </c>
      <c r="D9" s="21" t="str">
        <f>IFERROR(__xludf.DUMMYFUNCTION("""COMPUTED_VALUE"""),"DIVIDEND")</f>
        <v>DIVIDEND</v>
      </c>
      <c r="E9" s="5"/>
      <c r="F9" s="5"/>
      <c r="G9" s="10">
        <f>IFERROR(__xludf.DUMMYFUNCTION("""COMPUTED_VALUE"""),-265.78)</f>
        <v>-265.78</v>
      </c>
    </row>
    <row r="10">
      <c r="A10" s="24">
        <f>IFERROR(__xludf.DUMMYFUNCTION("""COMPUTED_VALUE"""),44160.0)</f>
        <v>44160</v>
      </c>
      <c r="B10" s="5" t="str">
        <f>IFERROR(__xludf.DUMMYFUNCTION("""COMPUTED_VALUE"""),"Intermediate US bonds (7-10 year)")</f>
        <v>Intermediate US bonds (7-10 year)</v>
      </c>
      <c r="C10" s="5" t="str">
        <f>IFERROR(__xludf.DUMMYFUNCTION("""COMPUTED_VALUE"""),"iShares Treasury Bond 7-10 UCITS")</f>
        <v>iShares Treasury Bond 7-10 UCITS</v>
      </c>
      <c r="D10" s="21" t="str">
        <f>IFERROR(__xludf.DUMMYFUNCTION("""COMPUTED_VALUE"""),"DIVIDEND")</f>
        <v>DIVIDEND</v>
      </c>
      <c r="E10" s="5"/>
      <c r="F10" s="5"/>
      <c r="G10" s="10">
        <f>IFERROR(__xludf.DUMMYFUNCTION("""COMPUTED_VALUE"""),1646.3)</f>
        <v>1646.3</v>
      </c>
    </row>
    <row r="11">
      <c r="A11" s="24">
        <f>IFERROR(__xludf.DUMMYFUNCTION("""COMPUTED_VALUE"""),44160.0)</f>
        <v>44160</v>
      </c>
      <c r="B11" s="5" t="str">
        <f>IFERROR(__xludf.DUMMYFUNCTION("""COMPUTED_VALUE"""),"Intermediate US bonds (7-10 year)")</f>
        <v>Intermediate US bonds (7-10 year)</v>
      </c>
      <c r="C11" s="5" t="str">
        <f>IFERROR(__xludf.DUMMYFUNCTION("""COMPUTED_VALUE"""),"iShares Treasury Bond 7-10 UCITS")</f>
        <v>iShares Treasury Bond 7-10 UCITS</v>
      </c>
      <c r="D11" s="21" t="str">
        <f>IFERROR(__xludf.DUMMYFUNCTION("""COMPUTED_VALUE"""),"BUY")</f>
        <v>BUY</v>
      </c>
      <c r="E11" s="21">
        <f>IFERROR(__xludf.DUMMYFUNCTION("""COMPUTED_VALUE"""),6.0)</f>
        <v>6</v>
      </c>
      <c r="F11" s="25">
        <f>IFERROR(__xludf.DUMMYFUNCTION("""COMPUTED_VALUE"""),184.55)</f>
        <v>184.55</v>
      </c>
      <c r="G11" s="10">
        <f>IFERROR(__xludf.DUMMYFUNCTION("""COMPUTED_VALUE"""),-1107.3)</f>
        <v>-1107.3</v>
      </c>
    </row>
    <row r="12">
      <c r="A12" s="24">
        <f>IFERROR(__xludf.DUMMYFUNCTION("""COMPUTED_VALUE"""),44159.0)</f>
        <v>44159</v>
      </c>
      <c r="B12" s="5" t="str">
        <f>IFERROR(__xludf.DUMMYFUNCTION("""COMPUTED_VALUE"""),"Intermediate US bonds (7-10 year)")</f>
        <v>Intermediate US bonds (7-10 year)</v>
      </c>
      <c r="C12" s="5" t="str">
        <f>IFERROR(__xludf.DUMMYFUNCTION("""COMPUTED_VALUE"""),"iShares Treasury Bond 7-10 UCITS")</f>
        <v>iShares Treasury Bond 7-10 UCITS</v>
      </c>
      <c r="D12" s="21" t="str">
        <f>IFERROR(__xludf.DUMMYFUNCTION("""COMPUTED_VALUE"""),"BUY")</f>
        <v>BUY</v>
      </c>
      <c r="E12" s="21">
        <f>IFERROR(__xludf.DUMMYFUNCTION("""COMPUTED_VALUE"""),6.0)</f>
        <v>6</v>
      </c>
      <c r="F12" s="25">
        <f>IFERROR(__xludf.DUMMYFUNCTION("""COMPUTED_VALUE"""),184.9)</f>
        <v>184.9</v>
      </c>
      <c r="G12" s="10">
        <f>IFERROR(__xludf.DUMMYFUNCTION("""COMPUTED_VALUE"""),-1109.4)</f>
        <v>-1109.4</v>
      </c>
    </row>
    <row r="13">
      <c r="A13" s="24">
        <f>IFERROR(__xludf.DUMMYFUNCTION("""COMPUTED_VALUE"""),44144.0)</f>
        <v>44144</v>
      </c>
      <c r="B13" s="5" t="str">
        <f>IFERROR(__xludf.DUMMYFUNCTION("""COMPUTED_VALUE"""),"Stocks")</f>
        <v>Stocks</v>
      </c>
      <c r="C13" s="5" t="str">
        <f>IFERROR(__xludf.DUMMYFUNCTION("""COMPUTED_VALUE"""),"Vanguard S&amp;P 500 UCITS")</f>
        <v>Vanguard S&amp;P 500 UCITS</v>
      </c>
      <c r="D13" s="21" t="str">
        <f>IFERROR(__xludf.DUMMYFUNCTION("""COMPUTED_VALUE"""),"SELL")</f>
        <v>SELL</v>
      </c>
      <c r="E13" s="21">
        <f>IFERROR(__xludf.DUMMYFUNCTION("""COMPUTED_VALUE"""),-30.0)</f>
        <v>-30</v>
      </c>
      <c r="F13" s="25">
        <f>IFERROR(__xludf.DUMMYFUNCTION("""COMPUTED_VALUE"""),58.68)</f>
        <v>58.68</v>
      </c>
      <c r="G13" s="10">
        <f>IFERROR(__xludf.DUMMYFUNCTION("""COMPUTED_VALUE"""),1760.4)</f>
        <v>1760.4</v>
      </c>
    </row>
    <row r="14">
      <c r="A14" s="24">
        <f>IFERROR(__xludf.DUMMYFUNCTION("""COMPUTED_VALUE"""),44144.0)</f>
        <v>44144</v>
      </c>
      <c r="B14" s="5" t="str">
        <f>IFERROR(__xludf.DUMMYFUNCTION("""COMPUTED_VALUE"""),"Long term US bonds (20-25 year)")</f>
        <v>Long term US bonds (20-25 year)</v>
      </c>
      <c r="C14" s="5" t="str">
        <f>IFERROR(__xludf.DUMMYFUNCTION("""COMPUTED_VALUE"""),"iShares Treasury Bond 20+ UCITS")</f>
        <v>iShares Treasury Bond 20+ UCITS</v>
      </c>
      <c r="D14" s="21" t="str">
        <f>IFERROR(__xludf.DUMMYFUNCTION("""COMPUTED_VALUE"""),"BUY")</f>
        <v>BUY</v>
      </c>
      <c r="E14" s="21">
        <f>IFERROR(__xludf.DUMMYFUNCTION("""COMPUTED_VALUE"""),1160.0)</f>
        <v>1160</v>
      </c>
      <c r="F14" s="25">
        <f>IFERROR(__xludf.DUMMYFUNCTION("""COMPUTED_VALUE"""),4.92)</f>
        <v>4.92</v>
      </c>
      <c r="G14" s="10">
        <f>IFERROR(__xludf.DUMMYFUNCTION("""COMPUTED_VALUE"""),-5707.2)</f>
        <v>-5707.2</v>
      </c>
    </row>
    <row r="15">
      <c r="A15" s="24">
        <f>IFERROR(__xludf.DUMMYFUNCTION("""COMPUTED_VALUE"""),44144.0)</f>
        <v>44144</v>
      </c>
      <c r="B15" s="5" t="str">
        <f>IFERROR(__xludf.DUMMYFUNCTION("""COMPUTED_VALUE"""),"Long term US bonds (20-25 year)")</f>
        <v>Long term US bonds (20-25 year)</v>
      </c>
      <c r="C15" s="5" t="str">
        <f>IFERROR(__xludf.DUMMYFUNCTION("""COMPUTED_VALUE"""),"iShares Treasury Bond 20+ UCITS")</f>
        <v>iShares Treasury Bond 20+ UCITS</v>
      </c>
      <c r="D15" s="21" t="str">
        <f>IFERROR(__xludf.DUMMYFUNCTION("""COMPUTED_VALUE"""),"COST")</f>
        <v>COST</v>
      </c>
      <c r="E15" s="5"/>
      <c r="F15" s="5"/>
      <c r="G15" s="10">
        <f>IFERROR(__xludf.DUMMYFUNCTION("""COMPUTED_VALUE"""),-3.14)</f>
        <v>-3.14</v>
      </c>
    </row>
    <row r="16">
      <c r="A16" s="24">
        <f>IFERROR(__xludf.DUMMYFUNCTION("""COMPUTED_VALUE"""),44144.0)</f>
        <v>44144</v>
      </c>
      <c r="B16" s="5" t="str">
        <f>IFERROR(__xludf.DUMMYFUNCTION("""COMPUTED_VALUE"""),"Intermediate US bonds (7-10 year)")</f>
        <v>Intermediate US bonds (7-10 year)</v>
      </c>
      <c r="C16" s="5" t="str">
        <f>IFERROR(__xludf.DUMMYFUNCTION("""COMPUTED_VALUE"""),"iShares Treasury Bond 7-10 UCITS")</f>
        <v>iShares Treasury Bond 7-10 UCITS</v>
      </c>
      <c r="D16" s="21" t="str">
        <f>IFERROR(__xludf.DUMMYFUNCTION("""COMPUTED_VALUE"""),"BUY")</f>
        <v>BUY</v>
      </c>
      <c r="E16" s="21">
        <f>IFERROR(__xludf.DUMMYFUNCTION("""COMPUTED_VALUE"""),6.0)</f>
        <v>6</v>
      </c>
      <c r="F16" s="25">
        <f>IFERROR(__xludf.DUMMYFUNCTION("""COMPUTED_VALUE"""),185.1)</f>
        <v>185.1</v>
      </c>
      <c r="G16" s="10">
        <f>IFERROR(__xludf.DUMMYFUNCTION("""COMPUTED_VALUE"""),-1110.6)</f>
        <v>-1110.6</v>
      </c>
    </row>
    <row r="17">
      <c r="A17" s="24">
        <f>IFERROR(__xludf.DUMMYFUNCTION("""COMPUTED_VALUE"""),44144.0)</f>
        <v>44144</v>
      </c>
      <c r="B17" s="5" t="str">
        <f>IFERROR(__xludf.DUMMYFUNCTION("""COMPUTED_VALUE"""),"Stocks")</f>
        <v>Stocks</v>
      </c>
      <c r="C17" s="5" t="str">
        <f>IFERROR(__xludf.DUMMYFUNCTION("""COMPUTED_VALUE"""),"Vanguard S&amp;P 500 UCITS")</f>
        <v>Vanguard S&amp;P 500 UCITS</v>
      </c>
      <c r="D17" s="21" t="str">
        <f>IFERROR(__xludf.DUMMYFUNCTION("""COMPUTED_VALUE"""),"SELL")</f>
        <v>SELL</v>
      </c>
      <c r="E17" s="21">
        <f>IFERROR(__xludf.DUMMYFUNCTION("""COMPUTED_VALUE"""),-28.0)</f>
        <v>-28</v>
      </c>
      <c r="F17" s="25">
        <f>IFERROR(__xludf.DUMMYFUNCTION("""COMPUTED_VALUE"""),58.68)</f>
        <v>58.68</v>
      </c>
      <c r="G17" s="10">
        <f>IFERROR(__xludf.DUMMYFUNCTION("""COMPUTED_VALUE"""),1643.04)</f>
        <v>1643.04</v>
      </c>
    </row>
    <row r="18">
      <c r="A18" s="24">
        <f>IFERROR(__xludf.DUMMYFUNCTION("""COMPUTED_VALUE"""),44144.0)</f>
        <v>44144</v>
      </c>
      <c r="B18" s="5" t="str">
        <f>IFERROR(__xludf.DUMMYFUNCTION("""COMPUTED_VALUE"""),"Intermediate US bonds (7-10 year)")</f>
        <v>Intermediate US bonds (7-10 year)</v>
      </c>
      <c r="C18" s="5" t="str">
        <f>IFERROR(__xludf.DUMMYFUNCTION("""COMPUTED_VALUE"""),"iShares Treasury Bond 7-10 UCITS")</f>
        <v>iShares Treasury Bond 7-10 UCITS</v>
      </c>
      <c r="D18" s="21" t="str">
        <f>IFERROR(__xludf.DUMMYFUNCTION("""COMPUTED_VALUE"""),"BUY")</f>
        <v>BUY</v>
      </c>
      <c r="E18" s="21">
        <f>IFERROR(__xludf.DUMMYFUNCTION("""COMPUTED_VALUE"""),6.0)</f>
        <v>6</v>
      </c>
      <c r="F18" s="25">
        <f>IFERROR(__xludf.DUMMYFUNCTION("""COMPUTED_VALUE"""),185.15)</f>
        <v>185.15</v>
      </c>
      <c r="G18" s="10">
        <f>IFERROR(__xludf.DUMMYFUNCTION("""COMPUTED_VALUE"""),-1110.9)</f>
        <v>-1110.9</v>
      </c>
    </row>
    <row r="19">
      <c r="A19" s="24">
        <f>IFERROR(__xludf.DUMMYFUNCTION("""COMPUTED_VALUE"""),44144.0)</f>
        <v>44144</v>
      </c>
      <c r="B19" s="5" t="str">
        <f>IFERROR(__xludf.DUMMYFUNCTION("""COMPUTED_VALUE"""),"Long term US bonds (20-25 year)")</f>
        <v>Long term US bonds (20-25 year)</v>
      </c>
      <c r="C19" s="5" t="str">
        <f>IFERROR(__xludf.DUMMYFUNCTION("""COMPUTED_VALUE"""),"iShares Treasury Bond 20+ UCITS")</f>
        <v>iShares Treasury Bond 20+ UCITS</v>
      </c>
      <c r="D19" s="21" t="str">
        <f>IFERROR(__xludf.DUMMYFUNCTION("""COMPUTED_VALUE"""),"BUY")</f>
        <v>BUY</v>
      </c>
      <c r="E19" s="21">
        <f>IFERROR(__xludf.DUMMYFUNCTION("""COMPUTED_VALUE"""),1521.0)</f>
        <v>1521</v>
      </c>
      <c r="F19" s="25">
        <f>IFERROR(__xludf.DUMMYFUNCTION("""COMPUTED_VALUE"""),4.94)</f>
        <v>4.94</v>
      </c>
      <c r="G19" s="10">
        <f>IFERROR(__xludf.DUMMYFUNCTION("""COMPUTED_VALUE"""),-7513.74)</f>
        <v>-7513.74</v>
      </c>
    </row>
    <row r="20">
      <c r="A20" s="24">
        <f>IFERROR(__xludf.DUMMYFUNCTION("""COMPUTED_VALUE"""),44144.0)</f>
        <v>44144</v>
      </c>
      <c r="B20" s="5" t="str">
        <f>IFERROR(__xludf.DUMMYFUNCTION("""COMPUTED_VALUE"""),"Long term US bonds (20-25 year)")</f>
        <v>Long term US bonds (20-25 year)</v>
      </c>
      <c r="C20" s="5" t="str">
        <f>IFERROR(__xludf.DUMMYFUNCTION("""COMPUTED_VALUE"""),"iShares Treasury Bond 20+ UCITS")</f>
        <v>iShares Treasury Bond 20+ UCITS</v>
      </c>
      <c r="D20" s="21" t="str">
        <f>IFERROR(__xludf.DUMMYFUNCTION("""COMPUTED_VALUE"""),"COST")</f>
        <v>COST</v>
      </c>
      <c r="E20" s="5"/>
      <c r="F20" s="5"/>
      <c r="G20" s="10">
        <f>IFERROR(__xludf.DUMMYFUNCTION("""COMPUTED_VALUE"""),-1.5)</f>
        <v>-1.5</v>
      </c>
    </row>
    <row r="21">
      <c r="A21" s="24">
        <f>IFERROR(__xludf.DUMMYFUNCTION("""COMPUTED_VALUE"""),44144.0)</f>
        <v>44144</v>
      </c>
      <c r="B21" s="5" t="str">
        <f>IFERROR(__xludf.DUMMYFUNCTION("""COMPUTED_VALUE"""),"Stocks")</f>
        <v>Stocks</v>
      </c>
      <c r="C21" s="5" t="str">
        <f>IFERROR(__xludf.DUMMYFUNCTION("""COMPUTED_VALUE"""),"Vanguard S&amp;P 500 UCITS")</f>
        <v>Vanguard S&amp;P 500 UCITS</v>
      </c>
      <c r="D21" s="21" t="str">
        <f>IFERROR(__xludf.DUMMYFUNCTION("""COMPUTED_VALUE"""),"SELL")</f>
        <v>SELL</v>
      </c>
      <c r="E21" s="21">
        <f>IFERROR(__xludf.DUMMYFUNCTION("""COMPUTED_VALUE"""),-64.0)</f>
        <v>-64</v>
      </c>
      <c r="F21" s="25">
        <f>IFERROR(__xludf.DUMMYFUNCTION("""COMPUTED_VALUE"""),58.43)</f>
        <v>58.43</v>
      </c>
      <c r="G21" s="10">
        <f>IFERROR(__xludf.DUMMYFUNCTION("""COMPUTED_VALUE"""),3739.52)</f>
        <v>3739.52</v>
      </c>
    </row>
    <row r="22">
      <c r="A22" s="24">
        <f>IFERROR(__xludf.DUMMYFUNCTION("""COMPUTED_VALUE"""),44144.0)</f>
        <v>44144</v>
      </c>
      <c r="B22" s="5" t="str">
        <f>IFERROR(__xludf.DUMMYFUNCTION("""COMPUTED_VALUE"""),"Long term US bonds (20-25 year)")</f>
        <v>Long term US bonds (20-25 year)</v>
      </c>
      <c r="C22" s="5" t="str">
        <f>IFERROR(__xludf.DUMMYFUNCTION("""COMPUTED_VALUE"""),"iShares Treasury Bond 20+ UCITS")</f>
        <v>iShares Treasury Bond 20+ UCITS</v>
      </c>
      <c r="D22" s="21" t="str">
        <f>IFERROR(__xludf.DUMMYFUNCTION("""COMPUTED_VALUE"""),"BUY")</f>
        <v>BUY</v>
      </c>
      <c r="E22" s="21">
        <f>IFERROR(__xludf.DUMMYFUNCTION("""COMPUTED_VALUE"""),108.0)</f>
        <v>108</v>
      </c>
      <c r="F22" s="25">
        <f>IFERROR(__xludf.DUMMYFUNCTION("""COMPUTED_VALUE"""),4.91)</f>
        <v>4.91</v>
      </c>
      <c r="G22" s="10">
        <f>IFERROR(__xludf.DUMMYFUNCTION("""COMPUTED_VALUE"""),-530.28)</f>
        <v>-530.28</v>
      </c>
    </row>
    <row r="23">
      <c r="A23" s="24">
        <f>IFERROR(__xludf.DUMMYFUNCTION("""COMPUTED_VALUE"""),44144.0)</f>
        <v>44144</v>
      </c>
      <c r="B23" s="5" t="str">
        <f>IFERROR(__xludf.DUMMYFUNCTION("""COMPUTED_VALUE"""),"Long term US bonds (20-25 year)")</f>
        <v>Long term US bonds (20-25 year)</v>
      </c>
      <c r="C23" s="5" t="str">
        <f>IFERROR(__xludf.DUMMYFUNCTION("""COMPUTED_VALUE"""),"iShares Treasury Bond 20+ UCITS")</f>
        <v>iShares Treasury Bond 20+ UCITS</v>
      </c>
      <c r="D23" s="21" t="str">
        <f>IFERROR(__xludf.DUMMYFUNCTION("""COMPUTED_VALUE"""),"COST")</f>
        <v>COST</v>
      </c>
      <c r="E23" s="5"/>
      <c r="F23" s="5"/>
      <c r="G23" s="10">
        <f>IFERROR(__xludf.DUMMYFUNCTION("""COMPUTED_VALUE"""),-2.11)</f>
        <v>-2.11</v>
      </c>
    </row>
    <row r="24">
      <c r="A24" s="24">
        <f>IFERROR(__xludf.DUMMYFUNCTION("""COMPUTED_VALUE"""),44144.0)</f>
        <v>44144</v>
      </c>
      <c r="B24" s="5" t="str">
        <f>IFERROR(__xludf.DUMMYFUNCTION("""COMPUTED_VALUE"""),"Stocks")</f>
        <v>Stocks</v>
      </c>
      <c r="C24" s="5" t="str">
        <f>IFERROR(__xludf.DUMMYFUNCTION("""COMPUTED_VALUE"""),"Vanguard S&amp;P 500 UCITS")</f>
        <v>Vanguard S&amp;P 500 UCITS</v>
      </c>
      <c r="D24" s="21" t="str">
        <f>IFERROR(__xludf.DUMMYFUNCTION("""COMPUTED_VALUE"""),"SELL")</f>
        <v>SELL</v>
      </c>
      <c r="E24" s="21">
        <f>IFERROR(__xludf.DUMMYFUNCTION("""COMPUTED_VALUE"""),-230.0)</f>
        <v>-230</v>
      </c>
      <c r="F24" s="25">
        <f>IFERROR(__xludf.DUMMYFUNCTION("""COMPUTED_VALUE"""),58.25)</f>
        <v>58.25</v>
      </c>
      <c r="G24" s="10">
        <f>IFERROR(__xludf.DUMMYFUNCTION("""COMPUTED_VALUE"""),13397.5)</f>
        <v>13397.5</v>
      </c>
    </row>
    <row r="25">
      <c r="A25" s="24">
        <f>IFERROR(__xludf.DUMMYFUNCTION("""COMPUTED_VALUE"""),44144.0)</f>
        <v>44144</v>
      </c>
      <c r="B25" s="5" t="str">
        <f>IFERROR(__xludf.DUMMYFUNCTION("""COMPUTED_VALUE"""),"Intermediate US bonds (7-10 year)")</f>
        <v>Intermediate US bonds (7-10 year)</v>
      </c>
      <c r="C25" s="5" t="str">
        <f>IFERROR(__xludf.DUMMYFUNCTION("""COMPUTED_VALUE"""),"iShares Treasury Bond 7-10 UCITS")</f>
        <v>iShares Treasury Bond 7-10 UCITS</v>
      </c>
      <c r="D25" s="21" t="str">
        <f>IFERROR(__xludf.DUMMYFUNCTION("""COMPUTED_VALUE"""),"BUY")</f>
        <v>BUY</v>
      </c>
      <c r="E25" s="21">
        <f>IFERROR(__xludf.DUMMYFUNCTION("""COMPUTED_VALUE"""),12.0)</f>
        <v>12</v>
      </c>
      <c r="F25" s="25">
        <f>IFERROR(__xludf.DUMMYFUNCTION("""COMPUTED_VALUE"""),185.35)</f>
        <v>185.35</v>
      </c>
      <c r="G25" s="10">
        <f>IFERROR(__xludf.DUMMYFUNCTION("""COMPUTED_VALUE"""),-2224.2)</f>
        <v>-2224.2</v>
      </c>
    </row>
    <row r="26">
      <c r="A26" s="24">
        <f>IFERROR(__xludf.DUMMYFUNCTION("""COMPUTED_VALUE"""),44144.0)</f>
        <v>44144</v>
      </c>
      <c r="B26" s="5" t="str">
        <f>IFERROR(__xludf.DUMMYFUNCTION("""COMPUTED_VALUE"""),"Long term US bonds (20-25 year)")</f>
        <v>Long term US bonds (20-25 year)</v>
      </c>
      <c r="C26" s="5" t="str">
        <f>IFERROR(__xludf.DUMMYFUNCTION("""COMPUTED_VALUE"""),"iShares Treasury Bond 20+ UCITS")</f>
        <v>iShares Treasury Bond 20+ UCITS</v>
      </c>
      <c r="D26" s="21" t="str">
        <f>IFERROR(__xludf.DUMMYFUNCTION("""COMPUTED_VALUE"""),"BUY")</f>
        <v>BUY</v>
      </c>
      <c r="E26" s="21">
        <f>IFERROR(__xludf.DUMMYFUNCTION("""COMPUTED_VALUE"""),6092.0)</f>
        <v>6092</v>
      </c>
      <c r="F26" s="25">
        <f>IFERROR(__xludf.DUMMYFUNCTION("""COMPUTED_VALUE"""),4.91)</f>
        <v>4.91</v>
      </c>
      <c r="G26" s="10">
        <f>IFERROR(__xludf.DUMMYFUNCTION("""COMPUTED_VALUE"""),-29911.72)</f>
        <v>-29911.72</v>
      </c>
    </row>
    <row r="27">
      <c r="A27" s="24">
        <f>IFERROR(__xludf.DUMMYFUNCTION("""COMPUTED_VALUE"""),44144.0)</f>
        <v>44144</v>
      </c>
      <c r="B27" s="5" t="str">
        <f>IFERROR(__xludf.DUMMYFUNCTION("""COMPUTED_VALUE"""),"Long term US bonds (20-25 year)")</f>
        <v>Long term US bonds (20-25 year)</v>
      </c>
      <c r="C27" s="5" t="str">
        <f>IFERROR(__xludf.DUMMYFUNCTION("""COMPUTED_VALUE"""),"iShares Treasury Bond 20+ UCITS")</f>
        <v>iShares Treasury Bond 20+ UCITS</v>
      </c>
      <c r="D27" s="21" t="str">
        <f>IFERROR(__xludf.DUMMYFUNCTION("""COMPUTED_VALUE"""),"COST")</f>
        <v>COST</v>
      </c>
      <c r="E27" s="5"/>
      <c r="F27" s="5"/>
      <c r="G27" s="10">
        <f>IFERROR(__xludf.DUMMYFUNCTION("""COMPUTED_VALUE"""),-7.98)</f>
        <v>-7.98</v>
      </c>
    </row>
    <row r="28">
      <c r="A28" s="24">
        <f>IFERROR(__xludf.DUMMYFUNCTION("""COMPUTED_VALUE"""),44144.0)</f>
        <v>44144</v>
      </c>
      <c r="B28" s="5" t="str">
        <f>IFERROR(__xludf.DUMMYFUNCTION("""COMPUTED_VALUE"""),"Stocks")</f>
        <v>Stocks</v>
      </c>
      <c r="C28" s="5" t="str">
        <f>IFERROR(__xludf.DUMMYFUNCTION("""COMPUTED_VALUE"""),"Vanguard S&amp;P 500 UCITS")</f>
        <v>Vanguard S&amp;P 500 UCITS</v>
      </c>
      <c r="D28" s="21" t="str">
        <f>IFERROR(__xludf.DUMMYFUNCTION("""COMPUTED_VALUE"""),"SELL")</f>
        <v>SELL</v>
      </c>
      <c r="E28" s="21">
        <f>IFERROR(__xludf.DUMMYFUNCTION("""COMPUTED_VALUE"""),-760.0)</f>
        <v>-760</v>
      </c>
      <c r="F28" s="25">
        <f>IFERROR(__xludf.DUMMYFUNCTION("""COMPUTED_VALUE"""),58.0)</f>
        <v>58</v>
      </c>
      <c r="G28" s="10">
        <f>IFERROR(__xludf.DUMMYFUNCTION("""COMPUTED_VALUE"""),44080.0)</f>
        <v>44080</v>
      </c>
    </row>
    <row r="29">
      <c r="A29" s="24">
        <f>IFERROR(__xludf.DUMMYFUNCTION("""COMPUTED_VALUE"""),44144.0)</f>
        <v>44144</v>
      </c>
      <c r="B29" s="5" t="str">
        <f>IFERROR(__xludf.DUMMYFUNCTION("""COMPUTED_VALUE"""),"Intermediate US bonds (7-10 year)")</f>
        <v>Intermediate US bonds (7-10 year)</v>
      </c>
      <c r="C29" s="5" t="str">
        <f>IFERROR(__xludf.DUMMYFUNCTION("""COMPUTED_VALUE"""),"iShares Treasury Bond 7-10 UCITS")</f>
        <v>iShares Treasury Bond 7-10 UCITS</v>
      </c>
      <c r="D29" s="21" t="str">
        <f>IFERROR(__xludf.DUMMYFUNCTION("""COMPUTED_VALUE"""),"BUY")</f>
        <v>BUY</v>
      </c>
      <c r="E29" s="21">
        <f>IFERROR(__xludf.DUMMYFUNCTION("""COMPUTED_VALUE"""),6.0)</f>
        <v>6</v>
      </c>
      <c r="F29" s="25">
        <f>IFERROR(__xludf.DUMMYFUNCTION("""COMPUTED_VALUE"""),186.84)</f>
        <v>186.84</v>
      </c>
      <c r="G29" s="10">
        <f>IFERROR(__xludf.DUMMYFUNCTION("""COMPUTED_VALUE"""),-1121.04)</f>
        <v>-1121.04</v>
      </c>
    </row>
    <row r="30">
      <c r="A30" s="24">
        <f>IFERROR(__xludf.DUMMYFUNCTION("""COMPUTED_VALUE"""),44144.0)</f>
        <v>44144</v>
      </c>
      <c r="B30" s="5" t="str">
        <f>IFERROR(__xludf.DUMMYFUNCTION("""COMPUTED_VALUE"""),"Long term US bonds (20-25 year)")</f>
        <v>Long term US bonds (20-25 year)</v>
      </c>
      <c r="C30" s="5" t="str">
        <f>IFERROR(__xludf.DUMMYFUNCTION("""COMPUTED_VALUE"""),"iShares Treasury Bond 20+ UCITS")</f>
        <v>iShares Treasury Bond 20+ UCITS</v>
      </c>
      <c r="D30" s="21" t="str">
        <f>IFERROR(__xludf.DUMMYFUNCTION("""COMPUTED_VALUE"""),"BUY")</f>
        <v>BUY</v>
      </c>
      <c r="E30" s="21">
        <f>IFERROR(__xludf.DUMMYFUNCTION("""COMPUTED_VALUE"""),4813.0)</f>
        <v>4813</v>
      </c>
      <c r="F30" s="25">
        <f>IFERROR(__xludf.DUMMYFUNCTION("""COMPUTED_VALUE"""),5.05)</f>
        <v>5.05</v>
      </c>
      <c r="G30" s="10">
        <f>IFERROR(__xludf.DUMMYFUNCTION("""COMPUTED_VALUE"""),-24305.65)</f>
        <v>-24305.65</v>
      </c>
    </row>
    <row r="31">
      <c r="A31" s="24">
        <f>IFERROR(__xludf.DUMMYFUNCTION("""COMPUTED_VALUE"""),44144.0)</f>
        <v>44144</v>
      </c>
      <c r="B31" s="5" t="str">
        <f>IFERROR(__xludf.DUMMYFUNCTION("""COMPUTED_VALUE"""),"Long term US bonds (20-25 year)")</f>
        <v>Long term US bonds (20-25 year)</v>
      </c>
      <c r="C31" s="5" t="str">
        <f>IFERROR(__xludf.DUMMYFUNCTION("""COMPUTED_VALUE"""),"iShares Treasury Bond 20+ UCITS")</f>
        <v>iShares Treasury Bond 20+ UCITS</v>
      </c>
      <c r="D31" s="21" t="str">
        <f>IFERROR(__xludf.DUMMYFUNCTION("""COMPUTED_VALUE"""),"COST")</f>
        <v>COST</v>
      </c>
      <c r="E31" s="5"/>
      <c r="F31" s="5"/>
      <c r="G31" s="10">
        <f>IFERROR(__xludf.DUMMYFUNCTION("""COMPUTED_VALUE"""),-6.86)</f>
        <v>-6.86</v>
      </c>
    </row>
    <row r="32">
      <c r="A32" s="24">
        <f>IFERROR(__xludf.DUMMYFUNCTION("""COMPUTED_VALUE"""),44144.0)</f>
        <v>44144</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IFERROR(__xludf.DUMMYFUNCTION("""COMPUTED_VALUE"""),"BUY")</f>
        <v>BUY</v>
      </c>
      <c r="E32" s="21">
        <f>IFERROR(__xludf.DUMMYFUNCTION("""COMPUTED_VALUE"""),14.0)</f>
        <v>14</v>
      </c>
      <c r="F32" s="25">
        <f>IFERROR(__xludf.DUMMYFUNCTION("""COMPUTED_VALUE"""),186.84)</f>
        <v>186.84</v>
      </c>
      <c r="G32" s="10">
        <f>IFERROR(__xludf.DUMMYFUNCTION("""COMPUTED_VALUE"""),-2615.76)</f>
        <v>-2615.76</v>
      </c>
    </row>
    <row r="33">
      <c r="A33" s="24">
        <f>IFERROR(__xludf.DUMMYFUNCTION("""COMPUTED_VALUE"""),44141.0)</f>
        <v>44141</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IFERROR(__xludf.DUMMYFUNCTION("""COMPUTED_VALUE"""),"BUY")</f>
        <v>BUY</v>
      </c>
      <c r="E33" s="21">
        <f>IFERROR(__xludf.DUMMYFUNCTION("""COMPUTED_VALUE"""),1000.0)</f>
        <v>1000</v>
      </c>
      <c r="F33" s="25">
        <f>IFERROR(__xludf.DUMMYFUNCTION("""COMPUTED_VALUE"""),5.092)</f>
        <v>5.092</v>
      </c>
      <c r="G33" s="10">
        <f>IFERROR(__xludf.DUMMYFUNCTION("""COMPUTED_VALUE"""),-5092.0)</f>
        <v>-5092</v>
      </c>
    </row>
    <row r="34">
      <c r="A34" s="24">
        <f>IFERROR(__xludf.DUMMYFUNCTION("""COMPUTED_VALUE"""),44141.0)</f>
        <v>44141</v>
      </c>
      <c r="B34" s="5" t="str">
        <f>IFERROR(__xludf.DUMMYFUNCTION("""COMPUTED_VALUE"""),"Long term US bonds (20-25 year)")</f>
        <v>Long term US bonds (20-25 year)</v>
      </c>
      <c r="C34" s="5" t="str">
        <f>IFERROR(__xludf.DUMMYFUNCTION("""COMPUTED_VALUE"""),"iShares Treasury Bond 20+ UCITS")</f>
        <v>iShares Treasury Bond 20+ UCITS</v>
      </c>
      <c r="D34" s="21" t="str">
        <f>IFERROR(__xludf.DUMMYFUNCTION("""COMPUTED_VALUE"""),"COST")</f>
        <v>COST</v>
      </c>
      <c r="E34" s="5"/>
      <c r="F34" s="5"/>
      <c r="G34" s="10">
        <f>IFERROR(__xludf.DUMMYFUNCTION("""COMPUTED_VALUE"""),-3.02)</f>
        <v>-3.02</v>
      </c>
    </row>
    <row r="35">
      <c r="A35" s="24">
        <f>IFERROR(__xludf.DUMMYFUNCTION("""COMPUTED_VALUE"""),44141.0)</f>
        <v>44141</v>
      </c>
      <c r="B35" s="5" t="str">
        <f>IFERROR(__xludf.DUMMYFUNCTION("""COMPUTED_VALUE"""),"Intermediate US bonds (7-10 year)")</f>
        <v>Intermediate US bonds (7-10 year)</v>
      </c>
      <c r="C35" s="5" t="str">
        <f>IFERROR(__xludf.DUMMYFUNCTION("""COMPUTED_VALUE"""),"iShares Treasury Bond 7-10 UCITS")</f>
        <v>iShares Treasury Bond 7-10 UCITS</v>
      </c>
      <c r="D35" s="21" t="str">
        <f>IFERROR(__xludf.DUMMYFUNCTION("""COMPUTED_VALUE"""),"BUY")</f>
        <v>BUY</v>
      </c>
      <c r="E35" s="21">
        <f>IFERROR(__xludf.DUMMYFUNCTION("""COMPUTED_VALUE"""),6.0)</f>
        <v>6</v>
      </c>
      <c r="F35" s="25">
        <f>IFERROR(__xludf.DUMMYFUNCTION("""COMPUTED_VALUE"""),187.25)</f>
        <v>187.25</v>
      </c>
      <c r="G35" s="10">
        <f>IFERROR(__xludf.DUMMYFUNCTION("""COMPUTED_VALUE"""),-1123.5)</f>
        <v>-1123.5</v>
      </c>
    </row>
    <row r="36">
      <c r="A36" s="24">
        <f>IFERROR(__xludf.DUMMYFUNCTION("""COMPUTED_VALUE"""),44140.0)</f>
        <v>44140</v>
      </c>
      <c r="B36" s="5"/>
      <c r="C36" s="5"/>
      <c r="D36" s="21" t="str">
        <f>IFERROR(__xludf.DUMMYFUNCTION("""COMPUTED_VALUE"""),"APPROVISIONNEMENT")</f>
        <v>APPROVISIONNEMENT</v>
      </c>
      <c r="E36" s="5"/>
      <c r="F36" s="5"/>
      <c r="G36" s="10">
        <f>IFERROR(__xludf.DUMMYFUNCTION("""COMPUTED_VALUE"""),-1800.0)</f>
        <v>-1800</v>
      </c>
    </row>
    <row r="37">
      <c r="A37" s="24">
        <f>IFERROR(__xludf.DUMMYFUNCTION("""COMPUTED_VALUE"""),44140.0)</f>
        <v>44140</v>
      </c>
      <c r="B37" s="5" t="str">
        <f>IFERROR(__xludf.DUMMYFUNCTION("""COMPUTED_VALUE"""),"Intermediate US bonds (7-10 year)")</f>
        <v>Intermediate US bonds (7-10 year)</v>
      </c>
      <c r="C37" s="5" t="str">
        <f>IFERROR(__xludf.DUMMYFUNCTION("""COMPUTED_VALUE"""),"iShares Treasury Bond 7-10 UCITS")</f>
        <v>iShares Treasury Bond 7-10 UCITS</v>
      </c>
      <c r="D37" s="21" t="str">
        <f>IFERROR(__xludf.DUMMYFUNCTION("""COMPUTED_VALUE"""),"BUY")</f>
        <v>BUY</v>
      </c>
      <c r="E37" s="21">
        <f>IFERROR(__xludf.DUMMYFUNCTION("""COMPUTED_VALUE"""),56.0)</f>
        <v>56</v>
      </c>
      <c r="F37" s="25">
        <f>IFERROR(__xludf.DUMMYFUNCTION("""COMPUTED_VALUE"""),188.75)</f>
        <v>188.75</v>
      </c>
      <c r="G37" s="10">
        <f>IFERROR(__xludf.DUMMYFUNCTION("""COMPUTED_VALUE"""),-10570.0)</f>
        <v>-10570</v>
      </c>
    </row>
    <row r="38">
      <c r="A38" s="24">
        <f>IFERROR(__xludf.DUMMYFUNCTION("""COMPUTED_VALUE"""),44140.0)</f>
        <v>44140</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IFERROR(__xludf.DUMMYFUNCTION("""COMPUTED_VALUE"""),-450.0)</f>
        <v>-450</v>
      </c>
      <c r="F38" s="25">
        <f>IFERROR(__xludf.DUMMYFUNCTION("""COMPUTED_VALUE"""),56.35)</f>
        <v>56.35</v>
      </c>
      <c r="G38" s="10">
        <f>IFERROR(__xludf.DUMMYFUNCTION("""COMPUTED_VALUE"""),25357.5)</f>
        <v>25357.5</v>
      </c>
    </row>
    <row r="39">
      <c r="A39" s="24">
        <f>IFERROR(__xludf.DUMMYFUNCTION("""COMPUTED_VALUE"""),44139.0)</f>
        <v>44139</v>
      </c>
      <c r="B39" s="5"/>
      <c r="C39" s="5"/>
      <c r="D39" s="21" t="str">
        <f>IFERROR(__xludf.DUMMYFUNCTION("""COMPUTED_VALUE"""),"APPROVISIONNEMENT")</f>
        <v>APPROVISIONNEMENT</v>
      </c>
      <c r="E39" s="5"/>
      <c r="F39" s="5"/>
      <c r="G39" s="10">
        <f>IFERROR(__xludf.DUMMYFUNCTION("""COMPUTED_VALUE"""),1000.0)</f>
        <v>1000</v>
      </c>
    </row>
    <row r="40">
      <c r="A40" s="24">
        <f>IFERROR(__xludf.DUMMYFUNCTION("""COMPUTED_VALUE"""),44138.0)</f>
        <v>44138</v>
      </c>
      <c r="B40" s="5"/>
      <c r="C40" s="5"/>
      <c r="D40" s="21" t="str">
        <f>IFERROR(__xludf.DUMMYFUNCTION("""COMPUTED_VALUE"""),"APPROVISIONNEMENT")</f>
        <v>APPROVISIONNEMENT</v>
      </c>
      <c r="E40" s="5"/>
      <c r="F40" s="5"/>
      <c r="G40" s="10">
        <f>IFERROR(__xludf.DUMMYFUNCTION("""COMPUTED_VALUE"""),-1000.0)</f>
        <v>-1000</v>
      </c>
    </row>
    <row r="41">
      <c r="A41" s="24">
        <f>IFERROR(__xludf.DUMMYFUNCTION("""COMPUTED_VALUE"""),44135.0)</f>
        <v>44135</v>
      </c>
      <c r="B41" s="5"/>
      <c r="C41" s="5"/>
      <c r="D41" s="21" t="str">
        <f>IFERROR(__xludf.DUMMYFUNCTION("""COMPUTED_VALUE"""),"COST")</f>
        <v>COST</v>
      </c>
      <c r="E41" s="5"/>
      <c r="F41" s="5"/>
      <c r="G41" s="10">
        <f>IFERROR(__xludf.DUMMYFUNCTION("""COMPUTED_VALUE"""),-1397.65)</f>
        <v>-1397.65</v>
      </c>
    </row>
    <row r="42">
      <c r="A42" s="24">
        <f>IFERROR(__xludf.DUMMYFUNCTION("""COMPUTED_VALUE"""),44125.0)</f>
        <v>44125</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IFERROR(__xludf.DUMMYFUNCTION("""COMPUTED_VALUE"""),-20.0)</f>
        <v>-20</v>
      </c>
      <c r="F42" s="25">
        <f>IFERROR(__xludf.DUMMYFUNCTION("""COMPUTED_VALUE"""),55.085)</f>
        <v>55.085</v>
      </c>
      <c r="G42" s="10">
        <f>IFERROR(__xludf.DUMMYFUNCTION("""COMPUTED_VALUE"""),1101.7)</f>
        <v>1101.7</v>
      </c>
    </row>
    <row r="43">
      <c r="A43" s="24">
        <f>IFERROR(__xludf.DUMMYFUNCTION("""COMPUTED_VALUE"""),44125.0)</f>
        <v>44125</v>
      </c>
      <c r="B43" s="5" t="str">
        <f>IFERROR(__xludf.DUMMYFUNCTION("""COMPUTED_VALUE"""),"Long term US bonds (20-25 year)")</f>
        <v>Long term US bonds (20-25 year)</v>
      </c>
      <c r="C43" s="5" t="str">
        <f>IFERROR(__xludf.DUMMYFUNCTION("""COMPUTED_VALUE"""),"iShares Treasury Bond 20+ UCITS")</f>
        <v>iShares Treasury Bond 20+ UCITS</v>
      </c>
      <c r="D43" s="21" t="str">
        <f>IFERROR(__xludf.DUMMYFUNCTION("""COMPUTED_VALUE"""),"BUY")</f>
        <v>BUY</v>
      </c>
      <c r="E43" s="21">
        <f>IFERROR(__xludf.DUMMYFUNCTION("""COMPUTED_VALUE"""),1616.0)</f>
        <v>1616</v>
      </c>
      <c r="F43" s="25">
        <f>IFERROR(__xludf.DUMMYFUNCTION("""COMPUTED_VALUE"""),5.018)</f>
        <v>5.018</v>
      </c>
      <c r="G43" s="10">
        <f>IFERROR(__xludf.DUMMYFUNCTION("""COMPUTED_VALUE"""),-8109.09)</f>
        <v>-8109.09</v>
      </c>
    </row>
    <row r="44">
      <c r="A44" s="24">
        <f>IFERROR(__xludf.DUMMYFUNCTION("""COMPUTED_VALUE"""),44125.0)</f>
        <v>44125</v>
      </c>
      <c r="B44" s="5" t="str">
        <f>IFERROR(__xludf.DUMMYFUNCTION("""COMPUTED_VALUE"""),"Long term US bonds (20-25 year)")</f>
        <v>Long term US bonds (20-25 year)</v>
      </c>
      <c r="C44" s="5" t="str">
        <f>IFERROR(__xludf.DUMMYFUNCTION("""COMPUTED_VALUE"""),"iShares Treasury Bond 20+ UCITS")</f>
        <v>iShares Treasury Bond 20+ UCITS</v>
      </c>
      <c r="D44" s="21" t="str">
        <f>IFERROR(__xludf.DUMMYFUNCTION("""COMPUTED_VALUE"""),"COST")</f>
        <v>COST</v>
      </c>
      <c r="E44" s="5"/>
      <c r="F44" s="5"/>
      <c r="G44" s="10">
        <f>IFERROR(__xludf.DUMMYFUNCTION("""COMPUTED_VALUE"""),-3.62)</f>
        <v>-3.62</v>
      </c>
    </row>
    <row r="45">
      <c r="A45" s="24">
        <f>IFERROR(__xludf.DUMMYFUNCTION("""COMPUTED_VALUE"""),44125.0)</f>
        <v>44125</v>
      </c>
      <c r="B45" s="5" t="str">
        <f>IFERROR(__xludf.DUMMYFUNCTION("""COMPUTED_VALUE"""),"Stocks")</f>
        <v>Stocks</v>
      </c>
      <c r="C45" s="5" t="str">
        <f>IFERROR(__xludf.DUMMYFUNCTION("""COMPUTED_VALUE"""),"Vanguard S&amp;P 500 UCITS")</f>
        <v>Vanguard S&amp;P 500 UCITS</v>
      </c>
      <c r="D45" s="21" t="str">
        <f>IFERROR(__xludf.DUMMYFUNCTION("""COMPUTED_VALUE"""),"SELL")</f>
        <v>SELL</v>
      </c>
      <c r="E45" s="21">
        <f>IFERROR(__xludf.DUMMYFUNCTION("""COMPUTED_VALUE"""),-114.0)</f>
        <v>-114</v>
      </c>
      <c r="F45" s="25">
        <f>IFERROR(__xludf.DUMMYFUNCTION("""COMPUTED_VALUE"""),54.985)</f>
        <v>54.985</v>
      </c>
      <c r="G45" s="10">
        <f>IFERROR(__xludf.DUMMYFUNCTION("""COMPUTED_VALUE"""),6268.29)</f>
        <v>6268.29</v>
      </c>
    </row>
    <row r="46">
      <c r="A46" s="24">
        <f>IFERROR(__xludf.DUMMYFUNCTION("""COMPUTED_VALUE"""),44125.0)</f>
        <v>44125</v>
      </c>
      <c r="B46" s="5" t="str">
        <f>IFERROR(__xludf.DUMMYFUNCTION("""COMPUTED_VALUE"""),"Stocks")</f>
        <v>Stocks</v>
      </c>
      <c r="C46" s="5" t="str">
        <f>IFERROR(__xludf.DUMMYFUNCTION("""COMPUTED_VALUE"""),"Vanguard S&amp;P 500 UCITS")</f>
        <v>Vanguard S&amp;P 500 UCITS</v>
      </c>
      <c r="D46" s="21" t="str">
        <f>IFERROR(__xludf.DUMMYFUNCTION("""COMPUTED_VALUE"""),"SELL")</f>
        <v>SELL</v>
      </c>
      <c r="E46" s="21">
        <f>IFERROR(__xludf.DUMMYFUNCTION("""COMPUTED_VALUE"""),-228.0)</f>
        <v>-228</v>
      </c>
      <c r="F46" s="25">
        <f>IFERROR(__xludf.DUMMYFUNCTION("""COMPUTED_VALUE"""),55.1)</f>
        <v>55.1</v>
      </c>
      <c r="G46" s="10">
        <f>IFERROR(__xludf.DUMMYFUNCTION("""COMPUTED_VALUE"""),12562.8)</f>
        <v>12562.8</v>
      </c>
    </row>
    <row r="47">
      <c r="A47" s="24">
        <f>IFERROR(__xludf.DUMMYFUNCTION("""COMPUTED_VALUE"""),44125.0)</f>
        <v>44125</v>
      </c>
      <c r="B47" s="5" t="str">
        <f>IFERROR(__xludf.DUMMYFUNCTION("""COMPUTED_VALUE"""),"Stocks")</f>
        <v>Stocks</v>
      </c>
      <c r="C47" s="5" t="str">
        <f>IFERROR(__xludf.DUMMYFUNCTION("""COMPUTED_VALUE"""),"Vanguard S&amp;P 500 UCITS")</f>
        <v>Vanguard S&amp;P 500 UCITS</v>
      </c>
      <c r="D47" s="21" t="str">
        <f>IFERROR(__xludf.DUMMYFUNCTION("""COMPUTED_VALUE"""),"SELL")</f>
        <v>SELL</v>
      </c>
      <c r="E47" s="21">
        <f>IFERROR(__xludf.DUMMYFUNCTION("""COMPUTED_VALUE"""),-228.0)</f>
        <v>-228</v>
      </c>
      <c r="F47" s="25">
        <f>IFERROR(__xludf.DUMMYFUNCTION("""COMPUTED_VALUE"""),55.07)</f>
        <v>55.07</v>
      </c>
      <c r="G47" s="10">
        <f>IFERROR(__xludf.DUMMYFUNCTION("""COMPUTED_VALUE"""),12555.96)</f>
        <v>12555.96</v>
      </c>
    </row>
    <row r="48">
      <c r="A48" s="24">
        <f>IFERROR(__xludf.DUMMYFUNCTION("""COMPUTED_VALUE"""),44124.0)</f>
        <v>44124</v>
      </c>
      <c r="B48" s="5" t="str">
        <f>IFERROR(__xludf.DUMMYFUNCTION("""COMPUTED_VALUE"""),"Long term US bonds (20-25 year)")</f>
        <v>Long term US bonds (20-25 year)</v>
      </c>
      <c r="C48" s="5" t="str">
        <f>IFERROR(__xludf.DUMMYFUNCTION("""COMPUTED_VALUE"""),"iShares Treasury Bond 20+ UCITS")</f>
        <v>iShares Treasury Bond 20+ UCITS</v>
      </c>
      <c r="D48" s="21" t="str">
        <f>IFERROR(__xludf.DUMMYFUNCTION("""COMPUTED_VALUE"""),"BUY")</f>
        <v>BUY</v>
      </c>
      <c r="E48" s="21">
        <f>IFERROR(__xludf.DUMMYFUNCTION("""COMPUTED_VALUE"""),16500.0)</f>
        <v>16500</v>
      </c>
      <c r="F48" s="25">
        <f>IFERROR(__xludf.DUMMYFUNCTION("""COMPUTED_VALUE"""),5.065)</f>
        <v>5.065</v>
      </c>
      <c r="G48" s="10">
        <f>IFERROR(__xludf.DUMMYFUNCTION("""COMPUTED_VALUE"""),-83572.5)</f>
        <v>-83572.5</v>
      </c>
    </row>
    <row r="49">
      <c r="A49" s="24">
        <f>IFERROR(__xludf.DUMMYFUNCTION("""COMPUTED_VALUE"""),44124.0)</f>
        <v>44124</v>
      </c>
      <c r="B49" s="5" t="str">
        <f>IFERROR(__xludf.DUMMYFUNCTION("""COMPUTED_VALUE"""),"Long term US bonds (20-25 year)")</f>
        <v>Long term US bonds (20-25 year)</v>
      </c>
      <c r="C49" s="5" t="str">
        <f>IFERROR(__xludf.DUMMYFUNCTION("""COMPUTED_VALUE"""),"iShares Treasury Bond 20+ UCITS")</f>
        <v>iShares Treasury Bond 20+ UCITS</v>
      </c>
      <c r="D49" s="21" t="str">
        <f>IFERROR(__xludf.DUMMYFUNCTION("""COMPUTED_VALUE"""),"COST")</f>
        <v>COST</v>
      </c>
      <c r="E49" s="5"/>
      <c r="F49" s="5"/>
      <c r="G49" s="10">
        <f>IFERROR(__xludf.DUMMYFUNCTION("""COMPUTED_VALUE"""),-18.71)</f>
        <v>-18.71</v>
      </c>
    </row>
    <row r="50">
      <c r="A50" s="24">
        <f>IFERROR(__xludf.DUMMYFUNCTION("""COMPUTED_VALUE"""),44118.0)</f>
        <v>44118</v>
      </c>
      <c r="B50" s="5" t="str">
        <f>IFERROR(__xludf.DUMMYFUNCTION("""COMPUTED_VALUE"""),"Intermediate US bonds (7-10 year)")</f>
        <v>Intermediate US bonds (7-10 year)</v>
      </c>
      <c r="C50" s="5" t="str">
        <f>IFERROR(__xludf.DUMMYFUNCTION("""COMPUTED_VALUE"""),"iShares Treasury Bond 7-10 UCITS")</f>
        <v>iShares Treasury Bond 7-10 UCITS</v>
      </c>
      <c r="D50" s="21" t="str">
        <f>IFERROR(__xludf.DUMMYFUNCTION("""COMPUTED_VALUE"""),"BUY")</f>
        <v>BUY</v>
      </c>
      <c r="E50" s="21">
        <f>IFERROR(__xludf.DUMMYFUNCTION("""COMPUTED_VALUE"""),7.0)</f>
        <v>7</v>
      </c>
      <c r="F50" s="25">
        <f>IFERROR(__xludf.DUMMYFUNCTION("""COMPUTED_VALUE"""),190.25)</f>
        <v>190.25</v>
      </c>
      <c r="G50" s="10">
        <f>IFERROR(__xludf.DUMMYFUNCTION("""COMPUTED_VALUE"""),-1331.75)</f>
        <v>-1331.75</v>
      </c>
    </row>
    <row r="51">
      <c r="A51" s="24">
        <f>IFERROR(__xludf.DUMMYFUNCTION("""COMPUTED_VALUE"""),44116.0)</f>
        <v>44116</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IFERROR(__xludf.DUMMYFUNCTION("""COMPUTED_VALUE"""),12.0)</f>
        <v>12</v>
      </c>
      <c r="F51" s="25">
        <f>IFERROR(__xludf.DUMMYFUNCTION("""COMPUTED_VALUE"""),188.35)</f>
        <v>188.35</v>
      </c>
      <c r="G51" s="10">
        <f>IFERROR(__xludf.DUMMYFUNCTION("""COMPUTED_VALUE"""),-2260.2)</f>
        <v>-2260.2</v>
      </c>
    </row>
    <row r="52">
      <c r="A52" s="24">
        <f>IFERROR(__xludf.DUMMYFUNCTION("""COMPUTED_VALUE"""),44113.0)</f>
        <v>44113</v>
      </c>
      <c r="B52" s="5" t="str">
        <f>IFERROR(__xludf.DUMMYFUNCTION("""COMPUTED_VALUE"""),"Long term US bonds (20-25 year)")</f>
        <v>Long term US bonds (20-25 year)</v>
      </c>
      <c r="C52" s="5" t="str">
        <f>IFERROR(__xludf.DUMMYFUNCTION("""COMPUTED_VALUE"""),"iShares Treasury Bond 20+ UCITS")</f>
        <v>iShares Treasury Bond 20+ UCITS</v>
      </c>
      <c r="D52" s="21" t="str">
        <f>IFERROR(__xludf.DUMMYFUNCTION("""COMPUTED_VALUE"""),"BUY")</f>
        <v>BUY</v>
      </c>
      <c r="E52" s="21">
        <f>IFERROR(__xludf.DUMMYFUNCTION("""COMPUTED_VALUE"""),49514.0)</f>
        <v>49514</v>
      </c>
      <c r="F52" s="25">
        <f>IFERROR(__xludf.DUMMYFUNCTION("""COMPUTED_VALUE"""),5.049)</f>
        <v>5.049</v>
      </c>
      <c r="G52" s="10">
        <f>IFERROR(__xludf.DUMMYFUNCTION("""COMPUTED_VALUE"""),-249996.19)</f>
        <v>-249996.19</v>
      </c>
    </row>
    <row r="53">
      <c r="A53" s="24">
        <f>IFERROR(__xludf.DUMMYFUNCTION("""COMPUTED_VALUE"""),44113.0)</f>
        <v>44113</v>
      </c>
      <c r="B53" s="5" t="str">
        <f>IFERROR(__xludf.DUMMYFUNCTION("""COMPUTED_VALUE"""),"Long term US bonds (20-25 year)")</f>
        <v>Long term US bonds (20-25 year)</v>
      </c>
      <c r="C53" s="5" t="str">
        <f>IFERROR(__xludf.DUMMYFUNCTION("""COMPUTED_VALUE"""),"iShares Treasury Bond 20+ UCITS")</f>
        <v>iShares Treasury Bond 20+ UCITS</v>
      </c>
      <c r="D53" s="21" t="str">
        <f>IFERROR(__xludf.DUMMYFUNCTION("""COMPUTED_VALUE"""),"COST")</f>
        <v>COST</v>
      </c>
      <c r="E53" s="5"/>
      <c r="F53" s="5"/>
      <c r="G53" s="10">
        <f>IFERROR(__xludf.DUMMYFUNCTION("""COMPUTED_VALUE"""),-52.0)</f>
        <v>-52</v>
      </c>
    </row>
    <row r="54">
      <c r="A54" s="24">
        <f>IFERROR(__xludf.DUMMYFUNCTION("""COMPUTED_VALUE"""),44113.0)</f>
        <v>44113</v>
      </c>
      <c r="B54" s="5" t="str">
        <f>IFERROR(__xludf.DUMMYFUNCTION("""COMPUTED_VALUE"""),"Intermediate US bonds (7-10 year)")</f>
        <v>Intermediate US bonds (7-10 year)</v>
      </c>
      <c r="C54" s="5" t="str">
        <f>IFERROR(__xludf.DUMMYFUNCTION("""COMPUTED_VALUE"""),"iShares Treasury Bond 7-10 UCITS")</f>
        <v>iShares Treasury Bond 7-10 UCITS</v>
      </c>
      <c r="D54" s="21" t="str">
        <f>IFERROR(__xludf.DUMMYFUNCTION("""COMPUTED_VALUE"""),"BUY")</f>
        <v>BUY</v>
      </c>
      <c r="E54" s="21">
        <f>IFERROR(__xludf.DUMMYFUNCTION("""COMPUTED_VALUE"""),9.0)</f>
        <v>9</v>
      </c>
      <c r="F54" s="25">
        <f>IFERROR(__xludf.DUMMYFUNCTION("""COMPUTED_VALUE"""),188.55)</f>
        <v>188.55</v>
      </c>
      <c r="G54" s="10">
        <f>IFERROR(__xludf.DUMMYFUNCTION("""COMPUTED_VALUE"""),-1696.95)</f>
        <v>-1696.95</v>
      </c>
    </row>
    <row r="55">
      <c r="A55" s="24">
        <f>IFERROR(__xludf.DUMMYFUNCTION("""COMPUTED_VALUE"""),44112.0)</f>
        <v>44112</v>
      </c>
      <c r="B55" s="5" t="str">
        <f>IFERROR(__xludf.DUMMYFUNCTION("""COMPUTED_VALUE"""),"Intermediate US bonds (7-10 year)")</f>
        <v>Intermediate US bonds (7-10 year)</v>
      </c>
      <c r="C55" s="5" t="str">
        <f>IFERROR(__xludf.DUMMYFUNCTION("""COMPUTED_VALUE"""),"iShares Treasury Bond 7-10 UCITS")</f>
        <v>iShares Treasury Bond 7-10 UCITS</v>
      </c>
      <c r="D55" s="21" t="str">
        <f>IFERROR(__xludf.DUMMYFUNCTION("""COMPUTED_VALUE"""),"BUY")</f>
        <v>BUY</v>
      </c>
      <c r="E55" s="21">
        <f>IFERROR(__xludf.DUMMYFUNCTION("""COMPUTED_VALUE"""),7.0)</f>
        <v>7</v>
      </c>
      <c r="F55" s="25">
        <f>IFERROR(__xludf.DUMMYFUNCTION("""COMPUTED_VALUE"""),189.0)</f>
        <v>189</v>
      </c>
      <c r="G55" s="10">
        <f>IFERROR(__xludf.DUMMYFUNCTION("""COMPUTED_VALUE"""),-1323.0)</f>
        <v>-1323</v>
      </c>
    </row>
    <row r="56">
      <c r="A56" s="24">
        <f>IFERROR(__xludf.DUMMYFUNCTION("""COMPUTED_VALUE"""),44111.0)</f>
        <v>44111</v>
      </c>
      <c r="B56" s="5" t="str">
        <f>IFERROR(__xludf.DUMMYFUNCTION("""COMPUTED_VALUE"""),"Stocks")</f>
        <v>Stocks</v>
      </c>
      <c r="C56" s="5" t="str">
        <f>IFERROR(__xludf.DUMMYFUNCTION("""COMPUTED_VALUE"""),"Vanguard S&amp;P 500 UCITS")</f>
        <v>Vanguard S&amp;P 500 UCITS</v>
      </c>
      <c r="D56" s="21" t="str">
        <f>IFERROR(__xludf.DUMMYFUNCTION("""COMPUTED_VALUE"""),"DIVIDEND")</f>
        <v>DIVIDEND</v>
      </c>
      <c r="E56" s="5"/>
      <c r="F56" s="5"/>
      <c r="G56" s="10">
        <f>IFERROR(__xludf.DUMMYFUNCTION("""COMPUTED_VALUE"""),1677.14)</f>
        <v>1677.14</v>
      </c>
    </row>
    <row r="57">
      <c r="A57" s="24">
        <f>IFERROR(__xludf.DUMMYFUNCTION("""COMPUTED_VALUE"""),44111.0)</f>
        <v>44111</v>
      </c>
      <c r="B57" s="5" t="str">
        <f>IFERROR(__xludf.DUMMYFUNCTION("""COMPUTED_VALUE"""),"Stocks")</f>
        <v>Stocks</v>
      </c>
      <c r="C57" s="5" t="str">
        <f>IFERROR(__xludf.DUMMYFUNCTION("""COMPUTED_VALUE"""),"Vanguard S&amp;P 500 UCITS")</f>
        <v>Vanguard S&amp;P 500 UCITS</v>
      </c>
      <c r="D57" s="21" t="str">
        <f>IFERROR(__xludf.DUMMYFUNCTION("""COMPUTED_VALUE"""),"DIVIDEND")</f>
        <v>DIVIDEND</v>
      </c>
      <c r="E57" s="5"/>
      <c r="F57" s="5"/>
      <c r="G57" s="10">
        <f>IFERROR(__xludf.DUMMYFUNCTION("""COMPUTED_VALUE"""),-253.0)</f>
        <v>-253</v>
      </c>
    </row>
    <row r="58">
      <c r="A58" s="24">
        <f>IFERROR(__xludf.DUMMYFUNCTION("""COMPUTED_VALUE"""),44110.0)</f>
        <v>44110</v>
      </c>
      <c r="B58" s="5"/>
      <c r="C58" s="5"/>
      <c r="D58" s="21" t="str">
        <f>IFERROR(__xludf.DUMMYFUNCTION("""COMPUTED_VALUE"""),"APPROVISIONNEMENT")</f>
        <v>APPROVISIONNEMENT</v>
      </c>
      <c r="E58" s="5"/>
      <c r="F58" s="5"/>
      <c r="G58" s="10">
        <f>IFERROR(__xludf.DUMMYFUNCTION("""COMPUTED_VALUE"""),-1000.0)</f>
        <v>-1000</v>
      </c>
    </row>
    <row r="59">
      <c r="A59" s="24">
        <f>IFERROR(__xludf.DUMMYFUNCTION("""COMPUTED_VALUE"""),44106.0)</f>
        <v>44106</v>
      </c>
      <c r="B59" s="5"/>
      <c r="C59" s="5"/>
      <c r="D59" s="21" t="str">
        <f>IFERROR(__xludf.DUMMYFUNCTION("""COMPUTED_VALUE"""),"COST")</f>
        <v>COST</v>
      </c>
      <c r="E59" s="5"/>
      <c r="F59" s="5"/>
      <c r="G59" s="10">
        <f>IFERROR(__xludf.DUMMYFUNCTION("""COMPUTED_VALUE"""),-0.82)</f>
        <v>-0.82</v>
      </c>
    </row>
    <row r="60">
      <c r="A60" s="24">
        <f>IFERROR(__xludf.DUMMYFUNCTION("""COMPUTED_VALUE"""),44106.0)</f>
        <v>44106</v>
      </c>
      <c r="B60" s="5"/>
      <c r="C60" s="5"/>
      <c r="D60" s="21" t="str">
        <f>IFERROR(__xludf.DUMMYFUNCTION("""COMPUTED_VALUE"""),"COST")</f>
        <v>COST</v>
      </c>
      <c r="E60" s="5"/>
      <c r="F60" s="5"/>
      <c r="G60" s="10">
        <f>IFERROR(__xludf.DUMMYFUNCTION("""COMPUTED_VALUE"""),0.82)</f>
        <v>0.82</v>
      </c>
    </row>
    <row r="61">
      <c r="A61" s="24">
        <f>IFERROR(__xludf.DUMMYFUNCTION("""COMPUTED_VALUE"""),44105.0)</f>
        <v>44105</v>
      </c>
      <c r="B61" s="5" t="str">
        <f>IFERROR(__xludf.DUMMYFUNCTION("""COMPUTED_VALUE"""),"Intermediate US bonds (7-10 year)")</f>
        <v>Intermediate US bonds (7-10 year)</v>
      </c>
      <c r="C61" s="5" t="str">
        <f>IFERROR(__xludf.DUMMYFUNCTION("""COMPUTED_VALUE"""),"iShares Treasury Bond 7-10 UCITS")</f>
        <v>iShares Treasury Bond 7-10 UCITS</v>
      </c>
      <c r="D61" s="21" t="str">
        <f>IFERROR(__xludf.DUMMYFUNCTION("""COMPUTED_VALUE"""),"BUY")</f>
        <v>BUY</v>
      </c>
      <c r="E61" s="21">
        <f>IFERROR(__xludf.DUMMYFUNCTION("""COMPUTED_VALUE"""),10.0)</f>
        <v>10</v>
      </c>
      <c r="F61" s="25">
        <f>IFERROR(__xludf.DUMMYFUNCTION("""COMPUTED_VALUE"""),190.55)</f>
        <v>190.55</v>
      </c>
      <c r="G61" s="10">
        <f>IFERROR(__xludf.DUMMYFUNCTION("""COMPUTED_VALUE"""),-1905.5)</f>
        <v>-1905.5</v>
      </c>
    </row>
    <row r="62">
      <c r="A62" s="24">
        <f>IFERROR(__xludf.DUMMYFUNCTION("""COMPUTED_VALUE"""),44104.0)</f>
        <v>44104</v>
      </c>
      <c r="B62" s="5"/>
      <c r="C62" s="5"/>
      <c r="D62" s="21" t="str">
        <f>IFERROR(__xludf.DUMMYFUNCTION("""COMPUTED_VALUE"""),"COST")</f>
        <v>COST</v>
      </c>
      <c r="E62" s="5"/>
      <c r="F62" s="5"/>
      <c r="G62" s="10">
        <f>IFERROR(__xludf.DUMMYFUNCTION("""COMPUTED_VALUE"""),-729.38)</f>
        <v>-729.38</v>
      </c>
    </row>
    <row r="63">
      <c r="A63" s="24">
        <f>IFERROR(__xludf.DUMMYFUNCTION("""COMPUTED_VALUE"""),44104.0)</f>
        <v>44104</v>
      </c>
      <c r="B63" s="5" t="str">
        <f>IFERROR(__xludf.DUMMYFUNCTION("""COMPUTED_VALUE"""),"Intermediate US bonds (7-10 year)")</f>
        <v>Intermediate US bonds (7-10 year)</v>
      </c>
      <c r="C63" s="5" t="str">
        <f>IFERROR(__xludf.DUMMYFUNCTION("""COMPUTED_VALUE"""),"iShares Treasury Bond 7-10 UCITS")</f>
        <v>iShares Treasury Bond 7-10 UCITS</v>
      </c>
      <c r="D63" s="21" t="str">
        <f>IFERROR(__xludf.DUMMYFUNCTION("""COMPUTED_VALUE"""),"BUY")</f>
        <v>BUY</v>
      </c>
      <c r="E63" s="21">
        <f>IFERROR(__xludf.DUMMYFUNCTION("""COMPUTED_VALUE"""),50.0)</f>
        <v>50</v>
      </c>
      <c r="F63" s="25">
        <f>IFERROR(__xludf.DUMMYFUNCTION("""COMPUTED_VALUE"""),191.16)</f>
        <v>191.16</v>
      </c>
      <c r="G63" s="10">
        <f>IFERROR(__xludf.DUMMYFUNCTION("""COMPUTED_VALUE"""),-9558.0)</f>
        <v>-9558</v>
      </c>
    </row>
    <row r="64">
      <c r="A64" s="24">
        <f>IFERROR(__xludf.DUMMYFUNCTION("""COMPUTED_VALUE"""),44096.0)</f>
        <v>44096</v>
      </c>
      <c r="B64" s="5"/>
      <c r="C64" s="5"/>
      <c r="D64" s="21" t="str">
        <f>IFERROR(__xludf.DUMMYFUNCTION("""COMPUTED_VALUE"""),"APPROVISIONNEMENT")</f>
        <v>APPROVISIONNEMENT</v>
      </c>
      <c r="E64" s="5"/>
      <c r="F64" s="5"/>
      <c r="G64" s="10">
        <f>IFERROR(__xludf.DUMMYFUNCTION("""COMPUTED_VALUE"""),40000.0)</f>
        <v>40000</v>
      </c>
    </row>
    <row r="65">
      <c r="A65" s="24">
        <f>IFERROR(__xludf.DUMMYFUNCTION("""COMPUTED_VALUE"""),44090.0)</f>
        <v>44090</v>
      </c>
      <c r="B65" s="5"/>
      <c r="C65" s="5"/>
      <c r="D65" s="21" t="str">
        <f>IFERROR(__xludf.DUMMYFUNCTION("""COMPUTED_VALUE"""),"APPROVISIONNEMENT")</f>
        <v>APPROVISIONNEMENT</v>
      </c>
      <c r="E65" s="5"/>
      <c r="F65" s="5"/>
      <c r="G65" s="10">
        <f>IFERROR(__xludf.DUMMYFUNCTION("""COMPUTED_VALUE"""),-1500.0)</f>
        <v>-1500</v>
      </c>
    </row>
    <row r="66">
      <c r="A66" s="24">
        <f>IFERROR(__xludf.DUMMYFUNCTION("""COMPUTED_VALUE"""),44085.0)</f>
        <v>44085</v>
      </c>
      <c r="B66" s="5"/>
      <c r="C66" s="5"/>
      <c r="D66" s="21" t="str">
        <f>IFERROR(__xludf.DUMMYFUNCTION("""COMPUTED_VALUE"""),"APPROVISIONNEMENT")</f>
        <v>APPROVISIONNEMENT</v>
      </c>
      <c r="E66" s="5"/>
      <c r="F66" s="5"/>
      <c r="G66" s="10">
        <f>IFERROR(__xludf.DUMMYFUNCTION("""COMPUTED_VALUE"""),-1000.0)</f>
        <v>-1000</v>
      </c>
    </row>
    <row r="67">
      <c r="A67" s="24">
        <f>IFERROR(__xludf.DUMMYFUNCTION("""COMPUTED_VALUE"""),44077.0)</f>
        <v>44077</v>
      </c>
      <c r="B67" s="5" t="str">
        <f>IFERROR(__xludf.DUMMYFUNCTION("""COMPUTED_VALUE"""),"Stocks")</f>
        <v>Stocks</v>
      </c>
      <c r="C67" s="5" t="str">
        <f>IFERROR(__xludf.DUMMYFUNCTION("""COMPUTED_VALUE"""),"Vanguard S&amp;P 500 UCITS")</f>
        <v>Vanguard S&amp;P 500 UCITS</v>
      </c>
      <c r="D67" s="21" t="str">
        <f>IFERROR(__xludf.DUMMYFUNCTION("""COMPUTED_VALUE"""),"SELL")</f>
        <v>SELL</v>
      </c>
      <c r="E67" s="21">
        <f>IFERROR(__xludf.DUMMYFUNCTION("""COMPUTED_VALUE"""),-2048.0)</f>
        <v>-2048</v>
      </c>
      <c r="F67" s="25">
        <f>IFERROR(__xludf.DUMMYFUNCTION("""COMPUTED_VALUE"""),57.4)</f>
        <v>57.4</v>
      </c>
      <c r="G67" s="10">
        <f>IFERROR(__xludf.DUMMYFUNCTION("""COMPUTED_VALUE"""),117555.2)</f>
        <v>117555.2</v>
      </c>
    </row>
    <row r="68">
      <c r="A68" s="24">
        <f>IFERROR(__xludf.DUMMYFUNCTION("""COMPUTED_VALUE"""),44076.0)</f>
        <v>44076</v>
      </c>
      <c r="B68" s="5" t="str">
        <f>IFERROR(__xludf.DUMMYFUNCTION("""COMPUTED_VALUE"""),"Intermediate US bonds (7-10 year)")</f>
        <v>Intermediate US bonds (7-10 year)</v>
      </c>
      <c r="C68" s="5" t="str">
        <f>IFERROR(__xludf.DUMMYFUNCTION("""COMPUTED_VALUE"""),"iShares Treasury Bond 7-10 UCITS")</f>
        <v>iShares Treasury Bond 7-10 UCITS</v>
      </c>
      <c r="D68" s="21" t="str">
        <f>IFERROR(__xludf.DUMMYFUNCTION("""COMPUTED_VALUE"""),"BUY")</f>
        <v>BUY</v>
      </c>
      <c r="E68" s="21">
        <f>IFERROR(__xludf.DUMMYFUNCTION("""COMPUTED_VALUE"""),6.0)</f>
        <v>6</v>
      </c>
      <c r="F68" s="25">
        <f>IFERROR(__xludf.DUMMYFUNCTION("""COMPUTED_VALUE"""),188.37)</f>
        <v>188.37</v>
      </c>
      <c r="G68" s="10">
        <f>IFERROR(__xludf.DUMMYFUNCTION("""COMPUTED_VALUE"""),-1130.22)</f>
        <v>-1130.22</v>
      </c>
    </row>
    <row r="69">
      <c r="A69" s="24">
        <f>IFERROR(__xludf.DUMMYFUNCTION("""COMPUTED_VALUE"""),44075.0)</f>
        <v>44075</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IFERROR(__xludf.DUMMYFUNCTION("""COMPUTED_VALUE"""),6.0)</f>
        <v>6</v>
      </c>
      <c r="F69" s="25">
        <f>IFERROR(__xludf.DUMMYFUNCTION("""COMPUTED_VALUE"""),185.9)</f>
        <v>185.9</v>
      </c>
      <c r="G69" s="10">
        <f>IFERROR(__xludf.DUMMYFUNCTION("""COMPUTED_VALUE"""),-1115.4)</f>
        <v>-1115.4</v>
      </c>
    </row>
    <row r="70">
      <c r="A70" s="24">
        <f>IFERROR(__xludf.DUMMYFUNCTION("""COMPUTED_VALUE"""),44074.0)</f>
        <v>44074</v>
      </c>
      <c r="B70" s="5"/>
      <c r="C70" s="5"/>
      <c r="D70" s="21" t="str">
        <f>IFERROR(__xludf.DUMMYFUNCTION("""COMPUTED_VALUE"""),"COST")</f>
        <v>COST</v>
      </c>
      <c r="E70" s="5"/>
      <c r="F70" s="5"/>
      <c r="G70" s="10">
        <f>IFERROR(__xludf.DUMMYFUNCTION("""COMPUTED_VALUE"""),-680.17)</f>
        <v>-680.17</v>
      </c>
    </row>
    <row r="71">
      <c r="A71" s="24">
        <f>IFERROR(__xludf.DUMMYFUNCTION("""COMPUTED_VALUE"""),44074.0)</f>
        <v>44074</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IFERROR(__xludf.DUMMYFUNCTION("""COMPUTED_VALUE"""),10.0)</f>
        <v>10</v>
      </c>
      <c r="F71" s="25">
        <f>IFERROR(__xludf.DUMMYFUNCTION("""COMPUTED_VALUE"""),186.8)</f>
        <v>186.8</v>
      </c>
      <c r="G71" s="10">
        <f>IFERROR(__xludf.DUMMYFUNCTION("""COMPUTED_VALUE"""),-1868.0)</f>
        <v>-1868</v>
      </c>
    </row>
    <row r="72">
      <c r="A72" s="24">
        <f>IFERROR(__xludf.DUMMYFUNCTION("""COMPUTED_VALUE"""),44070.0)</f>
        <v>44070</v>
      </c>
      <c r="B72" s="5" t="str">
        <f>IFERROR(__xludf.DUMMYFUNCTION("""COMPUTED_VALUE"""),"Intermediate US bonds (7-10 year)")</f>
        <v>Intermediate US bonds (7-10 year)</v>
      </c>
      <c r="C72" s="5" t="str">
        <f>IFERROR(__xludf.DUMMYFUNCTION("""COMPUTED_VALUE"""),"iShares Treasury Bond 7-10 UCITS")</f>
        <v>iShares Treasury Bond 7-10 UCITS</v>
      </c>
      <c r="D72" s="21" t="str">
        <f>IFERROR(__xludf.DUMMYFUNCTION("""COMPUTED_VALUE"""),"BUY")</f>
        <v>BUY</v>
      </c>
      <c r="E72" s="21">
        <f>IFERROR(__xludf.DUMMYFUNCTION("""COMPUTED_VALUE"""),6.0)</f>
        <v>6</v>
      </c>
      <c r="F72" s="25">
        <f>IFERROR(__xludf.DUMMYFUNCTION("""COMPUTED_VALUE"""),188.98)</f>
        <v>188.98</v>
      </c>
      <c r="G72" s="10">
        <f>IFERROR(__xludf.DUMMYFUNCTION("""COMPUTED_VALUE"""),-1133.88)</f>
        <v>-1133.88</v>
      </c>
    </row>
    <row r="73">
      <c r="A73" s="24">
        <f>IFERROR(__xludf.DUMMYFUNCTION("""COMPUTED_VALUE"""),44069.0)</f>
        <v>44069</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IFERROR(__xludf.DUMMYFUNCTION("""COMPUTED_VALUE"""),6.0)</f>
        <v>6</v>
      </c>
      <c r="F73" s="25">
        <f>IFERROR(__xludf.DUMMYFUNCTION("""COMPUTED_VALUE"""),188.65)</f>
        <v>188.65</v>
      </c>
      <c r="G73" s="10">
        <f>IFERROR(__xludf.DUMMYFUNCTION("""COMPUTED_VALUE"""),-1131.9)</f>
        <v>-1131.9</v>
      </c>
    </row>
    <row r="74">
      <c r="A74" s="24">
        <f>IFERROR(__xludf.DUMMYFUNCTION("""COMPUTED_VALUE"""),44068.0)</f>
        <v>44068</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IFERROR(__xludf.DUMMYFUNCTION("""COMPUTED_VALUE"""),484.0)</f>
        <v>484</v>
      </c>
      <c r="F74" s="25">
        <f>IFERROR(__xludf.DUMMYFUNCTION("""COMPUTED_VALUE"""),188.69)</f>
        <v>188.69</v>
      </c>
      <c r="G74" s="10">
        <f>IFERROR(__xludf.DUMMYFUNCTION("""COMPUTED_VALUE"""),-91325.96)</f>
        <v>-91325.96</v>
      </c>
    </row>
    <row r="75">
      <c r="A75" s="24">
        <f>IFERROR(__xludf.DUMMYFUNCTION("""COMPUTED_VALUE"""),44043.0)</f>
        <v>44043</v>
      </c>
      <c r="B75" s="5"/>
      <c r="C75" s="5"/>
      <c r="D75" s="21" t="str">
        <f>IFERROR(__xludf.DUMMYFUNCTION("""COMPUTED_VALUE"""),"COST")</f>
        <v>COST</v>
      </c>
      <c r="E75" s="5"/>
      <c r="F75" s="5"/>
      <c r="G75" s="10">
        <f>IFERROR(__xludf.DUMMYFUNCTION("""COMPUTED_VALUE"""),-690.94)</f>
        <v>-690.94</v>
      </c>
    </row>
    <row r="76">
      <c r="A76" s="24">
        <f>IFERROR(__xludf.DUMMYFUNCTION("""COMPUTED_VALUE"""),44012.0)</f>
        <v>44012</v>
      </c>
      <c r="B76" s="5"/>
      <c r="C76" s="5"/>
      <c r="D76" s="21" t="str">
        <f>IFERROR(__xludf.DUMMYFUNCTION("""COMPUTED_VALUE"""),"COST")</f>
        <v>COST</v>
      </c>
      <c r="E76" s="5"/>
      <c r="F76" s="5"/>
      <c r="G76" s="10">
        <f>IFERROR(__xludf.DUMMYFUNCTION("""COMPUTED_VALUE"""),-631.25)</f>
        <v>-631.25</v>
      </c>
    </row>
    <row r="77">
      <c r="A77" s="24">
        <f>IFERROR(__xludf.DUMMYFUNCTION("""COMPUTED_VALUE"""),44007.0)</f>
        <v>44007</v>
      </c>
      <c r="B77" s="5" t="str">
        <f>IFERROR(__xludf.DUMMYFUNCTION("""COMPUTED_VALUE"""),"Long term US bonds (20-25 year)")</f>
        <v>Long term US bonds (20-25 year)</v>
      </c>
      <c r="C77" s="5" t="str">
        <f>IFERROR(__xludf.DUMMYFUNCTION("""COMPUTED_VALUE"""),"iShares Treasury Bond 20+ UCITS")</f>
        <v>iShares Treasury Bond 20+ UCITS</v>
      </c>
      <c r="D77" s="21" t="str">
        <f>IFERROR(__xludf.DUMMYFUNCTION("""COMPUTED_VALUE"""),"DIVIDEND")</f>
        <v>DIVIDEND</v>
      </c>
      <c r="E77" s="5"/>
      <c r="F77" s="5"/>
      <c r="G77" s="10">
        <f>IFERROR(__xludf.DUMMYFUNCTION("""COMPUTED_VALUE"""),-421.7)</f>
        <v>-421.7</v>
      </c>
    </row>
    <row r="78">
      <c r="A78" s="24">
        <f>IFERROR(__xludf.DUMMYFUNCTION("""COMPUTED_VALUE"""),44006.0)</f>
        <v>44006</v>
      </c>
      <c r="B78" s="5" t="str">
        <f>IFERROR(__xludf.DUMMYFUNCTION("""COMPUTED_VALUE"""),"Stocks")</f>
        <v>Stocks</v>
      </c>
      <c r="C78" s="5" t="str">
        <f>IFERROR(__xludf.DUMMYFUNCTION("""COMPUTED_VALUE"""),"Vanguard S&amp;P 500 UCITS")</f>
        <v>Vanguard S&amp;P 500 UCITS</v>
      </c>
      <c r="D78" s="21" t="str">
        <f>IFERROR(__xludf.DUMMYFUNCTION("""COMPUTED_VALUE"""),"DIVIDEND")</f>
        <v>DIVIDEND</v>
      </c>
      <c r="E78" s="5"/>
      <c r="F78" s="5"/>
      <c r="G78" s="10">
        <f>IFERROR(__xludf.DUMMYFUNCTION("""COMPUTED_VALUE"""),1706.05)</f>
        <v>1706.05</v>
      </c>
    </row>
    <row r="79">
      <c r="A79" s="24">
        <f>IFERROR(__xludf.DUMMYFUNCTION("""COMPUTED_VALUE"""),44006.0)</f>
        <v>44006</v>
      </c>
      <c r="B79" s="5" t="str">
        <f>IFERROR(__xludf.DUMMYFUNCTION("""COMPUTED_VALUE"""),"Long term US bonds (20-25 year)")</f>
        <v>Long term US bonds (20-25 year)</v>
      </c>
      <c r="C79" s="5" t="str">
        <f>IFERROR(__xludf.DUMMYFUNCTION("""COMPUTED_VALUE"""),"iShares Treasury Bond 20+ UCITS")</f>
        <v>iShares Treasury Bond 20+ UCITS</v>
      </c>
      <c r="D79" s="21" t="str">
        <f>IFERROR(__xludf.DUMMYFUNCTION("""COMPUTED_VALUE"""),"DIVIDEND")</f>
        <v>DIVIDEND</v>
      </c>
      <c r="E79" s="5"/>
      <c r="F79" s="5"/>
      <c r="G79" s="10">
        <f>IFERROR(__xludf.DUMMYFUNCTION("""COMPUTED_VALUE"""),2148.89)</f>
        <v>2148.89</v>
      </c>
    </row>
    <row r="80">
      <c r="A80" s="24">
        <f>IFERROR(__xludf.DUMMYFUNCTION("""COMPUTED_VALUE"""),43985.0)</f>
        <v>43985</v>
      </c>
      <c r="B80" s="5"/>
      <c r="C80" s="5"/>
      <c r="D80" s="21" t="str">
        <f>IFERROR(__xludf.DUMMYFUNCTION("""COMPUTED_VALUE"""),"APPROVISIONNEMENT")</f>
        <v>APPROVISIONNEMENT</v>
      </c>
      <c r="E80" s="5"/>
      <c r="F80" s="5"/>
      <c r="G80" s="10">
        <f>IFERROR(__xludf.DUMMYFUNCTION("""COMPUTED_VALUE"""),-100000.0)</f>
        <v>-100000</v>
      </c>
    </row>
    <row r="81">
      <c r="A81" s="24">
        <f>IFERROR(__xludf.DUMMYFUNCTION("""COMPUTED_VALUE"""),43984.0)</f>
        <v>43984</v>
      </c>
      <c r="B81" s="5"/>
      <c r="C81" s="5"/>
      <c r="D81" s="21" t="str">
        <f>IFERROR(__xludf.DUMMYFUNCTION("""COMPUTED_VALUE"""),"APPROVISIONNEMENT")</f>
        <v>APPROVISIONNEMENT</v>
      </c>
      <c r="E81" s="5"/>
      <c r="F81" s="5"/>
      <c r="G81" s="10">
        <f>IFERROR(__xludf.DUMMYFUNCTION("""COMPUTED_VALUE"""),-400.0)</f>
        <v>-400</v>
      </c>
    </row>
    <row r="82">
      <c r="A82" s="24">
        <f>IFERROR(__xludf.DUMMYFUNCTION("""COMPUTED_VALUE"""),43982.0)</f>
        <v>43982</v>
      </c>
      <c r="B82" s="5"/>
      <c r="C82" s="5"/>
      <c r="D82" s="21" t="str">
        <f>IFERROR(__xludf.DUMMYFUNCTION("""COMPUTED_VALUE"""),"COST")</f>
        <v>COST</v>
      </c>
      <c r="E82" s="5"/>
      <c r="F82" s="5"/>
      <c r="G82" s="10">
        <f>IFERROR(__xludf.DUMMYFUNCTION("""COMPUTED_VALUE"""),-544.65)</f>
        <v>-544.65</v>
      </c>
    </row>
    <row r="83">
      <c r="A83" s="24">
        <f>IFERROR(__xludf.DUMMYFUNCTION("""COMPUTED_VALUE"""),43978.0)</f>
        <v>43978</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IFERROR(__xludf.DUMMYFUNCTION("""COMPUTED_VALUE"""),"DIVIDEND")</f>
        <v>DIVIDEND</v>
      </c>
      <c r="E83" s="5"/>
      <c r="F83" s="5"/>
      <c r="G83" s="10">
        <f>IFERROR(__xludf.DUMMYFUNCTION("""COMPUTED_VALUE"""),874.6)</f>
        <v>874.6</v>
      </c>
    </row>
    <row r="84">
      <c r="A84" s="24">
        <f>IFERROR(__xludf.DUMMYFUNCTION("""COMPUTED_VALUE"""),43978.0)</f>
        <v>43978</v>
      </c>
      <c r="B84" s="5" t="str">
        <f>IFERROR(__xludf.DUMMYFUNCTION("""COMPUTED_VALUE"""),"Intermediate US bonds (7-10 year)")</f>
        <v>Intermediate US bonds (7-10 year)</v>
      </c>
      <c r="C84" s="5" t="str">
        <f>IFERROR(__xludf.DUMMYFUNCTION("""COMPUTED_VALUE"""),"iShares Treasury Bond 7-10 UCITS")</f>
        <v>iShares Treasury Bond 7-10 UCITS</v>
      </c>
      <c r="D84" s="21" t="str">
        <f>IFERROR(__xludf.DUMMYFUNCTION("""COMPUTED_VALUE"""),"DIVIDEND")</f>
        <v>DIVIDEND</v>
      </c>
      <c r="E84" s="5"/>
      <c r="F84" s="5"/>
      <c r="G84" s="10">
        <f>IFERROR(__xludf.DUMMYFUNCTION("""COMPUTED_VALUE"""),-81.0)</f>
        <v>-81</v>
      </c>
    </row>
    <row r="85">
      <c r="A85" s="24">
        <f>IFERROR(__xludf.DUMMYFUNCTION("""COMPUTED_VALUE"""),43952.0)</f>
        <v>43952</v>
      </c>
      <c r="B85" s="5"/>
      <c r="C85" s="5"/>
      <c r="D85" s="21" t="str">
        <f>IFERROR(__xludf.DUMMYFUNCTION("""COMPUTED_VALUE"""),"APPROVISIONNEMENT")</f>
        <v>APPROVISIONNEMENT</v>
      </c>
      <c r="E85" s="5"/>
      <c r="F85" s="5"/>
      <c r="G85" s="10">
        <f>IFERROR(__xludf.DUMMYFUNCTION("""COMPUTED_VALUE"""),-400.0)</f>
        <v>-400</v>
      </c>
    </row>
    <row r="86">
      <c r="A86" s="24">
        <f>IFERROR(__xludf.DUMMYFUNCTION("""COMPUTED_VALUE"""),43951.0)</f>
        <v>43951</v>
      </c>
      <c r="B86" s="5"/>
      <c r="C86" s="5"/>
      <c r="D86" s="21" t="str">
        <f>IFERROR(__xludf.DUMMYFUNCTION("""COMPUTED_VALUE"""),"COST")</f>
        <v>COST</v>
      </c>
      <c r="E86" s="5"/>
      <c r="F86" s="5"/>
      <c r="G86" s="10">
        <f>IFERROR(__xludf.DUMMYFUNCTION("""COMPUTED_VALUE"""),-704.17)</f>
        <v>-704.17</v>
      </c>
    </row>
    <row r="87">
      <c r="A87" s="24">
        <f>IFERROR(__xludf.DUMMYFUNCTION("""COMPUTED_VALUE"""),43948.0)</f>
        <v>43948</v>
      </c>
      <c r="B87" s="5" t="str">
        <f>IFERROR(__xludf.DUMMYFUNCTION("""COMPUTED_VALUE"""),"Commodities")</f>
        <v>Commodities</v>
      </c>
      <c r="C87" s="5" t="str">
        <f>IFERROR(__xludf.DUMMYFUNCTION("""COMPUTED_VALUE"""),"ETFS All Commodities ETC")</f>
        <v>ETFS All Commodities ETC</v>
      </c>
      <c r="D87" s="21" t="str">
        <f>IFERROR(__xludf.DUMMYFUNCTION("""COMPUTED_VALUE"""),"BUY")</f>
        <v>BUY</v>
      </c>
      <c r="E87" s="21">
        <f>IFERROR(__xludf.DUMMYFUNCTION("""COMPUTED_VALUE"""),177.0)</f>
        <v>177</v>
      </c>
      <c r="F87" s="25">
        <f>IFERROR(__xludf.DUMMYFUNCTION("""COMPUTED_VALUE"""),5.68)</f>
        <v>5.68</v>
      </c>
      <c r="G87" s="10">
        <f>IFERROR(__xludf.DUMMYFUNCTION("""COMPUTED_VALUE"""),-1005.36)</f>
        <v>-1005.36</v>
      </c>
    </row>
    <row r="88">
      <c r="A88" s="24">
        <f>IFERROR(__xludf.DUMMYFUNCTION("""COMPUTED_VALUE"""),43948.0)</f>
        <v>43948</v>
      </c>
      <c r="B88" s="5" t="str">
        <f>IFERROR(__xludf.DUMMYFUNCTION("""COMPUTED_VALUE"""),"Commodities")</f>
        <v>Commodities</v>
      </c>
      <c r="C88" s="5" t="str">
        <f>IFERROR(__xludf.DUMMYFUNCTION("""COMPUTED_VALUE"""),"ETFS All Commodities ETC")</f>
        <v>ETFS All Commodities ETC</v>
      </c>
      <c r="D88" s="21" t="str">
        <f>IFERROR(__xludf.DUMMYFUNCTION("""COMPUTED_VALUE"""),"BUY")</f>
        <v>BUY</v>
      </c>
      <c r="E88" s="21">
        <f>IFERROR(__xludf.DUMMYFUNCTION("""COMPUTED_VALUE"""),176.0)</f>
        <v>176</v>
      </c>
      <c r="F88" s="25">
        <f>IFERROR(__xludf.DUMMYFUNCTION("""COMPUTED_VALUE"""),5.71)</f>
        <v>5.71</v>
      </c>
      <c r="G88" s="10">
        <f>IFERROR(__xludf.DUMMYFUNCTION("""COMPUTED_VALUE"""),-1004.96)</f>
        <v>-1004.96</v>
      </c>
    </row>
    <row r="89">
      <c r="A89" s="24">
        <f>IFERROR(__xludf.DUMMYFUNCTION("""COMPUTED_VALUE"""),43948.0)</f>
        <v>43948</v>
      </c>
      <c r="B89" s="5" t="str">
        <f>IFERROR(__xludf.DUMMYFUNCTION("""COMPUTED_VALUE"""),"Commodities")</f>
        <v>Commodities</v>
      </c>
      <c r="C89" s="5" t="str">
        <f>IFERROR(__xludf.DUMMYFUNCTION("""COMPUTED_VALUE"""),"ETFS All Commodities ETC")</f>
        <v>ETFS All Commodities ETC</v>
      </c>
      <c r="D89" s="21" t="str">
        <f>IFERROR(__xludf.DUMMYFUNCTION("""COMPUTED_VALUE"""),"BUY")</f>
        <v>BUY</v>
      </c>
      <c r="E89" s="21">
        <f>IFERROR(__xludf.DUMMYFUNCTION("""COMPUTED_VALUE"""),705.0)</f>
        <v>705</v>
      </c>
      <c r="F89" s="25">
        <f>IFERROR(__xludf.DUMMYFUNCTION("""COMPUTED_VALUE"""),5.73)</f>
        <v>5.73</v>
      </c>
      <c r="G89" s="10">
        <f>IFERROR(__xludf.DUMMYFUNCTION("""COMPUTED_VALUE"""),-4039.65)</f>
        <v>-4039.65</v>
      </c>
    </row>
    <row r="90">
      <c r="A90" s="24">
        <f>IFERROR(__xludf.DUMMYFUNCTION("""COMPUTED_VALUE"""),43945.0)</f>
        <v>43945</v>
      </c>
      <c r="B90" s="5" t="str">
        <f>IFERROR(__xludf.DUMMYFUNCTION("""COMPUTED_VALUE"""),"Commodities")</f>
        <v>Commodities</v>
      </c>
      <c r="C90" s="5" t="str">
        <f>IFERROR(__xludf.DUMMYFUNCTION("""COMPUTED_VALUE"""),"ETFS All Commodities ETC")</f>
        <v>ETFS All Commodities ETC</v>
      </c>
      <c r="D90" s="21" t="str">
        <f>IFERROR(__xludf.DUMMYFUNCTION("""COMPUTED_VALUE"""),"BUY")</f>
        <v>BUY</v>
      </c>
      <c r="E90" s="21">
        <f>IFERROR(__xludf.DUMMYFUNCTION("""COMPUTED_VALUE"""),174.0)</f>
        <v>174</v>
      </c>
      <c r="F90" s="25">
        <f>IFERROR(__xludf.DUMMYFUNCTION("""COMPUTED_VALUE"""),5.77)</f>
        <v>5.77</v>
      </c>
      <c r="G90" s="10">
        <f>IFERROR(__xludf.DUMMYFUNCTION("""COMPUTED_VALUE"""),-1003.98)</f>
        <v>-1003.98</v>
      </c>
    </row>
    <row r="91">
      <c r="A91" s="24">
        <f>IFERROR(__xludf.DUMMYFUNCTION("""COMPUTED_VALUE"""),43942.0)</f>
        <v>43942</v>
      </c>
      <c r="B91" s="5" t="str">
        <f>IFERROR(__xludf.DUMMYFUNCTION("""COMPUTED_VALUE"""),"Stocks")</f>
        <v>Stocks</v>
      </c>
      <c r="C91" s="5" t="str">
        <f>IFERROR(__xludf.DUMMYFUNCTION("""COMPUTED_VALUE"""),"Vanguard S&amp;P 500 UCITS")</f>
        <v>Vanguard S&amp;P 500 UCITS</v>
      </c>
      <c r="D91" s="21" t="str">
        <f>IFERROR(__xludf.DUMMYFUNCTION("""COMPUTED_VALUE"""),"SELL")</f>
        <v>SELL</v>
      </c>
      <c r="E91" s="21">
        <f>IFERROR(__xludf.DUMMYFUNCTION("""COMPUTED_VALUE"""),-2384.0)</f>
        <v>-2384</v>
      </c>
      <c r="F91" s="25">
        <f>IFERROR(__xludf.DUMMYFUNCTION("""COMPUTED_VALUE"""),48.55)</f>
        <v>48.55</v>
      </c>
      <c r="G91" s="10">
        <f>IFERROR(__xludf.DUMMYFUNCTION("""COMPUTED_VALUE"""),115743.2)</f>
        <v>115743.2</v>
      </c>
    </row>
    <row r="92">
      <c r="A92" s="24">
        <f>IFERROR(__xludf.DUMMYFUNCTION("""COMPUTED_VALUE"""),43942.0)</f>
        <v>43942</v>
      </c>
      <c r="B92" s="5" t="str">
        <f>IFERROR(__xludf.DUMMYFUNCTION("""COMPUTED_VALUE"""),"Commodities")</f>
        <v>Commodities</v>
      </c>
      <c r="C92" s="5" t="str">
        <f>IFERROR(__xludf.DUMMYFUNCTION("""COMPUTED_VALUE"""),"ETFS All Commodities ETC")</f>
        <v>ETFS All Commodities ETC</v>
      </c>
      <c r="D92" s="21" t="str">
        <f>IFERROR(__xludf.DUMMYFUNCTION("""COMPUTED_VALUE"""),"BUY")</f>
        <v>BUY</v>
      </c>
      <c r="E92" s="21">
        <f>IFERROR(__xludf.DUMMYFUNCTION("""COMPUTED_VALUE"""),174.0)</f>
        <v>174</v>
      </c>
      <c r="F92" s="25">
        <f>IFERROR(__xludf.DUMMYFUNCTION("""COMPUTED_VALUE"""),5.75)</f>
        <v>5.75</v>
      </c>
      <c r="G92" s="10">
        <f>IFERROR(__xludf.DUMMYFUNCTION("""COMPUTED_VALUE"""),-1000.5)</f>
        <v>-1000.5</v>
      </c>
    </row>
    <row r="93">
      <c r="A93" s="24">
        <f>IFERROR(__xludf.DUMMYFUNCTION("""COMPUTED_VALUE"""),43942.0)</f>
        <v>43942</v>
      </c>
      <c r="B93" s="5" t="str">
        <f>IFERROR(__xludf.DUMMYFUNCTION("""COMPUTED_VALUE"""),"Commodities")</f>
        <v>Commodities</v>
      </c>
      <c r="C93" s="5" t="str">
        <f>IFERROR(__xludf.DUMMYFUNCTION("""COMPUTED_VALUE"""),"ETFS All Commodities ETC")</f>
        <v>ETFS All Commodities ETC</v>
      </c>
      <c r="D93" s="21" t="str">
        <f>IFERROR(__xludf.DUMMYFUNCTION("""COMPUTED_VALUE"""),"BUY")</f>
        <v>BUY</v>
      </c>
      <c r="E93" s="21">
        <f>IFERROR(__xludf.DUMMYFUNCTION("""COMPUTED_VALUE"""),174.0)</f>
        <v>174</v>
      </c>
      <c r="F93" s="25">
        <f>IFERROR(__xludf.DUMMYFUNCTION("""COMPUTED_VALUE"""),5.77)</f>
        <v>5.77</v>
      </c>
      <c r="G93" s="10">
        <f>IFERROR(__xludf.DUMMYFUNCTION("""COMPUTED_VALUE"""),-1003.98)</f>
        <v>-1003.98</v>
      </c>
    </row>
    <row r="94">
      <c r="A94" s="24">
        <f>IFERROR(__xludf.DUMMYFUNCTION("""COMPUTED_VALUE"""),43935.0)</f>
        <v>43935</v>
      </c>
      <c r="B94" s="5" t="str">
        <f>IFERROR(__xludf.DUMMYFUNCTION("""COMPUTED_VALUE"""),"Gold")</f>
        <v>Gold</v>
      </c>
      <c r="C94" s="5" t="str">
        <f>IFERROR(__xludf.DUMMYFUNCTION("""COMPUTED_VALUE"""),"ETFS Physical Gold")</f>
        <v>ETFS Physical Gold</v>
      </c>
      <c r="D94" s="21" t="str">
        <f>IFERROR(__xludf.DUMMYFUNCTION("""COMPUTED_VALUE"""),"SELL")</f>
        <v>SELL</v>
      </c>
      <c r="E94" s="21">
        <f>IFERROR(__xludf.DUMMYFUNCTION("""COMPUTED_VALUE"""),-7.0)</f>
        <v>-7</v>
      </c>
      <c r="F94" s="25">
        <f>IFERROR(__xludf.DUMMYFUNCTION("""COMPUTED_VALUE"""),150.25)</f>
        <v>150.25</v>
      </c>
      <c r="G94" s="10">
        <f>IFERROR(__xludf.DUMMYFUNCTION("""COMPUTED_VALUE"""),1051.75)</f>
        <v>1051.75</v>
      </c>
    </row>
    <row r="95">
      <c r="A95" s="24">
        <f>IFERROR(__xludf.DUMMYFUNCTION("""COMPUTED_VALUE"""),43935.0)</f>
        <v>43935</v>
      </c>
      <c r="B95" s="5" t="str">
        <f>IFERROR(__xludf.DUMMYFUNCTION("""COMPUTED_VALUE"""),"Gold")</f>
        <v>Gold</v>
      </c>
      <c r="C95" s="5" t="str">
        <f>IFERROR(__xludf.DUMMYFUNCTION("""COMPUTED_VALUE"""),"ETFS Physical Gold")</f>
        <v>ETFS Physical Gold</v>
      </c>
      <c r="D95" s="21" t="str">
        <f>IFERROR(__xludf.DUMMYFUNCTION("""COMPUTED_VALUE"""),"SELL")</f>
        <v>SELL</v>
      </c>
      <c r="E95" s="21">
        <f>IFERROR(__xludf.DUMMYFUNCTION("""COMPUTED_VALUE"""),-17.0)</f>
        <v>-17</v>
      </c>
      <c r="F95" s="25">
        <f>IFERROR(__xludf.DUMMYFUNCTION("""COMPUTED_VALUE"""),149.35)</f>
        <v>149.35</v>
      </c>
      <c r="G95" s="10">
        <f>IFERROR(__xludf.DUMMYFUNCTION("""COMPUTED_VALUE"""),2538.95)</f>
        <v>2538.95</v>
      </c>
    </row>
    <row r="96">
      <c r="A96" s="24">
        <f>IFERROR(__xludf.DUMMYFUNCTION("""COMPUTED_VALUE"""),43930.0)</f>
        <v>43930</v>
      </c>
      <c r="B96" s="5" t="str">
        <f>IFERROR(__xludf.DUMMYFUNCTION("""COMPUTED_VALUE"""),"Stocks")</f>
        <v>Stocks</v>
      </c>
      <c r="C96" s="5" t="str">
        <f>IFERROR(__xludf.DUMMYFUNCTION("""COMPUTED_VALUE"""),"Vanguard S&amp;P 500 UCITS")</f>
        <v>Vanguard S&amp;P 500 UCITS</v>
      </c>
      <c r="D96" s="21" t="str">
        <f>IFERROR(__xludf.DUMMYFUNCTION("""COMPUTED_VALUE"""),"DIVIDEND")</f>
        <v>DIVIDEND</v>
      </c>
      <c r="E96" s="5"/>
      <c r="F96" s="5"/>
      <c r="G96" s="10">
        <f>IFERROR(__xludf.DUMMYFUNCTION("""COMPUTED_VALUE"""),-276.34)</f>
        <v>-276.34</v>
      </c>
    </row>
    <row r="97">
      <c r="A97" s="24">
        <f>IFERROR(__xludf.DUMMYFUNCTION("""COMPUTED_VALUE"""),43929.0)</f>
        <v>43929</v>
      </c>
      <c r="B97" s="5"/>
      <c r="C97" s="5"/>
      <c r="D97" s="21" t="str">
        <f>IFERROR(__xludf.DUMMYFUNCTION("""COMPUTED_VALUE"""),"APPROVISIONNEMENT")</f>
        <v>APPROVISIONNEMENT</v>
      </c>
      <c r="E97" s="5"/>
      <c r="F97" s="5"/>
      <c r="G97" s="10">
        <f>IFERROR(__xludf.DUMMYFUNCTION("""COMPUTED_VALUE"""),-100.0)</f>
        <v>-100</v>
      </c>
    </row>
    <row r="98">
      <c r="A98" s="24">
        <f>IFERROR(__xludf.DUMMYFUNCTION("""COMPUTED_VALUE"""),43929.0)</f>
        <v>43929</v>
      </c>
      <c r="B98" s="5" t="str">
        <f>IFERROR(__xludf.DUMMYFUNCTION("""COMPUTED_VALUE"""),"Stocks")</f>
        <v>Stocks</v>
      </c>
      <c r="C98" s="5" t="str">
        <f>IFERROR(__xludf.DUMMYFUNCTION("""COMPUTED_VALUE"""),"Vanguard S&amp;P 500 UCITS")</f>
        <v>Vanguard S&amp;P 500 UCITS</v>
      </c>
      <c r="D98" s="21" t="str">
        <f>IFERROR(__xludf.DUMMYFUNCTION("""COMPUTED_VALUE"""),"DIVIDEND")</f>
        <v>DIVIDEND</v>
      </c>
      <c r="E98" s="5"/>
      <c r="F98" s="5"/>
      <c r="G98" s="10">
        <f>IFERROR(__xludf.DUMMYFUNCTION("""COMPUTED_VALUE"""),3216.38)</f>
        <v>3216.38</v>
      </c>
    </row>
    <row r="99">
      <c r="A99" s="24">
        <f>IFERROR(__xludf.DUMMYFUNCTION("""COMPUTED_VALUE"""),43928.0)</f>
        <v>43928</v>
      </c>
      <c r="B99" s="5" t="str">
        <f>IFERROR(__xludf.DUMMYFUNCTION("""COMPUTED_VALUE"""),"Gold")</f>
        <v>Gold</v>
      </c>
      <c r="C99" s="5" t="str">
        <f>IFERROR(__xludf.DUMMYFUNCTION("""COMPUTED_VALUE"""),"ETFS Physical Gold")</f>
        <v>ETFS Physical Gold</v>
      </c>
      <c r="D99" s="21" t="str">
        <f>IFERROR(__xludf.DUMMYFUNCTION("""COMPUTED_VALUE"""),"SELL")</f>
        <v>SELL</v>
      </c>
      <c r="E99" s="21">
        <f>IFERROR(__xludf.DUMMYFUNCTION("""COMPUTED_VALUE"""),-22.0)</f>
        <v>-22</v>
      </c>
      <c r="F99" s="25">
        <f>IFERROR(__xludf.DUMMYFUNCTION("""COMPUTED_VALUE"""),145.55)</f>
        <v>145.55</v>
      </c>
      <c r="G99" s="10">
        <f>IFERROR(__xludf.DUMMYFUNCTION("""COMPUTED_VALUE"""),3202.1)</f>
        <v>3202.1</v>
      </c>
    </row>
    <row r="100">
      <c r="A100" s="24">
        <f>IFERROR(__xludf.DUMMYFUNCTION("""COMPUTED_VALUE"""),43924.0)</f>
        <v>43924</v>
      </c>
      <c r="B100" s="5" t="str">
        <f>IFERROR(__xludf.DUMMYFUNCTION("""COMPUTED_VALUE"""),"Long term US bonds (20-25 year)")</f>
        <v>Long term US bonds (20-25 year)</v>
      </c>
      <c r="C100" s="5" t="str">
        <f>IFERROR(__xludf.DUMMYFUNCTION("""COMPUTED_VALUE"""),"iShares Treasury Bond 20+ UCITS")</f>
        <v>iShares Treasury Bond 20+ UCITS</v>
      </c>
      <c r="D100" s="21" t="str">
        <f>IFERROR(__xludf.DUMMYFUNCTION("""COMPUTED_VALUE"""),"SELL")</f>
        <v>SELL</v>
      </c>
      <c r="E100" s="21">
        <f>IFERROR(__xludf.DUMMYFUNCTION("""COMPUTED_VALUE"""),-290.0)</f>
        <v>-290</v>
      </c>
      <c r="F100" s="25">
        <f>IFERROR(__xludf.DUMMYFUNCTION("""COMPUTED_VALUE"""),5.875)</f>
        <v>5.875</v>
      </c>
      <c r="G100" s="10">
        <f>IFERROR(__xludf.DUMMYFUNCTION("""COMPUTED_VALUE"""),1703.75)</f>
        <v>1703.75</v>
      </c>
    </row>
    <row r="101">
      <c r="A101" s="24">
        <f>IFERROR(__xludf.DUMMYFUNCTION("""COMPUTED_VALUE"""),43924.0)</f>
        <v>43924</v>
      </c>
      <c r="B101" s="5" t="str">
        <f>IFERROR(__xludf.DUMMYFUNCTION("""COMPUTED_VALUE"""),"Long term US bonds (20-25 year)")</f>
        <v>Long term US bonds (20-25 year)</v>
      </c>
      <c r="C101" s="5" t="str">
        <f>IFERROR(__xludf.DUMMYFUNCTION("""COMPUTED_VALUE"""),"iShares Treasury Bond 20+ UCITS")</f>
        <v>iShares Treasury Bond 20+ UCITS</v>
      </c>
      <c r="D101" s="21" t="str">
        <f>IFERROR(__xludf.DUMMYFUNCTION("""COMPUTED_VALUE"""),"COST")</f>
        <v>COST</v>
      </c>
      <c r="E101" s="5"/>
      <c r="F101" s="5"/>
      <c r="G101" s="10">
        <f>IFERROR(__xludf.DUMMYFUNCTION("""COMPUTED_VALUE"""),-2.34)</f>
        <v>-2.34</v>
      </c>
    </row>
    <row r="102">
      <c r="A102" s="24">
        <f>IFERROR(__xludf.DUMMYFUNCTION("""COMPUTED_VALUE"""),43924.0)</f>
        <v>43924</v>
      </c>
      <c r="B102" s="5" t="str">
        <f>IFERROR(__xludf.DUMMYFUNCTION("""COMPUTED_VALUE"""),"Long term US bonds (20-25 year)")</f>
        <v>Long term US bonds (20-25 year)</v>
      </c>
      <c r="C102" s="5" t="str">
        <f>IFERROR(__xludf.DUMMYFUNCTION("""COMPUTED_VALUE"""),"iShares Treasury Bond 20+ UCITS")</f>
        <v>iShares Treasury Bond 20+ UCITS</v>
      </c>
      <c r="D102" s="21" t="str">
        <f>IFERROR(__xludf.DUMMYFUNCTION("""COMPUTED_VALUE"""),"SELL")</f>
        <v>SELL</v>
      </c>
      <c r="E102" s="21">
        <f>IFERROR(__xludf.DUMMYFUNCTION("""COMPUTED_VALUE"""),-186.0)</f>
        <v>-186</v>
      </c>
      <c r="F102" s="25">
        <f>IFERROR(__xludf.DUMMYFUNCTION("""COMPUTED_VALUE"""),5.89)</f>
        <v>5.89</v>
      </c>
      <c r="G102" s="10">
        <f>IFERROR(__xludf.DUMMYFUNCTION("""COMPUTED_VALUE"""),1095.54)</f>
        <v>1095.54</v>
      </c>
    </row>
    <row r="103">
      <c r="A103" s="24">
        <f>IFERROR(__xludf.DUMMYFUNCTION("""COMPUTED_VALUE"""),43924.0)</f>
        <v>43924</v>
      </c>
      <c r="B103" s="5" t="str">
        <f>IFERROR(__xludf.DUMMYFUNCTION("""COMPUTED_VALUE"""),"Long term US bonds (20-25 year)")</f>
        <v>Long term US bonds (20-25 year)</v>
      </c>
      <c r="C103" s="5" t="str">
        <f>IFERROR(__xludf.DUMMYFUNCTION("""COMPUTED_VALUE"""),"iShares Treasury Bond 20+ UCITS")</f>
        <v>iShares Treasury Bond 20+ UCITS</v>
      </c>
      <c r="D103" s="21" t="str">
        <f>IFERROR(__xludf.DUMMYFUNCTION("""COMPUTED_VALUE"""),"COST")</f>
        <v>COST</v>
      </c>
      <c r="E103" s="5"/>
      <c r="F103" s="5"/>
      <c r="G103" s="10">
        <f>IFERROR(__xludf.DUMMYFUNCTION("""COMPUTED_VALUE"""),-2.22)</f>
        <v>-2.22</v>
      </c>
    </row>
    <row r="104">
      <c r="A104" s="24">
        <f>IFERROR(__xludf.DUMMYFUNCTION("""COMPUTED_VALUE"""),43924.0)</f>
        <v>43924</v>
      </c>
      <c r="B104" s="5" t="str">
        <f>IFERROR(__xludf.DUMMYFUNCTION("""COMPUTED_VALUE"""),"Intermediate US bonds (7-10 year)")</f>
        <v>Intermediate US bonds (7-10 year)</v>
      </c>
      <c r="C104" s="5" t="str">
        <f>IFERROR(__xludf.DUMMYFUNCTION("""COMPUTED_VALUE"""),"iShares Treasury Bond 7-10 UCITS")</f>
        <v>iShares Treasury Bond 7-10 UCITS</v>
      </c>
      <c r="D104" s="21" t="str">
        <f>IFERROR(__xludf.DUMMYFUNCTION("""COMPUTED_VALUE"""),"SELL")</f>
        <v>SELL</v>
      </c>
      <c r="E104" s="21">
        <f>IFERROR(__xludf.DUMMYFUNCTION("""COMPUTED_VALUE"""),-5.0)</f>
        <v>-5</v>
      </c>
      <c r="F104" s="25">
        <f>IFERROR(__xludf.DUMMYFUNCTION("""COMPUTED_VALUE"""),208.05)</f>
        <v>208.05</v>
      </c>
      <c r="G104" s="10">
        <f>IFERROR(__xludf.DUMMYFUNCTION("""COMPUTED_VALUE"""),1040.25)</f>
        <v>1040.25</v>
      </c>
    </row>
    <row r="105">
      <c r="A105" s="24">
        <f>IFERROR(__xludf.DUMMYFUNCTION("""COMPUTED_VALUE"""),43924.0)</f>
        <v>43924</v>
      </c>
      <c r="B105" s="5" t="str">
        <f>IFERROR(__xludf.DUMMYFUNCTION("""COMPUTED_VALUE"""),"Intermediate US bonds (7-10 year)")</f>
        <v>Intermediate US bonds (7-10 year)</v>
      </c>
      <c r="C105" s="5" t="str">
        <f>IFERROR(__xludf.DUMMYFUNCTION("""COMPUTED_VALUE"""),"iShares Treasury Bond 7-10 UCITS")</f>
        <v>iShares Treasury Bond 7-10 UCITS</v>
      </c>
      <c r="D105" s="21" t="str">
        <f>IFERROR(__xludf.DUMMYFUNCTION("""COMPUTED_VALUE"""),"SELL")</f>
        <v>SELL</v>
      </c>
      <c r="E105" s="21">
        <f>IFERROR(__xludf.DUMMYFUNCTION("""COMPUTED_VALUE"""),-10.0)</f>
        <v>-10</v>
      </c>
      <c r="F105" s="25">
        <f>IFERROR(__xludf.DUMMYFUNCTION("""COMPUTED_VALUE"""),207.67)</f>
        <v>207.67</v>
      </c>
      <c r="G105" s="10">
        <f>IFERROR(__xludf.DUMMYFUNCTION("""COMPUTED_VALUE"""),2076.7)</f>
        <v>2076.7</v>
      </c>
    </row>
    <row r="106">
      <c r="A106" s="24">
        <f>IFERROR(__xludf.DUMMYFUNCTION("""COMPUTED_VALUE"""),43923.0)</f>
        <v>43923</v>
      </c>
      <c r="B106" s="5" t="str">
        <f>IFERROR(__xludf.DUMMYFUNCTION("""COMPUTED_VALUE"""),"Long term US bonds (20-25 year)")</f>
        <v>Long term US bonds (20-25 year)</v>
      </c>
      <c r="C106" s="5" t="str">
        <f>IFERROR(__xludf.DUMMYFUNCTION("""COMPUTED_VALUE"""),"iShares Treasury Bond 20+ UCITS")</f>
        <v>iShares Treasury Bond 20+ UCITS</v>
      </c>
      <c r="D106" s="21" t="str">
        <f>IFERROR(__xludf.DUMMYFUNCTION("""COMPUTED_VALUE"""),"SELL")</f>
        <v>SELL</v>
      </c>
      <c r="E106" s="21">
        <f>IFERROR(__xludf.DUMMYFUNCTION("""COMPUTED_VALUE"""),-437.0)</f>
        <v>-437</v>
      </c>
      <c r="F106" s="25">
        <f>IFERROR(__xludf.DUMMYFUNCTION("""COMPUTED_VALUE"""),5.855)</f>
        <v>5.855</v>
      </c>
      <c r="G106" s="10">
        <f>IFERROR(__xludf.DUMMYFUNCTION("""COMPUTED_VALUE"""),2558.64)</f>
        <v>2558.64</v>
      </c>
    </row>
    <row r="107">
      <c r="A107" s="24">
        <f>IFERROR(__xludf.DUMMYFUNCTION("""COMPUTED_VALUE"""),43923.0)</f>
        <v>43923</v>
      </c>
      <c r="B107" s="5" t="str">
        <f>IFERROR(__xludf.DUMMYFUNCTION("""COMPUTED_VALUE"""),"Long term US bonds (20-25 year)")</f>
        <v>Long term US bonds (20-25 year)</v>
      </c>
      <c r="C107" s="5" t="str">
        <f>IFERROR(__xludf.DUMMYFUNCTION("""COMPUTED_VALUE"""),"iShares Treasury Bond 20+ UCITS")</f>
        <v>iShares Treasury Bond 20+ UCITS</v>
      </c>
      <c r="D107" s="21" t="str">
        <f>IFERROR(__xludf.DUMMYFUNCTION("""COMPUTED_VALUE"""),"COST")</f>
        <v>COST</v>
      </c>
      <c r="E107" s="5"/>
      <c r="F107" s="5"/>
      <c r="G107" s="10">
        <f>IFERROR(__xludf.DUMMYFUNCTION("""COMPUTED_VALUE"""),-2.51)</f>
        <v>-2.51</v>
      </c>
    </row>
    <row r="108">
      <c r="A108" s="24">
        <f>IFERROR(__xludf.DUMMYFUNCTION("""COMPUTED_VALUE"""),43923.0)</f>
        <v>43923</v>
      </c>
      <c r="B108" s="5" t="str">
        <f>IFERROR(__xludf.DUMMYFUNCTION("""COMPUTED_VALUE"""),"Commodities")</f>
        <v>Commodities</v>
      </c>
      <c r="C108" s="5" t="str">
        <f>IFERROR(__xludf.DUMMYFUNCTION("""COMPUTED_VALUE"""),"ETFS All Commodities ETC")</f>
        <v>ETFS All Commodities ETC</v>
      </c>
      <c r="D108" s="21" t="str">
        <f>IFERROR(__xludf.DUMMYFUNCTION("""COMPUTED_VALUE"""),"BUY")</f>
        <v>BUY</v>
      </c>
      <c r="E108" s="21">
        <f>IFERROR(__xludf.DUMMYFUNCTION("""COMPUTED_VALUE"""),174.0)</f>
        <v>174</v>
      </c>
      <c r="F108" s="25">
        <f>IFERROR(__xludf.DUMMYFUNCTION("""COMPUTED_VALUE"""),5.77)</f>
        <v>5.77</v>
      </c>
      <c r="G108" s="10">
        <f>IFERROR(__xludf.DUMMYFUNCTION("""COMPUTED_VALUE"""),-1003.98)</f>
        <v>-1003.98</v>
      </c>
    </row>
    <row r="109">
      <c r="A109" s="24">
        <f>IFERROR(__xludf.DUMMYFUNCTION("""COMPUTED_VALUE"""),43923.0)</f>
        <v>43923</v>
      </c>
      <c r="B109" s="5" t="str">
        <f>IFERROR(__xludf.DUMMYFUNCTION("""COMPUTED_VALUE"""),"Long term US bonds (20-25 year)")</f>
        <v>Long term US bonds (20-25 year)</v>
      </c>
      <c r="C109" s="5" t="str">
        <f>IFERROR(__xludf.DUMMYFUNCTION("""COMPUTED_VALUE"""),"iShares Treasury Bond 20+ UCITS")</f>
        <v>iShares Treasury Bond 20+ UCITS</v>
      </c>
      <c r="D109" s="21" t="str">
        <f>IFERROR(__xludf.DUMMYFUNCTION("""COMPUTED_VALUE"""),"SELL")</f>
        <v>SELL</v>
      </c>
      <c r="E109" s="21">
        <f>IFERROR(__xludf.DUMMYFUNCTION("""COMPUTED_VALUE"""),-248.0)</f>
        <v>-248</v>
      </c>
      <c r="F109" s="25">
        <f>IFERROR(__xludf.DUMMYFUNCTION("""COMPUTED_VALUE"""),5.8162)</f>
        <v>5.8162</v>
      </c>
      <c r="G109" s="10">
        <f>IFERROR(__xludf.DUMMYFUNCTION("""COMPUTED_VALUE"""),1442.42)</f>
        <v>1442.42</v>
      </c>
    </row>
    <row r="110">
      <c r="A110" s="24">
        <f>IFERROR(__xludf.DUMMYFUNCTION("""COMPUTED_VALUE"""),43923.0)</f>
        <v>43923</v>
      </c>
      <c r="B110" s="5" t="str">
        <f>IFERROR(__xludf.DUMMYFUNCTION("""COMPUTED_VALUE"""),"Long term US bonds (20-25 year)")</f>
        <v>Long term US bonds (20-25 year)</v>
      </c>
      <c r="C110" s="5" t="str">
        <f>IFERROR(__xludf.DUMMYFUNCTION("""COMPUTED_VALUE"""),"iShares Treasury Bond 20+ UCITS")</f>
        <v>iShares Treasury Bond 20+ UCITS</v>
      </c>
      <c r="D110" s="21" t="str">
        <f>IFERROR(__xludf.DUMMYFUNCTION("""COMPUTED_VALUE"""),"COST")</f>
        <v>COST</v>
      </c>
      <c r="E110" s="5"/>
      <c r="F110" s="5"/>
      <c r="G110" s="10">
        <f>IFERROR(__xludf.DUMMYFUNCTION("""COMPUTED_VALUE"""),-2.29)</f>
        <v>-2.29</v>
      </c>
    </row>
    <row r="111">
      <c r="A111" s="24">
        <f>IFERROR(__xludf.DUMMYFUNCTION("""COMPUTED_VALUE"""),43923.0)</f>
        <v>43923</v>
      </c>
      <c r="B111" s="5" t="str">
        <f>IFERROR(__xludf.DUMMYFUNCTION("""COMPUTED_VALUE"""),"Intermediate US bonds (7-10 year)")</f>
        <v>Intermediate US bonds (7-10 year)</v>
      </c>
      <c r="C111" s="5" t="str">
        <f>IFERROR(__xludf.DUMMYFUNCTION("""COMPUTED_VALUE"""),"iShares Treasury Bond 7-10 UCITS")</f>
        <v>iShares Treasury Bond 7-10 UCITS</v>
      </c>
      <c r="D111" s="21" t="str">
        <f>IFERROR(__xludf.DUMMYFUNCTION("""COMPUTED_VALUE"""),"SELL")</f>
        <v>SELL</v>
      </c>
      <c r="E111" s="21">
        <f>IFERROR(__xludf.DUMMYFUNCTION("""COMPUTED_VALUE"""),-2.0)</f>
        <v>-2</v>
      </c>
      <c r="F111" s="25">
        <f>IFERROR(__xludf.DUMMYFUNCTION("""COMPUTED_VALUE"""),206.97)</f>
        <v>206.97</v>
      </c>
      <c r="G111" s="10">
        <f>IFERROR(__xludf.DUMMYFUNCTION("""COMPUTED_VALUE"""),413.94)</f>
        <v>413.94</v>
      </c>
    </row>
    <row r="112">
      <c r="A112" s="24">
        <f>IFERROR(__xludf.DUMMYFUNCTION("""COMPUTED_VALUE"""),43923.0)</f>
        <v>43923</v>
      </c>
      <c r="B112" s="5" t="str">
        <f>IFERROR(__xludf.DUMMYFUNCTION("""COMPUTED_VALUE"""),"Intermediate US bonds (7-10 year)")</f>
        <v>Intermediate US bonds (7-10 year)</v>
      </c>
      <c r="C112" s="5" t="str">
        <f>IFERROR(__xludf.DUMMYFUNCTION("""COMPUTED_VALUE"""),"iShares Treasury Bond 7-10 UCITS")</f>
        <v>iShares Treasury Bond 7-10 UCITS</v>
      </c>
      <c r="D112" s="21" t="str">
        <f>IFERROR(__xludf.DUMMYFUNCTION("""COMPUTED_VALUE"""),"SELL")</f>
        <v>SELL</v>
      </c>
      <c r="E112" s="21">
        <f>IFERROR(__xludf.DUMMYFUNCTION("""COMPUTED_VALUE"""),-29.0)</f>
        <v>-29</v>
      </c>
      <c r="F112" s="25">
        <f>IFERROR(__xludf.DUMMYFUNCTION("""COMPUTED_VALUE"""),206.97)</f>
        <v>206.97</v>
      </c>
      <c r="G112" s="10">
        <f>IFERROR(__xludf.DUMMYFUNCTION("""COMPUTED_VALUE"""),6002.13)</f>
        <v>6002.13</v>
      </c>
    </row>
    <row r="113">
      <c r="A113" s="24">
        <f>IFERROR(__xludf.DUMMYFUNCTION("""COMPUTED_VALUE"""),43923.0)</f>
        <v>43923</v>
      </c>
      <c r="B113" s="5" t="str">
        <f>IFERROR(__xludf.DUMMYFUNCTION("""COMPUTED_VALUE"""),"Commodities")</f>
        <v>Commodities</v>
      </c>
      <c r="C113" s="5" t="str">
        <f>IFERROR(__xludf.DUMMYFUNCTION("""COMPUTED_VALUE"""),"ETFS All Commodities ETC")</f>
        <v>ETFS All Commodities ETC</v>
      </c>
      <c r="D113" s="21" t="str">
        <f>IFERROR(__xludf.DUMMYFUNCTION("""COMPUTED_VALUE"""),"BUY")</f>
        <v>BUY</v>
      </c>
      <c r="E113" s="21">
        <f>IFERROR(__xludf.DUMMYFUNCTION("""COMPUTED_VALUE"""),174.0)</f>
        <v>174</v>
      </c>
      <c r="F113" s="25">
        <f>IFERROR(__xludf.DUMMYFUNCTION("""COMPUTED_VALUE"""),5.77)</f>
        <v>5.77</v>
      </c>
      <c r="G113" s="10">
        <f>IFERROR(__xludf.DUMMYFUNCTION("""COMPUTED_VALUE"""),-1003.98)</f>
        <v>-1003.98</v>
      </c>
    </row>
    <row r="114">
      <c r="A114" s="24">
        <f>IFERROR(__xludf.DUMMYFUNCTION("""COMPUTED_VALUE"""),43923.0)</f>
        <v>43923</v>
      </c>
      <c r="B114" s="5" t="str">
        <f>IFERROR(__xludf.DUMMYFUNCTION("""COMPUTED_VALUE"""),"Long term US bonds (20-25 year)")</f>
        <v>Long term US bonds (20-25 year)</v>
      </c>
      <c r="C114" s="5" t="str">
        <f>IFERROR(__xludf.DUMMYFUNCTION("""COMPUTED_VALUE"""),"iShares Treasury Bond 20+ UCITS")</f>
        <v>iShares Treasury Bond 20+ UCITS</v>
      </c>
      <c r="D114" s="21" t="str">
        <f>IFERROR(__xludf.DUMMYFUNCTION("""COMPUTED_VALUE"""),"SELL")</f>
        <v>SELL</v>
      </c>
      <c r="E114" s="21">
        <f>IFERROR(__xludf.DUMMYFUNCTION("""COMPUTED_VALUE"""),-316.0)</f>
        <v>-316</v>
      </c>
      <c r="F114" s="25">
        <f>IFERROR(__xludf.DUMMYFUNCTION("""COMPUTED_VALUE"""),5.8002)</f>
        <v>5.8002</v>
      </c>
      <c r="G114" s="10">
        <f>IFERROR(__xludf.DUMMYFUNCTION("""COMPUTED_VALUE"""),1832.86)</f>
        <v>1832.86</v>
      </c>
    </row>
    <row r="115">
      <c r="A115" s="24">
        <f>IFERROR(__xludf.DUMMYFUNCTION("""COMPUTED_VALUE"""),43923.0)</f>
        <v>43923</v>
      </c>
      <c r="B115" s="5" t="str">
        <f>IFERROR(__xludf.DUMMYFUNCTION("""COMPUTED_VALUE"""),"Long term US bonds (20-25 year)")</f>
        <v>Long term US bonds (20-25 year)</v>
      </c>
      <c r="C115" s="5" t="str">
        <f>IFERROR(__xludf.DUMMYFUNCTION("""COMPUTED_VALUE"""),"iShares Treasury Bond 20+ UCITS")</f>
        <v>iShares Treasury Bond 20+ UCITS</v>
      </c>
      <c r="D115" s="21" t="str">
        <f>IFERROR(__xludf.DUMMYFUNCTION("""COMPUTED_VALUE"""),"COST")</f>
        <v>COST</v>
      </c>
      <c r="E115" s="5"/>
      <c r="F115" s="5"/>
      <c r="G115" s="10">
        <f>IFERROR(__xludf.DUMMYFUNCTION("""COMPUTED_VALUE"""),-2.37)</f>
        <v>-2.37</v>
      </c>
    </row>
    <row r="116">
      <c r="A116" s="24">
        <f>IFERROR(__xludf.DUMMYFUNCTION("""COMPUTED_VALUE"""),43923.0)</f>
        <v>43923</v>
      </c>
      <c r="B116" s="5" t="str">
        <f>IFERROR(__xludf.DUMMYFUNCTION("""COMPUTED_VALUE"""),"Commodities")</f>
        <v>Commodities</v>
      </c>
      <c r="C116" s="5" t="str">
        <f>IFERROR(__xludf.DUMMYFUNCTION("""COMPUTED_VALUE"""),"ETFS All Commodities ETC")</f>
        <v>ETFS All Commodities ETC</v>
      </c>
      <c r="D116" s="21" t="str">
        <f>IFERROR(__xludf.DUMMYFUNCTION("""COMPUTED_VALUE"""),"BUY")</f>
        <v>BUY</v>
      </c>
      <c r="E116" s="21">
        <f>IFERROR(__xludf.DUMMYFUNCTION("""COMPUTED_VALUE"""),20.0)</f>
        <v>20</v>
      </c>
      <c r="F116" s="25">
        <f>IFERROR(__xludf.DUMMYFUNCTION("""COMPUTED_VALUE"""),5.77)</f>
        <v>5.77</v>
      </c>
      <c r="G116" s="10">
        <f>IFERROR(__xludf.DUMMYFUNCTION("""COMPUTED_VALUE"""),-115.4)</f>
        <v>-115.4</v>
      </c>
    </row>
    <row r="117">
      <c r="A117" s="24">
        <f>IFERROR(__xludf.DUMMYFUNCTION("""COMPUTED_VALUE"""),43923.0)</f>
        <v>43923</v>
      </c>
      <c r="B117" s="5" t="str">
        <f>IFERROR(__xludf.DUMMYFUNCTION("""COMPUTED_VALUE"""),"Commodities")</f>
        <v>Commodities</v>
      </c>
      <c r="C117" s="5" t="str">
        <f>IFERROR(__xludf.DUMMYFUNCTION("""COMPUTED_VALUE"""),"ETFS All Commodities ETC")</f>
        <v>ETFS All Commodities ETC</v>
      </c>
      <c r="D117" s="21" t="str">
        <f>IFERROR(__xludf.DUMMYFUNCTION("""COMPUTED_VALUE"""),"BUY")</f>
        <v>BUY</v>
      </c>
      <c r="E117" s="21">
        <f>IFERROR(__xludf.DUMMYFUNCTION("""COMPUTED_VALUE"""),153.0)</f>
        <v>153</v>
      </c>
      <c r="F117" s="25">
        <f>IFERROR(__xludf.DUMMYFUNCTION("""COMPUTED_VALUE"""),5.77)</f>
        <v>5.77</v>
      </c>
      <c r="G117" s="10">
        <f>IFERROR(__xludf.DUMMYFUNCTION("""COMPUTED_VALUE"""),-882.81)</f>
        <v>-882.81</v>
      </c>
    </row>
    <row r="118">
      <c r="A118" s="24">
        <f>IFERROR(__xludf.DUMMYFUNCTION("""COMPUTED_VALUE"""),43923.0)</f>
        <v>43923</v>
      </c>
      <c r="B118" s="5" t="str">
        <f>IFERROR(__xludf.DUMMYFUNCTION("""COMPUTED_VALUE"""),"Commodities")</f>
        <v>Commodities</v>
      </c>
      <c r="C118" s="5" t="str">
        <f>IFERROR(__xludf.DUMMYFUNCTION("""COMPUTED_VALUE"""),"ETFS All Commodities ETC")</f>
        <v>ETFS All Commodities ETC</v>
      </c>
      <c r="D118" s="21" t="str">
        <f>IFERROR(__xludf.DUMMYFUNCTION("""COMPUTED_VALUE"""),"BUY")</f>
        <v>BUY</v>
      </c>
      <c r="E118" s="21">
        <f>IFERROR(__xludf.DUMMYFUNCTION("""COMPUTED_VALUE"""),1.0)</f>
        <v>1</v>
      </c>
      <c r="F118" s="25">
        <f>IFERROR(__xludf.DUMMYFUNCTION("""COMPUTED_VALUE"""),5.77)</f>
        <v>5.77</v>
      </c>
      <c r="G118" s="10">
        <f>IFERROR(__xludf.DUMMYFUNCTION("""COMPUTED_VALUE"""),-5.77)</f>
        <v>-5.77</v>
      </c>
    </row>
    <row r="119">
      <c r="A119" s="24">
        <f>IFERROR(__xludf.DUMMYFUNCTION("""COMPUTED_VALUE"""),43922.0)</f>
        <v>43922</v>
      </c>
      <c r="B119" s="5"/>
      <c r="C119" s="5"/>
      <c r="D119" s="21" t="str">
        <f>IFERROR(__xludf.DUMMYFUNCTION("""COMPUTED_VALUE"""),"APPROVISIONNEMENT")</f>
        <v>APPROVISIONNEMENT</v>
      </c>
      <c r="E119" s="5"/>
      <c r="F119" s="5"/>
      <c r="G119" s="10">
        <f>IFERROR(__xludf.DUMMYFUNCTION("""COMPUTED_VALUE"""),-200.0)</f>
        <v>-200</v>
      </c>
    </row>
    <row r="120">
      <c r="A120" s="24">
        <f>IFERROR(__xludf.DUMMYFUNCTION("""COMPUTED_VALUE"""),43922.0)</f>
        <v>43922</v>
      </c>
      <c r="B120" s="5" t="str">
        <f>IFERROR(__xludf.DUMMYFUNCTION("""COMPUTED_VALUE"""),"Commodities")</f>
        <v>Commodities</v>
      </c>
      <c r="C120" s="5" t="str">
        <f>IFERROR(__xludf.DUMMYFUNCTION("""COMPUTED_VALUE"""),"ETFS All Commodities ETC")</f>
        <v>ETFS All Commodities ETC</v>
      </c>
      <c r="D120" s="21" t="str">
        <f>IFERROR(__xludf.DUMMYFUNCTION("""COMPUTED_VALUE"""),"BUY")</f>
        <v>BUY</v>
      </c>
      <c r="E120" s="21">
        <f>IFERROR(__xludf.DUMMYFUNCTION("""COMPUTED_VALUE"""),174.0)</f>
        <v>174</v>
      </c>
      <c r="F120" s="25">
        <f>IFERROR(__xludf.DUMMYFUNCTION("""COMPUTED_VALUE"""),5.772)</f>
        <v>5.772</v>
      </c>
      <c r="G120" s="10">
        <f>IFERROR(__xludf.DUMMYFUNCTION("""COMPUTED_VALUE"""),-1004.33)</f>
        <v>-1004.33</v>
      </c>
    </row>
    <row r="121">
      <c r="A121" s="24">
        <f>IFERROR(__xludf.DUMMYFUNCTION("""COMPUTED_VALUE"""),43922.0)</f>
        <v>43922</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IFERROR(__xludf.DUMMYFUNCTION("""COMPUTED_VALUE"""),"SELL")</f>
        <v>SELL</v>
      </c>
      <c r="E121" s="21">
        <f>IFERROR(__xludf.DUMMYFUNCTION("""COMPUTED_VALUE"""),-7555.0)</f>
        <v>-7555</v>
      </c>
      <c r="F121" s="25">
        <f>IFERROR(__xludf.DUMMYFUNCTION("""COMPUTED_VALUE"""),5.771)</f>
        <v>5.771</v>
      </c>
      <c r="G121" s="10">
        <f>IFERROR(__xludf.DUMMYFUNCTION("""COMPUTED_VALUE"""),43599.9)</f>
        <v>43599.9</v>
      </c>
    </row>
    <row r="122">
      <c r="A122" s="24">
        <f>IFERROR(__xludf.DUMMYFUNCTION("""COMPUTED_VALUE"""),43922.0)</f>
        <v>43922</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IFERROR(__xludf.DUMMYFUNCTION("""COMPUTED_VALUE"""),"COST")</f>
        <v>COST</v>
      </c>
      <c r="E122" s="5"/>
      <c r="F122" s="5"/>
      <c r="G122" s="10">
        <f>IFERROR(__xludf.DUMMYFUNCTION("""COMPUTED_VALUE"""),-10.72)</f>
        <v>-10.72</v>
      </c>
    </row>
    <row r="123">
      <c r="A123" s="24">
        <f>IFERROR(__xludf.DUMMYFUNCTION("""COMPUTED_VALUE"""),43921.0)</f>
        <v>43921</v>
      </c>
      <c r="B123" s="5"/>
      <c r="C123" s="5"/>
      <c r="D123" s="21" t="str">
        <f>IFERROR(__xludf.DUMMYFUNCTION("""COMPUTED_VALUE"""),"COST")</f>
        <v>COST</v>
      </c>
      <c r="E123" s="5"/>
      <c r="F123" s="5"/>
      <c r="G123" s="10">
        <f>IFERROR(__xludf.DUMMYFUNCTION("""COMPUTED_VALUE"""),-806.35)</f>
        <v>-806.35</v>
      </c>
    </row>
    <row r="124">
      <c r="A124" s="24">
        <f>IFERROR(__xludf.DUMMYFUNCTION("""COMPUTED_VALUE"""),43917.0)</f>
        <v>43917</v>
      </c>
      <c r="B124" s="5" t="str">
        <f>IFERROR(__xludf.DUMMYFUNCTION("""COMPUTED_VALUE"""),"Commodities")</f>
        <v>Commodities</v>
      </c>
      <c r="C124" s="5" t="str">
        <f>IFERROR(__xludf.DUMMYFUNCTION("""COMPUTED_VALUE"""),"ETFS All Commodities ETC")</f>
        <v>ETFS All Commodities ETC</v>
      </c>
      <c r="D124" s="21" t="str">
        <f>IFERROR(__xludf.DUMMYFUNCTION("""COMPUTED_VALUE"""),"BUY")</f>
        <v>BUY</v>
      </c>
      <c r="E124" s="21">
        <f>IFERROR(__xludf.DUMMYFUNCTION("""COMPUTED_VALUE"""),80.0)</f>
        <v>80</v>
      </c>
      <c r="F124" s="25">
        <f>IFERROR(__xludf.DUMMYFUNCTION("""COMPUTED_VALUE"""),5.888)</f>
        <v>5.888</v>
      </c>
      <c r="G124" s="10">
        <f>IFERROR(__xludf.DUMMYFUNCTION("""COMPUTED_VALUE"""),-471.04)</f>
        <v>-471.04</v>
      </c>
    </row>
    <row r="125">
      <c r="A125" s="24">
        <f>IFERROR(__xludf.DUMMYFUNCTION("""COMPUTED_VALUE"""),43917.0)</f>
        <v>43917</v>
      </c>
      <c r="B125" s="5" t="str">
        <f>IFERROR(__xludf.DUMMYFUNCTION("""COMPUTED_VALUE"""),"Commodities")</f>
        <v>Commodities</v>
      </c>
      <c r="C125" s="5" t="str">
        <f>IFERROR(__xludf.DUMMYFUNCTION("""COMPUTED_VALUE"""),"ETFS All Commodities ETC")</f>
        <v>ETFS All Commodities ETC</v>
      </c>
      <c r="D125" s="21" t="str">
        <f>IFERROR(__xludf.DUMMYFUNCTION("""COMPUTED_VALUE"""),"BUY")</f>
        <v>BUY</v>
      </c>
      <c r="E125" s="21">
        <f>IFERROR(__xludf.DUMMYFUNCTION("""COMPUTED_VALUE"""),90.0)</f>
        <v>90</v>
      </c>
      <c r="F125" s="25">
        <f>IFERROR(__xludf.DUMMYFUNCTION("""COMPUTED_VALUE"""),5.888)</f>
        <v>5.888</v>
      </c>
      <c r="G125" s="10">
        <f>IFERROR(__xludf.DUMMYFUNCTION("""COMPUTED_VALUE"""),-529.92)</f>
        <v>-529.92</v>
      </c>
    </row>
    <row r="126">
      <c r="A126" s="24">
        <f>IFERROR(__xludf.DUMMYFUNCTION("""COMPUTED_VALUE"""),43913.0)</f>
        <v>43913</v>
      </c>
      <c r="B126" s="5" t="str">
        <f>IFERROR(__xludf.DUMMYFUNCTION("""COMPUTED_VALUE"""),"Stocks")</f>
        <v>Stocks</v>
      </c>
      <c r="C126" s="5" t="str">
        <f>IFERROR(__xludf.DUMMYFUNCTION("""COMPUTED_VALUE"""),"Vanguard S&amp;P 500 UCITS")</f>
        <v>Vanguard S&amp;P 500 UCITS</v>
      </c>
      <c r="D126" s="21" t="str">
        <f>IFERROR(__xludf.DUMMYFUNCTION("""COMPUTED_VALUE"""),"BUY")</f>
        <v>BUY</v>
      </c>
      <c r="E126" s="21">
        <f>IFERROR(__xludf.DUMMYFUNCTION("""COMPUTED_VALUE"""),311.0)</f>
        <v>311</v>
      </c>
      <c r="F126" s="25">
        <f>IFERROR(__xludf.DUMMYFUNCTION("""COMPUTED_VALUE"""),39.055)</f>
        <v>39.055</v>
      </c>
      <c r="G126" s="10">
        <f>IFERROR(__xludf.DUMMYFUNCTION("""COMPUTED_VALUE"""),-12146.1)</f>
        <v>-12146.1</v>
      </c>
    </row>
    <row r="127">
      <c r="A127" s="24">
        <f>IFERROR(__xludf.DUMMYFUNCTION("""COMPUTED_VALUE"""),43913.0)</f>
        <v>43913</v>
      </c>
      <c r="B127" s="5" t="str">
        <f>IFERROR(__xludf.DUMMYFUNCTION("""COMPUTED_VALUE"""),"Stocks")</f>
        <v>Stocks</v>
      </c>
      <c r="C127" s="5" t="str">
        <f>IFERROR(__xludf.DUMMYFUNCTION("""COMPUTED_VALUE"""),"Vanguard S&amp;P 500 UCITS")</f>
        <v>Vanguard S&amp;P 500 UCITS</v>
      </c>
      <c r="D127" s="21" t="str">
        <f>IFERROR(__xludf.DUMMYFUNCTION("""COMPUTED_VALUE"""),"BUY")</f>
        <v>BUY</v>
      </c>
      <c r="E127" s="21">
        <f>IFERROR(__xludf.DUMMYFUNCTION("""COMPUTED_VALUE"""),32.0)</f>
        <v>32</v>
      </c>
      <c r="F127" s="25">
        <f>IFERROR(__xludf.DUMMYFUNCTION("""COMPUTED_VALUE"""),39.5)</f>
        <v>39.5</v>
      </c>
      <c r="G127" s="10">
        <f>IFERROR(__xludf.DUMMYFUNCTION("""COMPUTED_VALUE"""),-1264.0)</f>
        <v>-1264</v>
      </c>
    </row>
    <row r="128">
      <c r="A128" s="24">
        <f>IFERROR(__xludf.DUMMYFUNCTION("""COMPUTED_VALUE"""),43913.0)</f>
        <v>43913</v>
      </c>
      <c r="B128" s="5" t="str">
        <f>IFERROR(__xludf.DUMMYFUNCTION("""COMPUTED_VALUE"""),"Stocks")</f>
        <v>Stocks</v>
      </c>
      <c r="C128" s="5" t="str">
        <f>IFERROR(__xludf.DUMMYFUNCTION("""COMPUTED_VALUE"""),"Vanguard S&amp;P 500 UCITS")</f>
        <v>Vanguard S&amp;P 500 UCITS</v>
      </c>
      <c r="D128" s="21" t="str">
        <f>IFERROR(__xludf.DUMMYFUNCTION("""COMPUTED_VALUE"""),"BUY")</f>
        <v>BUY</v>
      </c>
      <c r="E128" s="21">
        <f>IFERROR(__xludf.DUMMYFUNCTION("""COMPUTED_VALUE"""),36.0)</f>
        <v>36</v>
      </c>
      <c r="F128" s="25">
        <f>IFERROR(__xludf.DUMMYFUNCTION("""COMPUTED_VALUE"""),39.55)</f>
        <v>39.55</v>
      </c>
      <c r="G128" s="10">
        <f>IFERROR(__xludf.DUMMYFUNCTION("""COMPUTED_VALUE"""),-1423.8)</f>
        <v>-1423.8</v>
      </c>
    </row>
    <row r="129">
      <c r="A129" s="24">
        <f>IFERROR(__xludf.DUMMYFUNCTION("""COMPUTED_VALUE"""),43913.0)</f>
        <v>43913</v>
      </c>
      <c r="B129" s="5" t="str">
        <f>IFERROR(__xludf.DUMMYFUNCTION("""COMPUTED_VALUE"""),"Stocks")</f>
        <v>Stocks</v>
      </c>
      <c r="C129" s="5" t="str">
        <f>IFERROR(__xludf.DUMMYFUNCTION("""COMPUTED_VALUE"""),"Vanguard S&amp;P 500 UCITS")</f>
        <v>Vanguard S&amp;P 500 UCITS</v>
      </c>
      <c r="D129" s="21" t="str">
        <f>IFERROR(__xludf.DUMMYFUNCTION("""COMPUTED_VALUE"""),"BUY")</f>
        <v>BUY</v>
      </c>
      <c r="E129" s="21">
        <f>IFERROR(__xludf.DUMMYFUNCTION("""COMPUTED_VALUE"""),36.0)</f>
        <v>36</v>
      </c>
      <c r="F129" s="25">
        <f>IFERROR(__xludf.DUMMYFUNCTION("""COMPUTED_VALUE"""),39.89)</f>
        <v>39.89</v>
      </c>
      <c r="G129" s="10">
        <f>IFERROR(__xludf.DUMMYFUNCTION("""COMPUTED_VALUE"""),-1436.04)</f>
        <v>-1436.04</v>
      </c>
    </row>
    <row r="130">
      <c r="A130" s="24">
        <f>IFERROR(__xludf.DUMMYFUNCTION("""COMPUTED_VALUE"""),43913.0)</f>
        <v>43913</v>
      </c>
      <c r="B130" s="5" t="str">
        <f>IFERROR(__xludf.DUMMYFUNCTION("""COMPUTED_VALUE"""),"Stocks")</f>
        <v>Stocks</v>
      </c>
      <c r="C130" s="5" t="str">
        <f>IFERROR(__xludf.DUMMYFUNCTION("""COMPUTED_VALUE"""),"Vanguard S&amp;P 500 UCITS")</f>
        <v>Vanguard S&amp;P 500 UCITS</v>
      </c>
      <c r="D130" s="21" t="str">
        <f>IFERROR(__xludf.DUMMYFUNCTION("""COMPUTED_VALUE"""),"BUY")</f>
        <v>BUY</v>
      </c>
      <c r="E130" s="21">
        <f>IFERROR(__xludf.DUMMYFUNCTION("""COMPUTED_VALUE"""),26.0)</f>
        <v>26</v>
      </c>
      <c r="F130" s="25">
        <f>IFERROR(__xludf.DUMMYFUNCTION("""COMPUTED_VALUE"""),39.955)</f>
        <v>39.955</v>
      </c>
      <c r="G130" s="10">
        <f>IFERROR(__xludf.DUMMYFUNCTION("""COMPUTED_VALUE"""),-1038.83)</f>
        <v>-1038.83</v>
      </c>
    </row>
    <row r="131">
      <c r="A131" s="24">
        <f>IFERROR(__xludf.DUMMYFUNCTION("""COMPUTED_VALUE"""),43913.0)</f>
        <v>43913</v>
      </c>
      <c r="B131" s="5" t="str">
        <f>IFERROR(__xludf.DUMMYFUNCTION("""COMPUTED_VALUE"""),"Stocks")</f>
        <v>Stocks</v>
      </c>
      <c r="C131" s="5" t="str">
        <f>IFERROR(__xludf.DUMMYFUNCTION("""COMPUTED_VALUE"""),"Vanguard S&amp;P 500 UCITS")</f>
        <v>Vanguard S&amp;P 500 UCITS</v>
      </c>
      <c r="D131" s="21" t="str">
        <f>IFERROR(__xludf.DUMMYFUNCTION("""COMPUTED_VALUE"""),"BUY")</f>
        <v>BUY</v>
      </c>
      <c r="E131" s="21">
        <f>IFERROR(__xludf.DUMMYFUNCTION("""COMPUTED_VALUE"""),46.0)</f>
        <v>46</v>
      </c>
      <c r="F131" s="25">
        <f>IFERROR(__xludf.DUMMYFUNCTION("""COMPUTED_VALUE"""),40.0)</f>
        <v>40</v>
      </c>
      <c r="G131" s="10">
        <f>IFERROR(__xludf.DUMMYFUNCTION("""COMPUTED_VALUE"""),-1840.0)</f>
        <v>-1840</v>
      </c>
    </row>
    <row r="132">
      <c r="A132" s="24">
        <f>IFERROR(__xludf.DUMMYFUNCTION("""COMPUTED_VALUE"""),43913.0)</f>
        <v>43913</v>
      </c>
      <c r="B132" s="5" t="str">
        <f>IFERROR(__xludf.DUMMYFUNCTION("""COMPUTED_VALUE"""),"Stocks")</f>
        <v>Stocks</v>
      </c>
      <c r="C132" s="5" t="str">
        <f>IFERROR(__xludf.DUMMYFUNCTION("""COMPUTED_VALUE"""),"Vanguard S&amp;P 500 UCITS")</f>
        <v>Vanguard S&amp;P 500 UCITS</v>
      </c>
      <c r="D132" s="21" t="str">
        <f>IFERROR(__xludf.DUMMYFUNCTION("""COMPUTED_VALUE"""),"BUY")</f>
        <v>BUY</v>
      </c>
      <c r="E132" s="21">
        <f>IFERROR(__xludf.DUMMYFUNCTION("""COMPUTED_VALUE"""),80.0)</f>
        <v>80</v>
      </c>
      <c r="F132" s="25">
        <f>IFERROR(__xludf.DUMMYFUNCTION("""COMPUTED_VALUE"""),40.11)</f>
        <v>40.11</v>
      </c>
      <c r="G132" s="10">
        <f>IFERROR(__xludf.DUMMYFUNCTION("""COMPUTED_VALUE"""),-3208.8)</f>
        <v>-3208.8</v>
      </c>
    </row>
    <row r="133">
      <c r="A133" s="24">
        <f>IFERROR(__xludf.DUMMYFUNCTION("""COMPUTED_VALUE"""),43906.0)</f>
        <v>43906</v>
      </c>
      <c r="B133" s="5" t="str">
        <f>IFERROR(__xludf.DUMMYFUNCTION("""COMPUTED_VALUE"""),"Long term US bonds (20-25 year)")</f>
        <v>Long term US bonds (20-25 year)</v>
      </c>
      <c r="C133" s="5" t="str">
        <f>IFERROR(__xludf.DUMMYFUNCTION("""COMPUTED_VALUE"""),"iShares Treasury Bond 20+ UCITS")</f>
        <v>iShares Treasury Bond 20+ UCITS</v>
      </c>
      <c r="D133" s="21" t="str">
        <f>IFERROR(__xludf.DUMMYFUNCTION("""COMPUTED_VALUE"""),"SELL")</f>
        <v>SELL</v>
      </c>
      <c r="E133" s="21">
        <f>IFERROR(__xludf.DUMMYFUNCTION("""COMPUTED_VALUE"""),-6581.0)</f>
        <v>-6581</v>
      </c>
      <c r="F133" s="25">
        <f>IFERROR(__xludf.DUMMYFUNCTION("""COMPUTED_VALUE"""),5.35)</f>
        <v>5.35</v>
      </c>
      <c r="G133" s="10">
        <f>IFERROR(__xludf.DUMMYFUNCTION("""COMPUTED_VALUE"""),35208.35)</f>
        <v>35208.35</v>
      </c>
    </row>
    <row r="134">
      <c r="A134" s="24">
        <f>IFERROR(__xludf.DUMMYFUNCTION("""COMPUTED_VALUE"""),43906.0)</f>
        <v>43906</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IFERROR(__xludf.DUMMYFUNCTION("""COMPUTED_VALUE"""),"COST")</f>
        <v>COST</v>
      </c>
      <c r="E134" s="5"/>
      <c r="F134" s="5"/>
      <c r="G134" s="10">
        <f>IFERROR(__xludf.DUMMYFUNCTION("""COMPUTED_VALUE"""),-9.04)</f>
        <v>-9.04</v>
      </c>
    </row>
    <row r="135">
      <c r="A135" s="24">
        <f>IFERROR(__xludf.DUMMYFUNCTION("""COMPUTED_VALUE"""),43906.0)</f>
        <v>43906</v>
      </c>
      <c r="B135" s="5" t="str">
        <f>IFERROR(__xludf.DUMMYFUNCTION("""COMPUTED_VALUE"""),"Intermediate US bonds (7-10 year)")</f>
        <v>Intermediate US bonds (7-10 year)</v>
      </c>
      <c r="C135" s="5" t="str">
        <f>IFERROR(__xludf.DUMMYFUNCTION("""COMPUTED_VALUE"""),"iShares Treasury Bond 7-10 UCITS")</f>
        <v>iShares Treasury Bond 7-10 UCITS</v>
      </c>
      <c r="D135" s="21" t="str">
        <f>IFERROR(__xludf.DUMMYFUNCTION("""COMPUTED_VALUE"""),"SELL")</f>
        <v>SELL</v>
      </c>
      <c r="E135" s="21">
        <f>IFERROR(__xludf.DUMMYFUNCTION("""COMPUTED_VALUE"""),-6.0)</f>
        <v>-6</v>
      </c>
      <c r="F135" s="25">
        <f>IFERROR(__xludf.DUMMYFUNCTION("""COMPUTED_VALUE"""),197.79)</f>
        <v>197.79</v>
      </c>
      <c r="G135" s="10">
        <f>IFERROR(__xludf.DUMMYFUNCTION("""COMPUTED_VALUE"""),1186.74)</f>
        <v>1186.74</v>
      </c>
    </row>
    <row r="136">
      <c r="A136" s="24">
        <f>IFERROR(__xludf.DUMMYFUNCTION("""COMPUTED_VALUE"""),43902.0)</f>
        <v>43902</v>
      </c>
      <c r="B136" s="5" t="str">
        <f>IFERROR(__xludf.DUMMYFUNCTION("""COMPUTED_VALUE"""),"Stocks")</f>
        <v>Stocks</v>
      </c>
      <c r="C136" s="5" t="str">
        <f>IFERROR(__xludf.DUMMYFUNCTION("""COMPUTED_VALUE"""),"Vanguard S&amp;P 500 UCITS")</f>
        <v>Vanguard S&amp;P 500 UCITS</v>
      </c>
      <c r="D136" s="21" t="str">
        <f>IFERROR(__xludf.DUMMYFUNCTION("""COMPUTED_VALUE"""),"BUY")</f>
        <v>BUY</v>
      </c>
      <c r="E136" s="21">
        <f>IFERROR(__xludf.DUMMYFUNCTION("""COMPUTED_VALUE"""),125.0)</f>
        <v>125</v>
      </c>
      <c r="F136" s="25">
        <f>IFERROR(__xludf.DUMMYFUNCTION("""COMPUTED_VALUE"""),42.7)</f>
        <v>42.7</v>
      </c>
      <c r="G136" s="10">
        <f>IFERROR(__xludf.DUMMYFUNCTION("""COMPUTED_VALUE"""),-5337.5)</f>
        <v>-5337.5</v>
      </c>
    </row>
    <row r="137">
      <c r="A137" s="24">
        <f>IFERROR(__xludf.DUMMYFUNCTION("""COMPUTED_VALUE"""),43902.0)</f>
        <v>43902</v>
      </c>
      <c r="B137" s="5" t="str">
        <f>IFERROR(__xludf.DUMMYFUNCTION("""COMPUTED_VALUE"""),"Stocks")</f>
        <v>Stocks</v>
      </c>
      <c r="C137" s="5" t="str">
        <f>IFERROR(__xludf.DUMMYFUNCTION("""COMPUTED_VALUE"""),"Vanguard S&amp;P 500 UCITS")</f>
        <v>Vanguard S&amp;P 500 UCITS</v>
      </c>
      <c r="D137" s="21" t="str">
        <f>IFERROR(__xludf.DUMMYFUNCTION("""COMPUTED_VALUE"""),"BUY")</f>
        <v>BUY</v>
      </c>
      <c r="E137" s="21">
        <f>IFERROR(__xludf.DUMMYFUNCTION("""COMPUTED_VALUE"""),77.0)</f>
        <v>77</v>
      </c>
      <c r="F137" s="25">
        <f>IFERROR(__xludf.DUMMYFUNCTION("""COMPUTED_VALUE"""),42.7)</f>
        <v>42.7</v>
      </c>
      <c r="G137" s="10">
        <f>IFERROR(__xludf.DUMMYFUNCTION("""COMPUTED_VALUE"""),-3287.9)</f>
        <v>-3287.9</v>
      </c>
    </row>
    <row r="138">
      <c r="A138" s="24">
        <f>IFERROR(__xludf.DUMMYFUNCTION("""COMPUTED_VALUE"""),43902.0)</f>
        <v>43902</v>
      </c>
      <c r="B138" s="5" t="str">
        <f>IFERROR(__xludf.DUMMYFUNCTION("""COMPUTED_VALUE"""),"Intermediate US bonds (7-10 year)")</f>
        <v>Intermediate US bonds (7-10 year)</v>
      </c>
      <c r="C138" s="5" t="str">
        <f>IFERROR(__xludf.DUMMYFUNCTION("""COMPUTED_VALUE"""),"iShares Treasury Bond 7-10 UCITS")</f>
        <v>iShares Treasury Bond 7-10 UCITS</v>
      </c>
      <c r="D138" s="21" t="str">
        <f>IFERROR(__xludf.DUMMYFUNCTION("""COMPUTED_VALUE"""),"SELL")</f>
        <v>SELL</v>
      </c>
      <c r="E138" s="21">
        <f>IFERROR(__xludf.DUMMYFUNCTION("""COMPUTED_VALUE"""),-6.0)</f>
        <v>-6</v>
      </c>
      <c r="F138" s="25">
        <f>IFERROR(__xludf.DUMMYFUNCTION("""COMPUTED_VALUE"""),198.05)</f>
        <v>198.05</v>
      </c>
      <c r="G138" s="10">
        <f>IFERROR(__xludf.DUMMYFUNCTION("""COMPUTED_VALUE"""),1188.3)</f>
        <v>1188.3</v>
      </c>
    </row>
    <row r="139">
      <c r="A139" s="24">
        <f>IFERROR(__xludf.DUMMYFUNCTION("""COMPUTED_VALUE"""),43902.0)</f>
        <v>43902</v>
      </c>
      <c r="B139" s="5" t="str">
        <f>IFERROR(__xludf.DUMMYFUNCTION("""COMPUTED_VALUE"""),"Intermediate US bonds (7-10 year)")</f>
        <v>Intermediate US bonds (7-10 year)</v>
      </c>
      <c r="C139" s="5" t="str">
        <f>IFERROR(__xludf.DUMMYFUNCTION("""COMPUTED_VALUE"""),"iShares Treasury Bond 7-10 UCITS")</f>
        <v>iShares Treasury Bond 7-10 UCITS</v>
      </c>
      <c r="D139" s="21" t="str">
        <f>IFERROR(__xludf.DUMMYFUNCTION("""COMPUTED_VALUE"""),"SELL")</f>
        <v>SELL</v>
      </c>
      <c r="E139" s="21">
        <f>IFERROR(__xludf.DUMMYFUNCTION("""COMPUTED_VALUE"""),-6.0)</f>
        <v>-6</v>
      </c>
      <c r="F139" s="25">
        <f>IFERROR(__xludf.DUMMYFUNCTION("""COMPUTED_VALUE"""),197.05)</f>
        <v>197.05</v>
      </c>
      <c r="G139" s="10">
        <f>IFERROR(__xludf.DUMMYFUNCTION("""COMPUTED_VALUE"""),1182.3)</f>
        <v>1182.3</v>
      </c>
    </row>
    <row r="140">
      <c r="A140" s="24">
        <f>IFERROR(__xludf.DUMMYFUNCTION("""COMPUTED_VALUE"""),43901.0)</f>
        <v>43901</v>
      </c>
      <c r="B140" s="5" t="str">
        <f>IFERROR(__xludf.DUMMYFUNCTION("""COMPUTED_VALUE"""),"Intermediate US bonds (7-10 year)")</f>
        <v>Intermediate US bonds (7-10 year)</v>
      </c>
      <c r="C140" s="5" t="str">
        <f>IFERROR(__xludf.DUMMYFUNCTION("""COMPUTED_VALUE"""),"iShares Treasury Bond 7-10 UCITS")</f>
        <v>iShares Treasury Bond 7-10 UCITS</v>
      </c>
      <c r="D140" s="21" t="str">
        <f>IFERROR(__xludf.DUMMYFUNCTION("""COMPUTED_VALUE"""),"SELL")</f>
        <v>SELL</v>
      </c>
      <c r="E140" s="21">
        <f>IFERROR(__xludf.DUMMYFUNCTION("""COMPUTED_VALUE"""),-26.0)</f>
        <v>-26</v>
      </c>
      <c r="F140" s="25">
        <f>IFERROR(__xludf.DUMMYFUNCTION("""COMPUTED_VALUE"""),196.25)</f>
        <v>196.25</v>
      </c>
      <c r="G140" s="10">
        <f>IFERROR(__xludf.DUMMYFUNCTION("""COMPUTED_VALUE"""),5102.5)</f>
        <v>5102.5</v>
      </c>
    </row>
    <row r="141">
      <c r="A141" s="24">
        <f>IFERROR(__xludf.DUMMYFUNCTION("""COMPUTED_VALUE"""),43901.0)</f>
        <v>43901</v>
      </c>
      <c r="B141" s="5" t="str">
        <f>IFERROR(__xludf.DUMMYFUNCTION("""COMPUTED_VALUE"""),"Intermediate US bonds (7-10 year)")</f>
        <v>Intermediate US bonds (7-10 year)</v>
      </c>
      <c r="C141" s="5" t="str">
        <f>IFERROR(__xludf.DUMMYFUNCTION("""COMPUTED_VALUE"""),"iShares Treasury Bond 7-10 UCITS")</f>
        <v>iShares Treasury Bond 7-10 UCITS</v>
      </c>
      <c r="D141" s="21" t="str">
        <f>IFERROR(__xludf.DUMMYFUNCTION("""COMPUTED_VALUE"""),"SELL")</f>
        <v>SELL</v>
      </c>
      <c r="E141" s="21">
        <f>IFERROR(__xludf.DUMMYFUNCTION("""COMPUTED_VALUE"""),-3.0)</f>
        <v>-3</v>
      </c>
      <c r="F141" s="25">
        <f>IFERROR(__xludf.DUMMYFUNCTION("""COMPUTED_VALUE"""),196.25)</f>
        <v>196.25</v>
      </c>
      <c r="G141" s="10">
        <f>IFERROR(__xludf.DUMMYFUNCTION("""COMPUTED_VALUE"""),588.75)</f>
        <v>588.75</v>
      </c>
    </row>
    <row r="142">
      <c r="A142" s="24">
        <f>IFERROR(__xludf.DUMMYFUNCTION("""COMPUTED_VALUE"""),43899.0)</f>
        <v>43899</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IFERROR(__xludf.DUMMYFUNCTION("""COMPUTED_VALUE"""),35.0)</f>
        <v>35</v>
      </c>
      <c r="F142" s="25">
        <f>IFERROR(__xludf.DUMMYFUNCTION("""COMPUTED_VALUE"""),45.3)</f>
        <v>45.3</v>
      </c>
      <c r="G142" s="10">
        <f>IFERROR(__xludf.DUMMYFUNCTION("""COMPUTED_VALUE"""),-1585.5)</f>
        <v>-1585.5</v>
      </c>
    </row>
    <row r="143">
      <c r="A143" s="24">
        <f>IFERROR(__xludf.DUMMYFUNCTION("""COMPUTED_VALUE"""),43899.0)</f>
        <v>43899</v>
      </c>
      <c r="B143" s="5" t="str">
        <f>IFERROR(__xludf.DUMMYFUNCTION("""COMPUTED_VALUE"""),"Stocks")</f>
        <v>Stocks</v>
      </c>
      <c r="C143" s="5" t="str">
        <f>IFERROR(__xludf.DUMMYFUNCTION("""COMPUTED_VALUE"""),"Vanguard S&amp;P 500 UCITS")</f>
        <v>Vanguard S&amp;P 500 UCITS</v>
      </c>
      <c r="D143" s="21" t="str">
        <f>IFERROR(__xludf.DUMMYFUNCTION("""COMPUTED_VALUE"""),"BUY")</f>
        <v>BUY</v>
      </c>
      <c r="E143" s="21">
        <f>IFERROR(__xludf.DUMMYFUNCTION("""COMPUTED_VALUE"""),173.0)</f>
        <v>173</v>
      </c>
      <c r="F143" s="25">
        <f>IFERROR(__xludf.DUMMYFUNCTION("""COMPUTED_VALUE"""),45.41)</f>
        <v>45.41</v>
      </c>
      <c r="G143" s="10">
        <f>IFERROR(__xludf.DUMMYFUNCTION("""COMPUTED_VALUE"""),-7855.93)</f>
        <v>-7855.93</v>
      </c>
    </row>
    <row r="144">
      <c r="A144" s="24">
        <f>IFERROR(__xludf.DUMMYFUNCTION("""COMPUTED_VALUE"""),43899.0)</f>
        <v>43899</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IFERROR(__xludf.DUMMYFUNCTION("""COMPUTED_VALUE"""),61.0)</f>
        <v>61</v>
      </c>
      <c r="F144" s="25">
        <f>IFERROR(__xludf.DUMMYFUNCTION("""COMPUTED_VALUE"""),45.95)</f>
        <v>45.95</v>
      </c>
      <c r="G144" s="10">
        <f>IFERROR(__xludf.DUMMYFUNCTION("""COMPUTED_VALUE"""),-2802.95)</f>
        <v>-2802.95</v>
      </c>
    </row>
    <row r="145">
      <c r="A145" s="24">
        <f>IFERROR(__xludf.DUMMYFUNCTION("""COMPUTED_VALUE"""),43899.0)</f>
        <v>43899</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IFERROR(__xludf.DUMMYFUNCTION("""COMPUTED_VALUE"""),46.0)</f>
        <v>46</v>
      </c>
      <c r="F145" s="25">
        <f>IFERROR(__xludf.DUMMYFUNCTION("""COMPUTED_VALUE"""),46.2839)</f>
        <v>46.2839</v>
      </c>
      <c r="G145" s="10">
        <f>IFERROR(__xludf.DUMMYFUNCTION("""COMPUTED_VALUE"""),-2129.06)</f>
        <v>-2129.06</v>
      </c>
    </row>
    <row r="146">
      <c r="A146" s="24">
        <f>IFERROR(__xludf.DUMMYFUNCTION("""COMPUTED_VALUE"""),43899.0)</f>
        <v>43899</v>
      </c>
      <c r="B146" s="5" t="str">
        <f>IFERROR(__xludf.DUMMYFUNCTION("""COMPUTED_VALUE"""),"Commodities")</f>
        <v>Commodities</v>
      </c>
      <c r="C146" s="5" t="str">
        <f>IFERROR(__xludf.DUMMYFUNCTION("""COMPUTED_VALUE"""),"ETFS All Commodities ETC")</f>
        <v>ETFS All Commodities ETC</v>
      </c>
      <c r="D146" s="21" t="str">
        <f>IFERROR(__xludf.DUMMYFUNCTION("""COMPUTED_VALUE"""),"BUY")</f>
        <v>BUY</v>
      </c>
      <c r="E146" s="21">
        <f>IFERROR(__xludf.DUMMYFUNCTION("""COMPUTED_VALUE"""),164.0)</f>
        <v>164</v>
      </c>
      <c r="F146" s="25">
        <f>IFERROR(__xludf.DUMMYFUNCTION("""COMPUTED_VALUE"""),6.1)</f>
        <v>6.1</v>
      </c>
      <c r="G146" s="10">
        <f>IFERROR(__xludf.DUMMYFUNCTION("""COMPUTED_VALUE"""),-1000.4)</f>
        <v>-1000.4</v>
      </c>
    </row>
    <row r="147">
      <c r="A147" s="24">
        <f>IFERROR(__xludf.DUMMYFUNCTION("""COMPUTED_VALUE"""),43899.0)</f>
        <v>43899</v>
      </c>
      <c r="B147" s="5" t="str">
        <f>IFERROR(__xludf.DUMMYFUNCTION("""COMPUTED_VALUE"""),"Commodities")</f>
        <v>Commodities</v>
      </c>
      <c r="C147" s="5" t="str">
        <f>IFERROR(__xludf.DUMMYFUNCTION("""COMPUTED_VALUE"""),"ETFS All Commodities ETC")</f>
        <v>ETFS All Commodities ETC</v>
      </c>
      <c r="D147" s="21" t="str">
        <f>IFERROR(__xludf.DUMMYFUNCTION("""COMPUTED_VALUE"""),"BUY")</f>
        <v>BUY</v>
      </c>
      <c r="E147" s="21">
        <f>IFERROR(__xludf.DUMMYFUNCTION("""COMPUTED_VALUE"""),708.0)</f>
        <v>708</v>
      </c>
      <c r="F147" s="25">
        <f>IFERROR(__xludf.DUMMYFUNCTION("""COMPUTED_VALUE"""),6.1)</f>
        <v>6.1</v>
      </c>
      <c r="G147" s="10">
        <f>IFERROR(__xludf.DUMMYFUNCTION("""COMPUTED_VALUE"""),-4318.8)</f>
        <v>-4318.8</v>
      </c>
    </row>
    <row r="148">
      <c r="A148" s="24">
        <f>IFERROR(__xludf.DUMMYFUNCTION("""COMPUTED_VALUE"""),43899.0)</f>
        <v>43899</v>
      </c>
      <c r="B148" s="5" t="str">
        <f>IFERROR(__xludf.DUMMYFUNCTION("""COMPUTED_VALUE"""),"Stocks")</f>
        <v>Stocks</v>
      </c>
      <c r="C148" s="5" t="str">
        <f>IFERROR(__xludf.DUMMYFUNCTION("""COMPUTED_VALUE"""),"Vanguard S&amp;P 500 UCITS")</f>
        <v>Vanguard S&amp;P 500 UCITS</v>
      </c>
      <c r="D148" s="21" t="str">
        <f>IFERROR(__xludf.DUMMYFUNCTION("""COMPUTED_VALUE"""),"BUY")</f>
        <v>BUY</v>
      </c>
      <c r="E148" s="21">
        <f>IFERROR(__xludf.DUMMYFUNCTION("""COMPUTED_VALUE"""),242.0)</f>
        <v>242</v>
      </c>
      <c r="F148" s="25">
        <f>IFERROR(__xludf.DUMMYFUNCTION("""COMPUTED_VALUE"""),46.478)</f>
        <v>46.478</v>
      </c>
      <c r="G148" s="10">
        <f>IFERROR(__xludf.DUMMYFUNCTION("""COMPUTED_VALUE"""),-11247.68)</f>
        <v>-11247.68</v>
      </c>
    </row>
    <row r="149">
      <c r="A149" s="24">
        <f>IFERROR(__xludf.DUMMYFUNCTION("""COMPUTED_VALUE"""),43899.0)</f>
        <v>43899</v>
      </c>
      <c r="B149" s="5" t="str">
        <f>IFERROR(__xludf.DUMMYFUNCTION("""COMPUTED_VALUE"""),"Commodities")</f>
        <v>Commodities</v>
      </c>
      <c r="C149" s="5" t="str">
        <f>IFERROR(__xludf.DUMMYFUNCTION("""COMPUTED_VALUE"""),"ETFS All Commodities ETC")</f>
        <v>ETFS All Commodities ETC</v>
      </c>
      <c r="D149" s="21" t="str">
        <f>IFERROR(__xludf.DUMMYFUNCTION("""COMPUTED_VALUE"""),"BUY")</f>
        <v>BUY</v>
      </c>
      <c r="E149" s="21">
        <f>IFERROR(__xludf.DUMMYFUNCTION("""COMPUTED_VALUE"""),1240.0)</f>
        <v>1240</v>
      </c>
      <c r="F149" s="25">
        <f>IFERROR(__xludf.DUMMYFUNCTION("""COMPUTED_VALUE"""),6.115)</f>
        <v>6.115</v>
      </c>
      <c r="G149" s="10">
        <f>IFERROR(__xludf.DUMMYFUNCTION("""COMPUTED_VALUE"""),-7582.6)</f>
        <v>-7582.6</v>
      </c>
    </row>
    <row r="150">
      <c r="A150" s="24">
        <f>IFERROR(__xludf.DUMMYFUNCTION("""COMPUTED_VALUE"""),43899.0)</f>
        <v>43899</v>
      </c>
      <c r="B150" s="5" t="str">
        <f>IFERROR(__xludf.DUMMYFUNCTION("""COMPUTED_VALUE"""),"Commodities")</f>
        <v>Commodities</v>
      </c>
      <c r="C150" s="5" t="str">
        <f>IFERROR(__xludf.DUMMYFUNCTION("""COMPUTED_VALUE"""),"ETFS All Commodities ETC")</f>
        <v>ETFS All Commodities ETC</v>
      </c>
      <c r="D150" s="21" t="str">
        <f>IFERROR(__xludf.DUMMYFUNCTION("""COMPUTED_VALUE"""),"BUY")</f>
        <v>BUY</v>
      </c>
      <c r="E150" s="21">
        <f>IFERROR(__xludf.DUMMYFUNCTION("""COMPUTED_VALUE"""),23.0)</f>
        <v>23</v>
      </c>
      <c r="F150" s="25">
        <f>IFERROR(__xludf.DUMMYFUNCTION("""COMPUTED_VALUE"""),6.1)</f>
        <v>6.1</v>
      </c>
      <c r="G150" s="10">
        <f>IFERROR(__xludf.DUMMYFUNCTION("""COMPUTED_VALUE"""),-140.3)</f>
        <v>-140.3</v>
      </c>
    </row>
    <row r="151">
      <c r="A151" s="24">
        <f>IFERROR(__xludf.DUMMYFUNCTION("""COMPUTED_VALUE"""),43899.0)</f>
        <v>43899</v>
      </c>
      <c r="B151" s="5" t="str">
        <f>IFERROR(__xludf.DUMMYFUNCTION("""COMPUTED_VALUE"""),"Commodities")</f>
        <v>Commodities</v>
      </c>
      <c r="C151" s="5" t="str">
        <f>IFERROR(__xludf.DUMMYFUNCTION("""COMPUTED_VALUE"""),"ETFS All Commodities ETC")</f>
        <v>ETFS All Commodities ETC</v>
      </c>
      <c r="D151" s="21" t="str">
        <f>IFERROR(__xludf.DUMMYFUNCTION("""COMPUTED_VALUE"""),"BUY")</f>
        <v>BUY</v>
      </c>
      <c r="E151" s="21">
        <f>IFERROR(__xludf.DUMMYFUNCTION("""COMPUTED_VALUE"""),7.0)</f>
        <v>7</v>
      </c>
      <c r="F151" s="25">
        <f>IFERROR(__xludf.DUMMYFUNCTION("""COMPUTED_VALUE"""),6.1)</f>
        <v>6.1</v>
      </c>
      <c r="G151" s="10">
        <f>IFERROR(__xludf.DUMMYFUNCTION("""COMPUTED_VALUE"""),-42.7)</f>
        <v>-42.7</v>
      </c>
    </row>
    <row r="152">
      <c r="A152" s="24">
        <f>IFERROR(__xludf.DUMMYFUNCTION("""COMPUTED_VALUE"""),43899.0)</f>
        <v>43899</v>
      </c>
      <c r="B152" s="5" t="str">
        <f>IFERROR(__xludf.DUMMYFUNCTION("""COMPUTED_VALUE"""),"Stocks")</f>
        <v>Stocks</v>
      </c>
      <c r="C152" s="5" t="str">
        <f>IFERROR(__xludf.DUMMYFUNCTION("""COMPUTED_VALUE"""),"Vanguard S&amp;P 500 UCITS")</f>
        <v>Vanguard S&amp;P 500 UCITS</v>
      </c>
      <c r="D152" s="21" t="str">
        <f>IFERROR(__xludf.DUMMYFUNCTION("""COMPUTED_VALUE"""),"BUY")</f>
        <v>BUY</v>
      </c>
      <c r="E152" s="21">
        <f>IFERROR(__xludf.DUMMYFUNCTION("""COMPUTED_VALUE"""),394.0)</f>
        <v>394</v>
      </c>
      <c r="F152" s="25">
        <f>IFERROR(__xludf.DUMMYFUNCTION("""COMPUTED_VALUE"""),46.4)</f>
        <v>46.4</v>
      </c>
      <c r="G152" s="10">
        <f>IFERROR(__xludf.DUMMYFUNCTION("""COMPUTED_VALUE"""),-18281.6)</f>
        <v>-18281.6</v>
      </c>
    </row>
    <row r="153">
      <c r="A153" s="24">
        <f>IFERROR(__xludf.DUMMYFUNCTION("""COMPUTED_VALUE"""),43899.0)</f>
        <v>43899</v>
      </c>
      <c r="B153" s="5" t="str">
        <f>IFERROR(__xludf.DUMMYFUNCTION("""COMPUTED_VALUE"""),"Stocks")</f>
        <v>Stocks</v>
      </c>
      <c r="C153" s="5" t="str">
        <f>IFERROR(__xludf.DUMMYFUNCTION("""COMPUTED_VALUE"""),"Vanguard S&amp;P 500 UCITS")</f>
        <v>Vanguard S&amp;P 500 UCITS</v>
      </c>
      <c r="D153" s="21" t="str">
        <f>IFERROR(__xludf.DUMMYFUNCTION("""COMPUTED_VALUE"""),"BUY")</f>
        <v>BUY</v>
      </c>
      <c r="E153" s="21">
        <f>IFERROR(__xludf.DUMMYFUNCTION("""COMPUTED_VALUE"""),135.0)</f>
        <v>135</v>
      </c>
      <c r="F153" s="25">
        <f>IFERROR(__xludf.DUMMYFUNCTION("""COMPUTED_VALUE"""),46.4)</f>
        <v>46.4</v>
      </c>
      <c r="G153" s="10">
        <f>IFERROR(__xludf.DUMMYFUNCTION("""COMPUTED_VALUE"""),-6264.0)</f>
        <v>-6264</v>
      </c>
    </row>
    <row r="154">
      <c r="A154" s="24">
        <f>IFERROR(__xludf.DUMMYFUNCTION("""COMPUTED_VALUE"""),43899.0)</f>
        <v>43899</v>
      </c>
      <c r="B154" s="5" t="str">
        <f>IFERROR(__xludf.DUMMYFUNCTION("""COMPUTED_VALUE"""),"Stocks")</f>
        <v>Stocks</v>
      </c>
      <c r="C154" s="5" t="str">
        <f>IFERROR(__xludf.DUMMYFUNCTION("""COMPUTED_VALUE"""),"Vanguard S&amp;P 500 UCITS")</f>
        <v>Vanguard S&amp;P 500 UCITS</v>
      </c>
      <c r="D154" s="21" t="str">
        <f>IFERROR(__xludf.DUMMYFUNCTION("""COMPUTED_VALUE"""),"BUY")</f>
        <v>BUY</v>
      </c>
      <c r="E154" s="21">
        <f>IFERROR(__xludf.DUMMYFUNCTION("""COMPUTED_VALUE"""),2.0)</f>
        <v>2</v>
      </c>
      <c r="F154" s="25">
        <f>IFERROR(__xludf.DUMMYFUNCTION("""COMPUTED_VALUE"""),46.4)</f>
        <v>46.4</v>
      </c>
      <c r="G154" s="10">
        <f>IFERROR(__xludf.DUMMYFUNCTION("""COMPUTED_VALUE"""),-92.8)</f>
        <v>-92.8</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IFERROR(__xludf.DUMMYFUNCTION("""COMPUTED_VALUE"""),3.0)</f>
        <v>3</v>
      </c>
      <c r="F155" s="25">
        <f>IFERROR(__xludf.DUMMYFUNCTION("""COMPUTED_VALUE"""),46.4)</f>
        <v>46.4</v>
      </c>
      <c r="G155" s="10">
        <f>IFERROR(__xludf.DUMMYFUNCTION("""COMPUTED_VALUE"""),-139.2)</f>
        <v>-139.2</v>
      </c>
    </row>
    <row r="156">
      <c r="A156" s="24">
        <f>IFERROR(__xludf.DUMMYFUNCTION("""COMPUTED_VALUE"""),43899.0)</f>
        <v>43899</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IFERROR(__xludf.DUMMYFUNCTION("""COMPUTED_VALUE"""),9.0)</f>
        <v>9</v>
      </c>
      <c r="F156" s="25">
        <f>IFERROR(__xludf.DUMMYFUNCTION("""COMPUTED_VALUE"""),46.4)</f>
        <v>46.4</v>
      </c>
      <c r="G156" s="10">
        <f>IFERROR(__xludf.DUMMYFUNCTION("""COMPUTED_VALUE"""),-417.6)</f>
        <v>-417.6</v>
      </c>
    </row>
    <row r="157">
      <c r="A157" s="24">
        <f>IFERROR(__xludf.DUMMYFUNCTION("""COMPUTED_VALUE"""),43899.0)</f>
        <v>43899</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IFERROR(__xludf.DUMMYFUNCTION("""COMPUTED_VALUE"""),54.0)</f>
        <v>54</v>
      </c>
      <c r="F157" s="25">
        <f>IFERROR(__xludf.DUMMYFUNCTION("""COMPUTED_VALUE"""),46.4)</f>
        <v>46.4</v>
      </c>
      <c r="G157" s="10">
        <f>IFERROR(__xludf.DUMMYFUNCTION("""COMPUTED_VALUE"""),-2505.6)</f>
        <v>-2505.6</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IFERROR(__xludf.DUMMYFUNCTION("""COMPUTED_VALUE"""),3.0)</f>
        <v>3</v>
      </c>
      <c r="F158" s="25">
        <f>IFERROR(__xludf.DUMMYFUNCTION("""COMPUTED_VALUE"""),46.4)</f>
        <v>46.4</v>
      </c>
      <c r="G158" s="10">
        <f>IFERROR(__xludf.DUMMYFUNCTION("""COMPUTED_VALUE"""),-139.2)</f>
        <v>-139.2</v>
      </c>
    </row>
    <row r="159">
      <c r="A159" s="24">
        <f>IFERROR(__xludf.DUMMYFUNCTION("""COMPUTED_VALUE"""),43899.0)</f>
        <v>43899</v>
      </c>
      <c r="B159" s="5" t="str">
        <f>IFERROR(__xludf.DUMMYFUNCTION("""COMPUTED_VALUE"""),"Stocks")</f>
        <v>Stocks</v>
      </c>
      <c r="C159" s="5" t="str">
        <f>IFERROR(__xludf.DUMMYFUNCTION("""COMPUTED_VALUE"""),"Vanguard S&amp;P 500 UCITS")</f>
        <v>Vanguard S&amp;P 500 UCITS</v>
      </c>
      <c r="D159" s="21" t="str">
        <f>IFERROR(__xludf.DUMMYFUNCTION("""COMPUTED_VALUE"""),"BUY")</f>
        <v>BUY</v>
      </c>
      <c r="E159" s="21">
        <f>IFERROR(__xludf.DUMMYFUNCTION("""COMPUTED_VALUE"""),1.0)</f>
        <v>1</v>
      </c>
      <c r="F159" s="25">
        <f>IFERROR(__xludf.DUMMYFUNCTION("""COMPUTED_VALUE"""),46.4)</f>
        <v>46.4</v>
      </c>
      <c r="G159" s="10">
        <f>IFERROR(__xludf.DUMMYFUNCTION("""COMPUTED_VALUE"""),-46.4)</f>
        <v>-46.4</v>
      </c>
    </row>
    <row r="160">
      <c r="A160" s="24">
        <f>IFERROR(__xludf.DUMMYFUNCTION("""COMPUTED_VALUE"""),43899.0)</f>
        <v>43899</v>
      </c>
      <c r="B160" s="5" t="str">
        <f>IFERROR(__xludf.DUMMYFUNCTION("""COMPUTED_VALUE"""),"Stocks")</f>
        <v>Stocks</v>
      </c>
      <c r="C160" s="5" t="str">
        <f>IFERROR(__xludf.DUMMYFUNCTION("""COMPUTED_VALUE"""),"Vanguard S&amp;P 500 UCITS")</f>
        <v>Vanguard S&amp;P 500 UCITS</v>
      </c>
      <c r="D160" s="21" t="str">
        <f>IFERROR(__xludf.DUMMYFUNCTION("""COMPUTED_VALUE"""),"BUY")</f>
        <v>BUY</v>
      </c>
      <c r="E160" s="21">
        <f>IFERROR(__xludf.DUMMYFUNCTION("""COMPUTED_VALUE"""),4.0)</f>
        <v>4</v>
      </c>
      <c r="F160" s="25">
        <f>IFERROR(__xludf.DUMMYFUNCTION("""COMPUTED_VALUE"""),46.4)</f>
        <v>46.4</v>
      </c>
      <c r="G160" s="10">
        <f>IFERROR(__xludf.DUMMYFUNCTION("""COMPUTED_VALUE"""),-185.6)</f>
        <v>-185.6</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IFERROR(__xludf.DUMMYFUNCTION("""COMPUTED_VALUE"""),125.0)</f>
        <v>125</v>
      </c>
      <c r="F161" s="25">
        <f>IFERROR(__xludf.DUMMYFUNCTION("""COMPUTED_VALUE"""),46.4)</f>
        <v>46.4</v>
      </c>
      <c r="G161" s="10">
        <f>IFERROR(__xludf.DUMMYFUNCTION("""COMPUTED_VALUE"""),-5800.0)</f>
        <v>-5800</v>
      </c>
    </row>
    <row r="162">
      <c r="A162" s="24">
        <f>IFERROR(__xludf.DUMMYFUNCTION("""COMPUTED_VALUE"""),43899.0)</f>
        <v>43899</v>
      </c>
      <c r="B162" s="5" t="str">
        <f>IFERROR(__xludf.DUMMYFUNCTION("""COMPUTED_VALUE"""),"Stocks")</f>
        <v>Stocks</v>
      </c>
      <c r="C162" s="5" t="str">
        <f>IFERROR(__xludf.DUMMYFUNCTION("""COMPUTED_VALUE"""),"Vanguard S&amp;P 500 UCITS")</f>
        <v>Vanguard S&amp;P 500 UCITS</v>
      </c>
      <c r="D162" s="21" t="str">
        <f>IFERROR(__xludf.DUMMYFUNCTION("""COMPUTED_VALUE"""),"BUY")</f>
        <v>BUY</v>
      </c>
      <c r="E162" s="21">
        <f>IFERROR(__xludf.DUMMYFUNCTION("""COMPUTED_VALUE"""),30.0)</f>
        <v>30</v>
      </c>
      <c r="F162" s="25">
        <f>IFERROR(__xludf.DUMMYFUNCTION("""COMPUTED_VALUE"""),46.4)</f>
        <v>46.4</v>
      </c>
      <c r="G162" s="10">
        <f>IFERROR(__xludf.DUMMYFUNCTION("""COMPUTED_VALUE"""),-1392.0)</f>
        <v>-1392</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IFERROR(__xludf.DUMMYFUNCTION("""COMPUTED_VALUE"""),7.0)</f>
        <v>7</v>
      </c>
      <c r="F163" s="25">
        <f>IFERROR(__xludf.DUMMYFUNCTION("""COMPUTED_VALUE"""),46.4)</f>
        <v>46.4</v>
      </c>
      <c r="G163" s="10">
        <f>IFERROR(__xludf.DUMMYFUNCTION("""COMPUTED_VALUE"""),-324.8)</f>
        <v>-324.8</v>
      </c>
    </row>
    <row r="164">
      <c r="A164" s="24">
        <f>IFERROR(__xludf.DUMMYFUNCTION("""COMPUTED_VALUE"""),43899.0)</f>
        <v>43899</v>
      </c>
      <c r="B164" s="5" t="str">
        <f>IFERROR(__xludf.DUMMYFUNCTION("""COMPUTED_VALUE"""),"Stocks")</f>
        <v>Stocks</v>
      </c>
      <c r="C164" s="5" t="str">
        <f>IFERROR(__xludf.DUMMYFUNCTION("""COMPUTED_VALUE"""),"Vanguard S&amp;P 500 UCITS")</f>
        <v>Vanguard S&amp;P 500 UCITS</v>
      </c>
      <c r="D164" s="21" t="str">
        <f>IFERROR(__xludf.DUMMYFUNCTION("""COMPUTED_VALUE"""),"BUY")</f>
        <v>BUY</v>
      </c>
      <c r="E164" s="21">
        <f>IFERROR(__xludf.DUMMYFUNCTION("""COMPUTED_VALUE"""),26.0)</f>
        <v>26</v>
      </c>
      <c r="F164" s="25">
        <f>IFERROR(__xludf.DUMMYFUNCTION("""COMPUTED_VALUE"""),46.4)</f>
        <v>46.4</v>
      </c>
      <c r="G164" s="10">
        <f>IFERROR(__xludf.DUMMYFUNCTION("""COMPUTED_VALUE"""),-1206.4)</f>
        <v>-1206.4</v>
      </c>
    </row>
    <row r="165">
      <c r="A165" s="24">
        <f>IFERROR(__xludf.DUMMYFUNCTION("""COMPUTED_VALUE"""),43896.0)</f>
        <v>43896</v>
      </c>
      <c r="B165" s="5" t="str">
        <f>IFERROR(__xludf.DUMMYFUNCTION("""COMPUTED_VALUE"""),"Commodities")</f>
        <v>Commodities</v>
      </c>
      <c r="C165" s="5" t="str">
        <f>IFERROR(__xludf.DUMMYFUNCTION("""COMPUTED_VALUE"""),"ETFS All Commodities ETC")</f>
        <v>ETFS All Commodities ETC</v>
      </c>
      <c r="D165" s="21" t="str">
        <f>IFERROR(__xludf.DUMMYFUNCTION("""COMPUTED_VALUE"""),"BUY")</f>
        <v>BUY</v>
      </c>
      <c r="E165" s="21">
        <f>IFERROR(__xludf.DUMMYFUNCTION("""COMPUTED_VALUE"""),589.0)</f>
        <v>589</v>
      </c>
      <c r="F165" s="25">
        <f>IFERROR(__xludf.DUMMYFUNCTION("""COMPUTED_VALUE"""),6.5)</f>
        <v>6.5</v>
      </c>
      <c r="G165" s="10">
        <f>IFERROR(__xludf.DUMMYFUNCTION("""COMPUTED_VALUE"""),-3828.5)</f>
        <v>-3828.5</v>
      </c>
    </row>
    <row r="166">
      <c r="A166" s="24">
        <f>IFERROR(__xludf.DUMMYFUNCTION("""COMPUTED_VALUE"""),43896.0)</f>
        <v>43896</v>
      </c>
      <c r="B166" s="5" t="str">
        <f>IFERROR(__xludf.DUMMYFUNCTION("""COMPUTED_VALUE"""),"Commodities")</f>
        <v>Commodities</v>
      </c>
      <c r="C166" s="5" t="str">
        <f>IFERROR(__xludf.DUMMYFUNCTION("""COMPUTED_VALUE"""),"ETFS All Commodities ETC")</f>
        <v>ETFS All Commodities ETC</v>
      </c>
      <c r="D166" s="21" t="str">
        <f>IFERROR(__xludf.DUMMYFUNCTION("""COMPUTED_VALUE"""),"BUY")</f>
        <v>BUY</v>
      </c>
      <c r="E166" s="21">
        <f>IFERROR(__xludf.DUMMYFUNCTION("""COMPUTED_VALUE"""),414.0)</f>
        <v>414</v>
      </c>
      <c r="F166" s="25">
        <f>IFERROR(__xludf.DUMMYFUNCTION("""COMPUTED_VALUE"""),6.575)</f>
        <v>6.575</v>
      </c>
      <c r="G166" s="10">
        <f>IFERROR(__xludf.DUMMYFUNCTION("""COMPUTED_VALUE"""),-2722.05)</f>
        <v>-2722.05</v>
      </c>
    </row>
    <row r="167">
      <c r="A167" s="24">
        <f>IFERROR(__xludf.DUMMYFUNCTION("""COMPUTED_VALUE"""),43896.0)</f>
        <v>43896</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IFERROR(__xludf.DUMMYFUNCTION("""COMPUTED_VALUE"""),164.0)</f>
        <v>164</v>
      </c>
      <c r="F167" s="25">
        <f>IFERROR(__xludf.DUMMYFUNCTION("""COMPUTED_VALUE"""),6.598)</f>
        <v>6.598</v>
      </c>
      <c r="G167" s="10">
        <f>IFERROR(__xludf.DUMMYFUNCTION("""COMPUTED_VALUE"""),-1082.07)</f>
        <v>-1082.07</v>
      </c>
    </row>
    <row r="168">
      <c r="A168" s="24">
        <f>IFERROR(__xludf.DUMMYFUNCTION("""COMPUTED_VALUE"""),43893.0)</f>
        <v>43893</v>
      </c>
      <c r="B168" s="5"/>
      <c r="C168" s="5"/>
      <c r="D168" s="21" t="str">
        <f>IFERROR(__xludf.DUMMYFUNCTION("""COMPUTED_VALUE"""),"APPROVISIONNEMENT")</f>
        <v>APPROVISIONNEMENT</v>
      </c>
      <c r="E168" s="5"/>
      <c r="F168" s="5"/>
      <c r="G168" s="10">
        <f>IFERROR(__xludf.DUMMYFUNCTION("""COMPUTED_VALUE"""),-300.0)</f>
        <v>-300</v>
      </c>
    </row>
    <row r="169">
      <c r="A169" s="24">
        <f>IFERROR(__xludf.DUMMYFUNCTION("""COMPUTED_VALUE"""),43892.0)</f>
        <v>43892</v>
      </c>
      <c r="B169" s="5"/>
      <c r="C169" s="5"/>
      <c r="D169" s="21" t="str">
        <f>IFERROR(__xludf.DUMMYFUNCTION("""COMPUTED_VALUE"""),"APPROVISIONNEMENT")</f>
        <v>APPROVISIONNEMENT</v>
      </c>
      <c r="E169" s="5"/>
      <c r="F169" s="5"/>
      <c r="G169" s="10">
        <f>IFERROR(__xludf.DUMMYFUNCTION("""COMPUTED_VALUE"""),-400.0)</f>
        <v>-400</v>
      </c>
    </row>
    <row r="170">
      <c r="A170" s="24">
        <f>IFERROR(__xludf.DUMMYFUNCTION("""COMPUTED_VALUE"""),43892.0)</f>
        <v>43892</v>
      </c>
      <c r="B170" s="5" t="str">
        <f>IFERROR(__xludf.DUMMYFUNCTION("""COMPUTED_VALUE"""),"Commodities")</f>
        <v>Commodities</v>
      </c>
      <c r="C170" s="5" t="str">
        <f>IFERROR(__xludf.DUMMYFUNCTION("""COMPUTED_VALUE"""),"ETFS All Commodities ETC")</f>
        <v>ETFS All Commodities ETC</v>
      </c>
      <c r="D170" s="21" t="str">
        <f>IFERROR(__xludf.DUMMYFUNCTION("""COMPUTED_VALUE"""),"BUY")</f>
        <v>BUY</v>
      </c>
      <c r="E170" s="21">
        <f>IFERROR(__xludf.DUMMYFUNCTION("""COMPUTED_VALUE"""),63.0)</f>
        <v>63</v>
      </c>
      <c r="F170" s="25">
        <f>IFERROR(__xludf.DUMMYFUNCTION("""COMPUTED_VALUE"""),6.676)</f>
        <v>6.676</v>
      </c>
      <c r="G170" s="10">
        <f>IFERROR(__xludf.DUMMYFUNCTION("""COMPUTED_VALUE"""),-420.59)</f>
        <v>-420.59</v>
      </c>
    </row>
    <row r="171">
      <c r="A171" s="24">
        <f>IFERROR(__xludf.DUMMYFUNCTION("""COMPUTED_VALUE"""),43890.0)</f>
        <v>43890</v>
      </c>
      <c r="B171" s="5"/>
      <c r="C171" s="5"/>
      <c r="D171" s="21" t="str">
        <f>IFERROR(__xludf.DUMMYFUNCTION("""COMPUTED_VALUE"""),"COST")</f>
        <v>COST</v>
      </c>
      <c r="E171" s="5"/>
      <c r="F171" s="5"/>
      <c r="G171" s="10">
        <f>IFERROR(__xludf.DUMMYFUNCTION("""COMPUTED_VALUE"""),-453.97)</f>
        <v>-453.97</v>
      </c>
    </row>
    <row r="172">
      <c r="A172" s="24">
        <f>IFERROR(__xludf.DUMMYFUNCTION("""COMPUTED_VALUE"""),43889.0)</f>
        <v>43889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IFERROR(__xludf.DUMMYFUNCTION("""COMPUTED_VALUE"""),31.0)</f>
        <v>31</v>
      </c>
      <c r="F172" s="25">
        <f>IFERROR(__xludf.DUMMYFUNCTION("""COMPUTED_VALUE"""),50.4)</f>
        <v>50.4</v>
      </c>
      <c r="G172" s="10">
        <f>IFERROR(__xludf.DUMMYFUNCTION("""COMPUTED_VALUE"""),-1562.4)</f>
        <v>-1562.4</v>
      </c>
    </row>
    <row r="173">
      <c r="A173" s="24">
        <f>IFERROR(__xludf.DUMMYFUNCTION("""COMPUTED_VALUE"""),43889.0)</f>
        <v>43889</v>
      </c>
      <c r="B173" s="5" t="str">
        <f>IFERROR(__xludf.DUMMYFUNCTION("""COMPUTED_VALUE"""),"Commodities")</f>
        <v>Commodities</v>
      </c>
      <c r="C173" s="5" t="str">
        <f>IFERROR(__xludf.DUMMYFUNCTION("""COMPUTED_VALUE"""),"ETFS All Commodities ETC")</f>
        <v>ETFS All Commodities ETC</v>
      </c>
      <c r="D173" s="21" t="str">
        <f>IFERROR(__xludf.DUMMYFUNCTION("""COMPUTED_VALUE"""),"BUY")</f>
        <v>BUY</v>
      </c>
      <c r="E173" s="21">
        <f>IFERROR(__xludf.DUMMYFUNCTION("""COMPUTED_VALUE"""),150.0)</f>
        <v>150</v>
      </c>
      <c r="F173" s="25">
        <f>IFERROR(__xludf.DUMMYFUNCTION("""COMPUTED_VALUE"""),6.7)</f>
        <v>6.7</v>
      </c>
      <c r="G173" s="10">
        <f>IFERROR(__xludf.DUMMYFUNCTION("""COMPUTED_VALUE"""),-1005.0)</f>
        <v>-1005</v>
      </c>
    </row>
    <row r="174">
      <c r="A174" s="24">
        <f>IFERROR(__xludf.DUMMYFUNCTION("""COMPUTED_VALUE"""),43889.0)</f>
        <v>43889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IFERROR(__xludf.DUMMYFUNCTION("""COMPUTED_VALUE"""),54.0)</f>
        <v>54</v>
      </c>
      <c r="F174" s="25">
        <f>IFERROR(__xludf.DUMMYFUNCTION("""COMPUTED_VALUE"""),50.0)</f>
        <v>50</v>
      </c>
      <c r="G174" s="10">
        <f>IFERROR(__xludf.DUMMYFUNCTION("""COMPUTED_VALUE"""),-2700.0)</f>
        <v>-2700</v>
      </c>
    </row>
    <row r="175">
      <c r="A175" s="24">
        <f>IFERROR(__xludf.DUMMYFUNCTION("""COMPUTED_VALUE"""),43889.0)</f>
        <v>43889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IFERROR(__xludf.DUMMYFUNCTION("""COMPUTED_VALUE"""),1.0)</f>
        <v>1</v>
      </c>
      <c r="F175" s="25">
        <f>IFERROR(__xludf.DUMMYFUNCTION("""COMPUTED_VALUE"""),50.0)</f>
        <v>50</v>
      </c>
      <c r="G175" s="10">
        <f>IFERROR(__xludf.DUMMYFUNCTION("""COMPUTED_VALUE"""),-50.0)</f>
        <v>-50</v>
      </c>
    </row>
    <row r="176">
      <c r="A176" s="24">
        <f>IFERROR(__xludf.DUMMYFUNCTION("""COMPUTED_VALUE"""),43889.0)</f>
        <v>43889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IFERROR(__xludf.DUMMYFUNCTION("""COMPUTED_VALUE"""),255.0)</f>
        <v>255</v>
      </c>
      <c r="F176" s="25">
        <f>IFERROR(__xludf.DUMMYFUNCTION("""COMPUTED_VALUE"""),50.1)</f>
        <v>50.1</v>
      </c>
      <c r="G176" s="10">
        <f>IFERROR(__xludf.DUMMYFUNCTION("""COMPUTED_VALUE"""),-12775.5)</f>
        <v>-12775.5</v>
      </c>
    </row>
    <row r="177">
      <c r="A177" s="24">
        <f>IFERROR(__xludf.DUMMYFUNCTION("""COMPUTED_VALUE"""),43889.0)</f>
        <v>43889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IFERROR(__xludf.DUMMYFUNCTION("""COMPUTED_VALUE"""),69.0)</f>
        <v>69</v>
      </c>
      <c r="F177" s="25">
        <f>IFERROR(__xludf.DUMMYFUNCTION("""COMPUTED_VALUE"""),49.9)</f>
        <v>49.9</v>
      </c>
      <c r="G177" s="10">
        <f>IFERROR(__xludf.DUMMYFUNCTION("""COMPUTED_VALUE"""),-3443.1)</f>
        <v>-3443.1</v>
      </c>
    </row>
    <row r="178">
      <c r="A178" s="24">
        <f>IFERROR(__xludf.DUMMYFUNCTION("""COMPUTED_VALUE"""),43889.0)</f>
        <v>43889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IFERROR(__xludf.DUMMYFUNCTION("""COMPUTED_VALUE"""),1.0)</f>
        <v>1</v>
      </c>
      <c r="F178" s="25">
        <f>IFERROR(__xludf.DUMMYFUNCTION("""COMPUTED_VALUE"""),49.9)</f>
        <v>49.9</v>
      </c>
      <c r="G178" s="10">
        <f>IFERROR(__xludf.DUMMYFUNCTION("""COMPUTED_VALUE"""),-49.9)</f>
        <v>-49.9</v>
      </c>
    </row>
    <row r="179">
      <c r="A179" s="24">
        <f>IFERROR(__xludf.DUMMYFUNCTION("""COMPUTED_VALUE"""),43889.0)</f>
        <v>43889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IFERROR(__xludf.DUMMYFUNCTION("""COMPUTED_VALUE"""),60.0)</f>
        <v>60</v>
      </c>
      <c r="F179" s="25">
        <f>IFERROR(__xludf.DUMMYFUNCTION("""COMPUTED_VALUE"""),50.16)</f>
        <v>50.16</v>
      </c>
      <c r="G179" s="10">
        <f>IFERROR(__xludf.DUMMYFUNCTION("""COMPUTED_VALUE"""),-3009.6)</f>
        <v>-3009.6</v>
      </c>
    </row>
    <row r="180">
      <c r="A180" s="24">
        <f>IFERROR(__xludf.DUMMYFUNCTION("""COMPUTED_VALUE"""),43889.0)</f>
        <v>43889</v>
      </c>
      <c r="B180" s="5" t="str">
        <f>IFERROR(__xludf.DUMMYFUNCTION("""COMPUTED_VALUE"""),"Stocks")</f>
        <v>Stocks</v>
      </c>
      <c r="C180" s="5" t="str">
        <f>IFERROR(__xludf.DUMMYFUNCTION("""COMPUTED_VALUE"""),"Vanguard S&amp;P 500 UCITS")</f>
        <v>Vanguard S&amp;P 500 UCITS</v>
      </c>
      <c r="D180" s="21" t="str">
        <f>IFERROR(__xludf.DUMMYFUNCTION("""COMPUTED_VALUE"""),"BUY")</f>
        <v>BUY</v>
      </c>
      <c r="E180" s="21">
        <f>IFERROR(__xludf.DUMMYFUNCTION("""COMPUTED_VALUE"""),24.0)</f>
        <v>24</v>
      </c>
      <c r="F180" s="25">
        <f>IFERROR(__xludf.DUMMYFUNCTION("""COMPUTED_VALUE"""),50.4)</f>
        <v>50.4</v>
      </c>
      <c r="G180" s="10">
        <f>IFERROR(__xludf.DUMMYFUNCTION("""COMPUTED_VALUE"""),-1209.6)</f>
        <v>-1209.6</v>
      </c>
    </row>
    <row r="181">
      <c r="A181" s="24">
        <f>IFERROR(__xludf.DUMMYFUNCTION("""COMPUTED_VALUE"""),43889.0)</f>
        <v>43889</v>
      </c>
      <c r="B181" s="5" t="str">
        <f>IFERROR(__xludf.DUMMYFUNCTION("""COMPUTED_VALUE"""),"Stocks")</f>
        <v>Stocks</v>
      </c>
      <c r="C181" s="5" t="str">
        <f>IFERROR(__xludf.DUMMYFUNCTION("""COMPUTED_VALUE"""),"Vanguard S&amp;P 500 UCITS")</f>
        <v>Vanguard S&amp;P 500 UCITS</v>
      </c>
      <c r="D181" s="21" t="str">
        <f>IFERROR(__xludf.DUMMYFUNCTION("""COMPUTED_VALUE"""),"BUY")</f>
        <v>BUY</v>
      </c>
      <c r="E181" s="21">
        <f>IFERROR(__xludf.DUMMYFUNCTION("""COMPUTED_VALUE"""),170.0)</f>
        <v>170</v>
      </c>
      <c r="F181" s="25">
        <f>IFERROR(__xludf.DUMMYFUNCTION("""COMPUTED_VALUE"""),50.6)</f>
        <v>50.6</v>
      </c>
      <c r="G181" s="10">
        <f>IFERROR(__xludf.DUMMYFUNCTION("""COMPUTED_VALUE"""),-8602.0)</f>
        <v>-8602</v>
      </c>
    </row>
    <row r="182">
      <c r="A182" s="24">
        <f>IFERROR(__xludf.DUMMYFUNCTION("""COMPUTED_VALUE"""),43889.0)</f>
        <v>43889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IFERROR(__xludf.DUMMYFUNCTION("""COMPUTED_VALUE"""),4925.0)</f>
        <v>4925</v>
      </c>
      <c r="F182" s="25">
        <f>IFERROR(__xludf.DUMMYFUNCTION("""COMPUTED_VALUE"""),50.7)</f>
        <v>50.7</v>
      </c>
      <c r="G182" s="10">
        <f>IFERROR(__xludf.DUMMYFUNCTION("""COMPUTED_VALUE"""),-249697.5)</f>
        <v>-249697.5</v>
      </c>
    </row>
    <row r="183">
      <c r="A183" s="24">
        <f>IFERROR(__xludf.DUMMYFUNCTION("""COMPUTED_VALUE"""),43888.0)</f>
        <v>43888</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IFERROR(__xludf.DUMMYFUNCTION("""COMPUTED_VALUE"""),148.0)</f>
        <v>148</v>
      </c>
      <c r="F183" s="25">
        <f>IFERROR(__xludf.DUMMYFUNCTION("""COMPUTED_VALUE"""),6.794)</f>
        <v>6.794</v>
      </c>
      <c r="G183" s="10">
        <f>IFERROR(__xludf.DUMMYFUNCTION("""COMPUTED_VALUE"""),-1005.51)</f>
        <v>-1005.51</v>
      </c>
    </row>
    <row r="184">
      <c r="A184" s="24">
        <f>IFERROR(__xludf.DUMMYFUNCTION("""COMPUTED_VALUE"""),43888.0)</f>
        <v>43888</v>
      </c>
      <c r="B184" s="5" t="str">
        <f>IFERROR(__xludf.DUMMYFUNCTION("""COMPUTED_VALUE"""),"Commodities")</f>
        <v>Commodities</v>
      </c>
      <c r="C184" s="5" t="str">
        <f>IFERROR(__xludf.DUMMYFUNCTION("""COMPUTED_VALUE"""),"ETFS All Commodities ETC")</f>
        <v>ETFS All Commodities ETC</v>
      </c>
      <c r="D184" s="21" t="str">
        <f>IFERROR(__xludf.DUMMYFUNCTION("""COMPUTED_VALUE"""),"BUY")</f>
        <v>BUY</v>
      </c>
      <c r="E184" s="21">
        <f>IFERROR(__xludf.DUMMYFUNCTION("""COMPUTED_VALUE"""),147.0)</f>
        <v>147</v>
      </c>
      <c r="F184" s="25">
        <f>IFERROR(__xludf.DUMMYFUNCTION("""COMPUTED_VALUE"""),6.81)</f>
        <v>6.81</v>
      </c>
      <c r="G184" s="10">
        <f>IFERROR(__xludf.DUMMYFUNCTION("""COMPUTED_VALUE"""),-1001.07)</f>
        <v>-1001.07</v>
      </c>
    </row>
    <row r="185">
      <c r="A185" s="24">
        <f>IFERROR(__xludf.DUMMYFUNCTION("""COMPUTED_VALUE"""),43888.0)</f>
        <v>43888</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IFERROR(__xludf.DUMMYFUNCTION("""COMPUTED_VALUE"""),146.0)</f>
        <v>146</v>
      </c>
      <c r="F185" s="25">
        <f>IFERROR(__xludf.DUMMYFUNCTION("""COMPUTED_VALUE"""),6.87)</f>
        <v>6.87</v>
      </c>
      <c r="G185" s="10">
        <f>IFERROR(__xludf.DUMMYFUNCTION("""COMPUTED_VALUE"""),-1003.02)</f>
        <v>-1003.02</v>
      </c>
    </row>
    <row r="186">
      <c r="A186" s="24">
        <f>IFERROR(__xludf.DUMMYFUNCTION("""COMPUTED_VALUE"""),43888.0)</f>
        <v>43888</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IFERROR(__xludf.DUMMYFUNCTION("""COMPUTED_VALUE"""),210.0)</f>
        <v>210</v>
      </c>
      <c r="F186" s="25">
        <f>IFERROR(__xludf.DUMMYFUNCTION("""COMPUTED_VALUE"""),6.906)</f>
        <v>6.906</v>
      </c>
      <c r="G186" s="10">
        <f>IFERROR(__xludf.DUMMYFUNCTION("""COMPUTED_VALUE"""),-1450.26)</f>
        <v>-1450.26</v>
      </c>
    </row>
    <row r="187">
      <c r="A187" s="24">
        <f>IFERROR(__xludf.DUMMYFUNCTION("""COMPUTED_VALUE"""),43887.0)</f>
        <v>43887</v>
      </c>
      <c r="B187" s="5" t="str">
        <f>IFERROR(__xludf.DUMMYFUNCTION("""COMPUTED_VALUE"""),"Commodities")</f>
        <v>Commodities</v>
      </c>
      <c r="C187" s="5" t="str">
        <f>IFERROR(__xludf.DUMMYFUNCTION("""COMPUTED_VALUE"""),"ETFS All Commodities ETC")</f>
        <v>ETFS All Commodities ETC</v>
      </c>
      <c r="D187" s="21" t="str">
        <f>IFERROR(__xludf.DUMMYFUNCTION("""COMPUTED_VALUE"""),"BUY")</f>
        <v>BUY</v>
      </c>
      <c r="E187" s="21">
        <f>IFERROR(__xludf.DUMMYFUNCTION("""COMPUTED_VALUE"""),144.0)</f>
        <v>144</v>
      </c>
      <c r="F187" s="25">
        <f>IFERROR(__xludf.DUMMYFUNCTION("""COMPUTED_VALUE"""),6.99)</f>
        <v>6.99</v>
      </c>
      <c r="G187" s="10">
        <f>IFERROR(__xludf.DUMMYFUNCTION("""COMPUTED_VALUE"""),-1006.56)</f>
        <v>-1006.56</v>
      </c>
    </row>
    <row r="188">
      <c r="A188" s="24">
        <f>IFERROR(__xludf.DUMMYFUNCTION("""COMPUTED_VALUE"""),43886.0)</f>
        <v>43886</v>
      </c>
      <c r="B188" s="5" t="str">
        <f>IFERROR(__xludf.DUMMYFUNCTION("""COMPUTED_VALUE"""),"Commodities")</f>
        <v>Commodities</v>
      </c>
      <c r="C188" s="5" t="str">
        <f>IFERROR(__xludf.DUMMYFUNCTION("""COMPUTED_VALUE"""),"ETFS All Commodities ETC")</f>
        <v>ETFS All Commodities ETC</v>
      </c>
      <c r="D188" s="21" t="str">
        <f>IFERROR(__xludf.DUMMYFUNCTION("""COMPUTED_VALUE"""),"BUY")</f>
        <v>BUY</v>
      </c>
      <c r="E188" s="21">
        <f>IFERROR(__xludf.DUMMYFUNCTION("""COMPUTED_VALUE"""),175.0)</f>
        <v>175</v>
      </c>
      <c r="F188" s="25">
        <f>IFERROR(__xludf.DUMMYFUNCTION("""COMPUTED_VALUE"""),7.11)</f>
        <v>7.11</v>
      </c>
      <c r="G188" s="10">
        <f>IFERROR(__xludf.DUMMYFUNCTION("""COMPUTED_VALUE"""),-1244.25)</f>
        <v>-1244.25</v>
      </c>
    </row>
    <row r="189">
      <c r="A189" s="24">
        <f>IFERROR(__xludf.DUMMYFUNCTION("""COMPUTED_VALUE"""),43885.0)</f>
        <v>43885</v>
      </c>
      <c r="B189" s="5" t="str">
        <f>IFERROR(__xludf.DUMMYFUNCTION("""COMPUTED_VALUE"""),"Gold")</f>
        <v>Gold</v>
      </c>
      <c r="C189" s="5" t="str">
        <f>IFERROR(__xludf.DUMMYFUNCTION("""COMPUTED_VALUE"""),"ETFS Physical Gold")</f>
        <v>ETFS Physical Gold</v>
      </c>
      <c r="D189" s="21" t="str">
        <f>IFERROR(__xludf.DUMMYFUNCTION("""COMPUTED_VALUE"""),"SELL")</f>
        <v>SELL</v>
      </c>
      <c r="E189" s="21">
        <f>IFERROR(__xludf.DUMMYFUNCTION("""COMPUTED_VALUE"""),-7.0)</f>
        <v>-7</v>
      </c>
      <c r="F189" s="25">
        <f>IFERROR(__xludf.DUMMYFUNCTION("""COMPUTED_VALUE"""),148.25)</f>
        <v>148.25</v>
      </c>
      <c r="G189" s="10">
        <f>IFERROR(__xludf.DUMMYFUNCTION("""COMPUTED_VALUE"""),1037.75)</f>
        <v>1037.75</v>
      </c>
    </row>
    <row r="190">
      <c r="A190" s="24">
        <f>IFERROR(__xludf.DUMMYFUNCTION("""COMPUTED_VALUE"""),43885.0)</f>
        <v>43885</v>
      </c>
      <c r="B190" s="5" t="str">
        <f>IFERROR(__xludf.DUMMYFUNCTION("""COMPUTED_VALUE"""),"Commodities")</f>
        <v>Commodities</v>
      </c>
      <c r="C190" s="5" t="str">
        <f>IFERROR(__xludf.DUMMYFUNCTION("""COMPUTED_VALUE"""),"ETFS All Commodities ETC")</f>
        <v>ETFS All Commodities ETC</v>
      </c>
      <c r="D190" s="21" t="str">
        <f>IFERROR(__xludf.DUMMYFUNCTION("""COMPUTED_VALUE"""),"BUY")</f>
        <v>BUY</v>
      </c>
      <c r="E190" s="21">
        <f>IFERROR(__xludf.DUMMYFUNCTION("""COMPUTED_VALUE"""),1500.0)</f>
        <v>1500</v>
      </c>
      <c r="F190" s="25">
        <f>IFERROR(__xludf.DUMMYFUNCTION("""COMPUTED_VALUE"""),7.12)</f>
        <v>7.12</v>
      </c>
      <c r="G190" s="10">
        <f>IFERROR(__xludf.DUMMYFUNCTION("""COMPUTED_VALUE"""),-10680.0)</f>
        <v>-10680</v>
      </c>
    </row>
    <row r="191">
      <c r="A191" s="24">
        <f>IFERROR(__xludf.DUMMYFUNCTION("""COMPUTED_VALUE"""),43885.0)</f>
        <v>43885</v>
      </c>
      <c r="B191" s="5" t="str">
        <f>IFERROR(__xludf.DUMMYFUNCTION("""COMPUTED_VALUE"""),"Long term US bonds (20-25 year)")</f>
        <v>Long term US bonds (20-25 year)</v>
      </c>
      <c r="C191" s="5" t="str">
        <f>IFERROR(__xludf.DUMMYFUNCTION("""COMPUTED_VALUE"""),"iShares Treasury Bond 20+ UCITS")</f>
        <v>iShares Treasury Bond 20+ UCITS</v>
      </c>
      <c r="D191" s="21" t="str">
        <f>IFERROR(__xludf.DUMMYFUNCTION("""COMPUTED_VALUE"""),"SELL")</f>
        <v>SELL</v>
      </c>
      <c r="E191" s="21">
        <f>IFERROR(__xludf.DUMMYFUNCTION("""COMPUTED_VALUE"""),-268.0)</f>
        <v>-268</v>
      </c>
      <c r="F191" s="25">
        <f>IFERROR(__xludf.DUMMYFUNCTION("""COMPUTED_VALUE"""),5.205)</f>
        <v>5.205</v>
      </c>
      <c r="G191" s="10">
        <f>IFERROR(__xludf.DUMMYFUNCTION("""COMPUTED_VALUE"""),1394.94)</f>
        <v>1394.94</v>
      </c>
    </row>
    <row r="192">
      <c r="A192" s="24">
        <f>IFERROR(__xludf.DUMMYFUNCTION("""COMPUTED_VALUE"""),43885.0)</f>
        <v>43885</v>
      </c>
      <c r="B192" s="5" t="str">
        <f>IFERROR(__xludf.DUMMYFUNCTION("""COMPUTED_VALUE"""),"Long term US bonds (20-25 year)")</f>
        <v>Long term US bonds (20-25 year)</v>
      </c>
      <c r="C192" s="5" t="str">
        <f>IFERROR(__xludf.DUMMYFUNCTION("""COMPUTED_VALUE"""),"iShares Treasury Bond 20+ UCITS")</f>
        <v>iShares Treasury Bond 20+ UCITS</v>
      </c>
      <c r="D192" s="21" t="str">
        <f>IFERROR(__xludf.DUMMYFUNCTION("""COMPUTED_VALUE"""),"COST")</f>
        <v>COST</v>
      </c>
      <c r="E192" s="5"/>
      <c r="F192" s="5"/>
      <c r="G192" s="10">
        <f>IFERROR(__xludf.DUMMYFUNCTION("""COMPUTED_VALUE"""),-2.28)</f>
        <v>-2.28</v>
      </c>
    </row>
    <row r="193">
      <c r="A193" s="24">
        <f>IFERROR(__xludf.DUMMYFUNCTION("""COMPUTED_VALUE"""),43885.0)</f>
        <v>43885</v>
      </c>
      <c r="B193" s="5" t="str">
        <f>IFERROR(__xludf.DUMMYFUNCTION("""COMPUTED_VALUE"""),"Gold")</f>
        <v>Gold</v>
      </c>
      <c r="C193" s="5" t="str">
        <f>IFERROR(__xludf.DUMMYFUNCTION("""COMPUTED_VALUE"""),"ETFS Physical Gold")</f>
        <v>ETFS Physical Gold</v>
      </c>
      <c r="D193" s="21" t="str">
        <f>IFERROR(__xludf.DUMMYFUNCTION("""COMPUTED_VALUE"""),"SELL")</f>
        <v>SELL</v>
      </c>
      <c r="E193" s="21">
        <f>IFERROR(__xludf.DUMMYFUNCTION("""COMPUTED_VALUE"""),-8.0)</f>
        <v>-8</v>
      </c>
      <c r="F193" s="25">
        <f>IFERROR(__xludf.DUMMYFUNCTION("""COMPUTED_VALUE"""),148.15)</f>
        <v>148.15</v>
      </c>
      <c r="G193" s="10">
        <f>IFERROR(__xludf.DUMMYFUNCTION("""COMPUTED_VALUE"""),1185.2)</f>
        <v>1185.2</v>
      </c>
    </row>
    <row r="194">
      <c r="A194" s="24">
        <f>IFERROR(__xludf.DUMMYFUNCTION("""COMPUTED_VALUE"""),43882.0)</f>
        <v>43882</v>
      </c>
      <c r="B194" s="5" t="str">
        <f>IFERROR(__xludf.DUMMYFUNCTION("""COMPUTED_VALUE"""),"Gold")</f>
        <v>Gold</v>
      </c>
      <c r="C194" s="5" t="str">
        <f>IFERROR(__xludf.DUMMYFUNCTION("""COMPUTED_VALUE"""),"ETFS Physical Gold")</f>
        <v>ETFS Physical Gold</v>
      </c>
      <c r="D194" s="21" t="str">
        <f>IFERROR(__xludf.DUMMYFUNCTION("""COMPUTED_VALUE"""),"SELL")</f>
        <v>SELL</v>
      </c>
      <c r="E194" s="21">
        <f>IFERROR(__xludf.DUMMYFUNCTION("""COMPUTED_VALUE"""),-1.0)</f>
        <v>-1</v>
      </c>
      <c r="F194" s="25">
        <f>IFERROR(__xludf.DUMMYFUNCTION("""COMPUTED_VALUE"""),144.0)</f>
        <v>144</v>
      </c>
      <c r="G194" s="10">
        <f>IFERROR(__xludf.DUMMYFUNCTION("""COMPUTED_VALUE"""),144.0)</f>
        <v>144</v>
      </c>
    </row>
    <row r="195">
      <c r="A195" s="24">
        <f>IFERROR(__xludf.DUMMYFUNCTION("""COMPUTED_VALUE"""),43865.0)</f>
        <v>43865</v>
      </c>
      <c r="B195" s="5"/>
      <c r="C195" s="5"/>
      <c r="D195" s="21" t="str">
        <f>IFERROR(__xludf.DUMMYFUNCTION("""COMPUTED_VALUE"""),"APPROVISIONNEMENT")</f>
        <v>APPROVISIONNEMENT</v>
      </c>
      <c r="E195" s="5"/>
      <c r="F195" s="5"/>
      <c r="G195" s="10">
        <f>IFERROR(__xludf.DUMMYFUNCTION("""COMPUTED_VALUE"""),-200.0)</f>
        <v>-200</v>
      </c>
    </row>
    <row r="196">
      <c r="A196" s="24">
        <f>IFERROR(__xludf.DUMMYFUNCTION("""COMPUTED_VALUE"""),43864.0)</f>
        <v>43864</v>
      </c>
      <c r="B196" s="5" t="str">
        <f>IFERROR(__xludf.DUMMYFUNCTION("""COMPUTED_VALUE"""),"Commodities")</f>
        <v>Commodities</v>
      </c>
      <c r="C196" s="5" t="str">
        <f>IFERROR(__xludf.DUMMYFUNCTION("""COMPUTED_VALUE"""),"ETFS All Commodities ETC")</f>
        <v>ETFS All Commodities ETC</v>
      </c>
      <c r="D196" s="21" t="str">
        <f>IFERROR(__xludf.DUMMYFUNCTION("""COMPUTED_VALUE"""),"BUY")</f>
        <v>BUY</v>
      </c>
      <c r="E196" s="21">
        <f>IFERROR(__xludf.DUMMYFUNCTION("""COMPUTED_VALUE"""),144.0)</f>
        <v>144</v>
      </c>
      <c r="F196" s="25">
        <f>IFERROR(__xludf.DUMMYFUNCTION("""COMPUTED_VALUE"""),6.945)</f>
        <v>6.945</v>
      </c>
      <c r="G196" s="10">
        <f>IFERROR(__xludf.DUMMYFUNCTION("""COMPUTED_VALUE"""),-1000.08)</f>
        <v>-1000.08</v>
      </c>
    </row>
    <row r="197">
      <c r="A197" s="24">
        <f>IFERROR(__xludf.DUMMYFUNCTION("""COMPUTED_VALUE"""),43864.0)</f>
        <v>43864</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IFERROR(__xludf.DUMMYFUNCTION("""COMPUTED_VALUE"""),134.0)</f>
        <v>134</v>
      </c>
      <c r="F197" s="25">
        <f>IFERROR(__xludf.DUMMYFUNCTION("""COMPUTED_VALUE"""),6.96)</f>
        <v>6.96</v>
      </c>
      <c r="G197" s="10">
        <f>IFERROR(__xludf.DUMMYFUNCTION("""COMPUTED_VALUE"""),-932.64)</f>
        <v>-932.64</v>
      </c>
    </row>
    <row r="198">
      <c r="A198" s="24">
        <f>IFERROR(__xludf.DUMMYFUNCTION("""COMPUTED_VALUE"""),43861.0)</f>
        <v>43861</v>
      </c>
      <c r="B198" s="5"/>
      <c r="C198" s="5"/>
      <c r="D198" s="21" t="str">
        <f>IFERROR(__xludf.DUMMYFUNCTION("""COMPUTED_VALUE"""),"COST")</f>
        <v>COST</v>
      </c>
      <c r="E198" s="5"/>
      <c r="F198" s="5"/>
      <c r="G198" s="10">
        <f>IFERROR(__xludf.DUMMYFUNCTION("""COMPUTED_VALUE"""),-342.44)</f>
        <v>-342.44</v>
      </c>
    </row>
    <row r="199">
      <c r="A199" s="24">
        <f>IFERROR(__xludf.DUMMYFUNCTION("""COMPUTED_VALUE"""),43861.0)</f>
        <v>43861</v>
      </c>
      <c r="B199" s="5"/>
      <c r="C199" s="5"/>
      <c r="D199" s="21" t="str">
        <f>IFERROR(__xludf.DUMMYFUNCTION("""COMPUTED_VALUE"""),"COST")</f>
        <v>COST</v>
      </c>
      <c r="E199" s="5"/>
      <c r="F199" s="5"/>
      <c r="G199" s="10">
        <f>IFERROR(__xludf.DUMMYFUNCTION("""COMPUTED_VALUE"""),-5.0)</f>
        <v>-5</v>
      </c>
    </row>
    <row r="200">
      <c r="A200" s="24">
        <f>IFERROR(__xludf.DUMMYFUNCTION("""COMPUTED_VALUE"""),43861.0)</f>
        <v>43861</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IFERROR(__xludf.DUMMYFUNCTION("""COMPUTED_VALUE"""),144.0)</f>
        <v>144</v>
      </c>
      <c r="F200" s="25">
        <f>IFERROR(__xludf.DUMMYFUNCTION("""COMPUTED_VALUE"""),6.975)</f>
        <v>6.975</v>
      </c>
      <c r="G200" s="10">
        <f>IFERROR(__xludf.DUMMYFUNCTION("""COMPUTED_VALUE"""),-1004.4)</f>
        <v>-1004.4</v>
      </c>
    </row>
    <row r="201">
      <c r="A201" s="24">
        <f>IFERROR(__xludf.DUMMYFUNCTION("""COMPUTED_VALUE"""),43861.0)</f>
        <v>43861</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IFERROR(__xludf.DUMMYFUNCTION("""COMPUTED_VALUE"""),75.0)</f>
        <v>75</v>
      </c>
      <c r="F201" s="25">
        <f>IFERROR(__xludf.DUMMYFUNCTION("""COMPUTED_VALUE"""),7.02)</f>
        <v>7.02</v>
      </c>
      <c r="G201" s="10">
        <f>IFERROR(__xludf.DUMMYFUNCTION("""COMPUTED_VALUE"""),-526.5)</f>
        <v>-526.5</v>
      </c>
    </row>
    <row r="202">
      <c r="A202" s="24">
        <f>IFERROR(__xludf.DUMMYFUNCTION("""COMPUTED_VALUE"""),43861.0)</f>
        <v>43861</v>
      </c>
      <c r="B202" s="5" t="str">
        <f>IFERROR(__xludf.DUMMYFUNCTION("""COMPUTED_VALUE"""),"Commodities")</f>
        <v>Commodities</v>
      </c>
      <c r="C202" s="5" t="str">
        <f>IFERROR(__xludf.DUMMYFUNCTION("""COMPUTED_VALUE"""),"ETFS All Commodities ETC")</f>
        <v>ETFS All Commodities ETC</v>
      </c>
      <c r="D202" s="21" t="str">
        <f>IFERROR(__xludf.DUMMYFUNCTION("""COMPUTED_VALUE"""),"COST")</f>
        <v>COST</v>
      </c>
      <c r="E202" s="5"/>
      <c r="F202" s="5"/>
      <c r="G202" s="10">
        <f>IFERROR(__xludf.DUMMYFUNCTION("""COMPUTED_VALUE"""),-2.11)</f>
        <v>-2.11</v>
      </c>
    </row>
    <row r="203">
      <c r="A203" s="24">
        <f>IFERROR(__xludf.DUMMYFUNCTION("""COMPUTED_VALUE"""),43861.0)</f>
        <v>43861</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IFERROR(__xludf.DUMMYFUNCTION("""COMPUTED_VALUE"""),100.0)</f>
        <v>100</v>
      </c>
      <c r="F203" s="25">
        <f>IFERROR(__xludf.DUMMYFUNCTION("""COMPUTED_VALUE"""),7.04)</f>
        <v>7.04</v>
      </c>
      <c r="G203" s="10">
        <f>IFERROR(__xludf.DUMMYFUNCTION("""COMPUTED_VALUE"""),-704.0)</f>
        <v>-704</v>
      </c>
    </row>
    <row r="204">
      <c r="A204" s="24">
        <f>IFERROR(__xludf.DUMMYFUNCTION("""COMPUTED_VALUE"""),43861.0)</f>
        <v>43861</v>
      </c>
      <c r="B204" s="5" t="str">
        <f>IFERROR(__xludf.DUMMYFUNCTION("""COMPUTED_VALUE"""),"Commodities")</f>
        <v>Commodities</v>
      </c>
      <c r="C204" s="5" t="str">
        <f>IFERROR(__xludf.DUMMYFUNCTION("""COMPUTED_VALUE"""),"ETFS All Commodities ETC")</f>
        <v>ETFS All Commodities ETC</v>
      </c>
      <c r="D204" s="21" t="str">
        <f>IFERROR(__xludf.DUMMYFUNCTION("""COMPUTED_VALUE"""),"COST")</f>
        <v>COST</v>
      </c>
      <c r="E204" s="5"/>
      <c r="F204" s="5"/>
      <c r="G204" s="10">
        <f>IFERROR(__xludf.DUMMYFUNCTION("""COMPUTED_VALUE"""),-2.14)</f>
        <v>-2.14</v>
      </c>
    </row>
    <row r="205">
      <c r="A205" s="24">
        <f>IFERROR(__xludf.DUMMYFUNCTION("""COMPUTED_VALUE"""),43860.0)</f>
        <v>43860</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IFERROR(__xludf.DUMMYFUNCTION("""COMPUTED_VALUE"""),100.0)</f>
        <v>100</v>
      </c>
      <c r="F205" s="25">
        <f>IFERROR(__xludf.DUMMYFUNCTION("""COMPUTED_VALUE"""),7.07)</f>
        <v>7.07</v>
      </c>
      <c r="G205" s="10">
        <f>IFERROR(__xludf.DUMMYFUNCTION("""COMPUTED_VALUE"""),-707.0)</f>
        <v>-707</v>
      </c>
    </row>
    <row r="206">
      <c r="A206" s="24">
        <f>IFERROR(__xludf.DUMMYFUNCTION("""COMPUTED_VALUE"""),43860.0)</f>
        <v>43860</v>
      </c>
      <c r="B206" s="5" t="str">
        <f>IFERROR(__xludf.DUMMYFUNCTION("""COMPUTED_VALUE"""),"Commodities")</f>
        <v>Commodities</v>
      </c>
      <c r="C206" s="5" t="str">
        <f>IFERROR(__xludf.DUMMYFUNCTION("""COMPUTED_VALUE"""),"ETFS All Commodities ETC")</f>
        <v>ETFS All Commodities ETC</v>
      </c>
      <c r="D206" s="21" t="str">
        <f>IFERROR(__xludf.DUMMYFUNCTION("""COMPUTED_VALUE"""),"COST")</f>
        <v>COST</v>
      </c>
      <c r="E206" s="5"/>
      <c r="F206" s="5"/>
      <c r="G206" s="10">
        <f>IFERROR(__xludf.DUMMYFUNCTION("""COMPUTED_VALUE"""),-2.14)</f>
        <v>-2.14</v>
      </c>
    </row>
    <row r="207">
      <c r="A207" s="24">
        <f>IFERROR(__xludf.DUMMYFUNCTION("""COMPUTED_VALUE"""),43860.0)</f>
        <v>43860</v>
      </c>
      <c r="B207" s="5" t="str">
        <f>IFERROR(__xludf.DUMMYFUNCTION("""COMPUTED_VALUE"""),"Commodities")</f>
        <v>Commodities</v>
      </c>
      <c r="C207" s="5" t="str">
        <f>IFERROR(__xludf.DUMMYFUNCTION("""COMPUTED_VALUE"""),"ETFS All Commodities ETC")</f>
        <v>ETFS All Commodities ETC</v>
      </c>
      <c r="D207" s="21" t="str">
        <f>IFERROR(__xludf.DUMMYFUNCTION("""COMPUTED_VALUE"""),"BUY")</f>
        <v>BUY</v>
      </c>
      <c r="E207" s="21">
        <f>IFERROR(__xludf.DUMMYFUNCTION("""COMPUTED_VALUE"""),300.0)</f>
        <v>300</v>
      </c>
      <c r="F207" s="25">
        <f>IFERROR(__xludf.DUMMYFUNCTION("""COMPUTED_VALUE"""),7.089)</f>
        <v>7.089</v>
      </c>
      <c r="G207" s="10">
        <f>IFERROR(__xludf.DUMMYFUNCTION("""COMPUTED_VALUE"""),-2126.7)</f>
        <v>-2126.7</v>
      </c>
    </row>
    <row r="208">
      <c r="A208" s="24">
        <f>IFERROR(__xludf.DUMMYFUNCTION("""COMPUTED_VALUE"""),43857.0)</f>
        <v>43857</v>
      </c>
      <c r="B208" s="5" t="str">
        <f>IFERROR(__xludf.DUMMYFUNCTION("""COMPUTED_VALUE"""),"Commodities")</f>
        <v>Commodities</v>
      </c>
      <c r="C208" s="5" t="str">
        <f>IFERROR(__xludf.DUMMYFUNCTION("""COMPUTED_VALUE"""),"ETFS All Commodities ETC")</f>
        <v>ETFS All Commodities ETC</v>
      </c>
      <c r="D208" s="21" t="str">
        <f>IFERROR(__xludf.DUMMYFUNCTION("""COMPUTED_VALUE"""),"BUY")</f>
        <v>BUY</v>
      </c>
      <c r="E208" s="21">
        <f>IFERROR(__xludf.DUMMYFUNCTION("""COMPUTED_VALUE"""),2040.0)</f>
        <v>2040</v>
      </c>
      <c r="F208" s="25">
        <f>IFERROR(__xludf.DUMMYFUNCTION("""COMPUTED_VALUE"""),7.129)</f>
        <v>7.129</v>
      </c>
      <c r="G208" s="10">
        <f>IFERROR(__xludf.DUMMYFUNCTION("""COMPUTED_VALUE"""),-14543.16)</f>
        <v>-14543.16</v>
      </c>
    </row>
    <row r="209">
      <c r="A209" s="24">
        <f>IFERROR(__xludf.DUMMYFUNCTION("""COMPUTED_VALUE"""),43857.0)</f>
        <v>43857</v>
      </c>
      <c r="B209" s="5" t="str">
        <f>IFERROR(__xludf.DUMMYFUNCTION("""COMPUTED_VALUE"""),"Intermediate US bonds (7-10 year)")</f>
        <v>Intermediate US bonds (7-10 year)</v>
      </c>
      <c r="C209" s="5" t="str">
        <f>IFERROR(__xludf.DUMMYFUNCTION("""COMPUTED_VALUE"""),"iShares Treasury Bond 7-10 UCITS")</f>
        <v>iShares Treasury Bond 7-10 UCITS</v>
      </c>
      <c r="D209" s="21" t="str">
        <f>IFERROR(__xludf.DUMMYFUNCTION("""COMPUTED_VALUE"""),"SELL")</f>
        <v>SELL</v>
      </c>
      <c r="E209" s="21">
        <f>IFERROR(__xludf.DUMMYFUNCTION("""COMPUTED_VALUE"""),-1.0)</f>
        <v>-1</v>
      </c>
      <c r="F209" s="25">
        <f>IFERROR(__xludf.DUMMYFUNCTION("""COMPUTED_VALUE"""),188.55)</f>
        <v>188.55</v>
      </c>
      <c r="G209" s="10">
        <f>IFERROR(__xludf.DUMMYFUNCTION("""COMPUTED_VALUE"""),188.55)</f>
        <v>188.55</v>
      </c>
    </row>
    <row r="210">
      <c r="A210" s="24">
        <f>IFERROR(__xludf.DUMMYFUNCTION("""COMPUTED_VALUE"""),43857.0)</f>
        <v>43857</v>
      </c>
      <c r="B210" s="5" t="str">
        <f>IFERROR(__xludf.DUMMYFUNCTION("""COMPUTED_VALUE"""),"Intermediate US bonds (7-10 year)")</f>
        <v>Intermediate US bonds (7-10 year)</v>
      </c>
      <c r="C210" s="5" t="str">
        <f>IFERROR(__xludf.DUMMYFUNCTION("""COMPUTED_VALUE"""),"iShares Treasury Bond 7-10 UCITS")</f>
        <v>iShares Treasury Bond 7-10 UCITS</v>
      </c>
      <c r="D210" s="21" t="str">
        <f>IFERROR(__xludf.DUMMYFUNCTION("""COMPUTED_VALUE"""),"SELL")</f>
        <v>SELL</v>
      </c>
      <c r="E210" s="21">
        <f>IFERROR(__xludf.DUMMYFUNCTION("""COMPUTED_VALUE"""),-5.0)</f>
        <v>-5</v>
      </c>
      <c r="F210" s="25">
        <f>IFERROR(__xludf.DUMMYFUNCTION("""COMPUTED_VALUE"""),188.55)</f>
        <v>188.55</v>
      </c>
      <c r="G210" s="10">
        <f>IFERROR(__xludf.DUMMYFUNCTION("""COMPUTED_VALUE"""),942.75)</f>
        <v>942.75</v>
      </c>
    </row>
    <row r="211">
      <c r="A211" s="24">
        <f>IFERROR(__xludf.DUMMYFUNCTION("""COMPUTED_VALUE"""),43857.0)</f>
        <v>43857</v>
      </c>
      <c r="B211" s="5" t="str">
        <f>IFERROR(__xludf.DUMMYFUNCTION("""COMPUTED_VALUE"""),"Intermediate US bonds (7-10 year)")</f>
        <v>Intermediate US bonds (7-10 year)</v>
      </c>
      <c r="C211" s="5" t="str">
        <f>IFERROR(__xludf.DUMMYFUNCTION("""COMPUTED_VALUE"""),"iShares Treasury Bond 7-10 UCITS")</f>
        <v>iShares Treasury Bond 7-10 UCITS</v>
      </c>
      <c r="D211" s="21" t="str">
        <f>IFERROR(__xludf.DUMMYFUNCTION("""COMPUTED_VALUE"""),"SELL")</f>
        <v>SELL</v>
      </c>
      <c r="E211" s="21">
        <f>IFERROR(__xludf.DUMMYFUNCTION("""COMPUTED_VALUE"""),-6.0)</f>
        <v>-6</v>
      </c>
      <c r="F211" s="25">
        <f>IFERROR(__xludf.DUMMYFUNCTION("""COMPUTED_VALUE"""),188.3)</f>
        <v>188.3</v>
      </c>
      <c r="G211" s="10">
        <f>IFERROR(__xludf.DUMMYFUNCTION("""COMPUTED_VALUE"""),1129.8)</f>
        <v>1129.8</v>
      </c>
    </row>
    <row r="212">
      <c r="A212" s="24">
        <f>IFERROR(__xludf.DUMMYFUNCTION("""COMPUTED_VALUE"""),43851.0)</f>
        <v>43851</v>
      </c>
      <c r="B212" s="5"/>
      <c r="C212" s="5"/>
      <c r="D212" s="21" t="str">
        <f>IFERROR(__xludf.DUMMYFUNCTION("""COMPUTED_VALUE"""),"APPROVISIONNEMENT")</f>
        <v>APPROVISIONNEMENT</v>
      </c>
      <c r="E212" s="5"/>
      <c r="F212" s="5"/>
      <c r="G212" s="10">
        <f>IFERROR(__xludf.DUMMYFUNCTION("""COMPUTED_VALUE"""),-100.0)</f>
        <v>-100</v>
      </c>
    </row>
    <row r="213">
      <c r="A213" s="24">
        <f>IFERROR(__xludf.DUMMYFUNCTION("""COMPUTED_VALUE"""),43847.0)</f>
        <v>43847</v>
      </c>
      <c r="B213" s="5" t="str">
        <f>IFERROR(__xludf.DUMMYFUNCTION("""COMPUTED_VALUE"""),"Stocks")</f>
        <v>Stocks</v>
      </c>
      <c r="C213" s="5" t="str">
        <f>IFERROR(__xludf.DUMMYFUNCTION("""COMPUTED_VALUE"""),"Vanguard S&amp;P 500 UCITS")</f>
        <v>Vanguard S&amp;P 500 UCITS</v>
      </c>
      <c r="D213" s="21" t="str">
        <f>IFERROR(__xludf.DUMMYFUNCTION("""COMPUTED_VALUE"""),"SELL")</f>
        <v>SELL</v>
      </c>
      <c r="E213" s="21">
        <f>IFERROR(__xludf.DUMMYFUNCTION("""COMPUTED_VALUE"""),-18.0)</f>
        <v>-18</v>
      </c>
      <c r="F213" s="25">
        <f>IFERROR(__xludf.DUMMYFUNCTION("""COMPUTED_VALUE"""),56.835)</f>
        <v>56.835</v>
      </c>
      <c r="G213" s="10">
        <f>IFERROR(__xludf.DUMMYFUNCTION("""COMPUTED_VALUE"""),1023.03)</f>
        <v>1023.03</v>
      </c>
    </row>
    <row r="214">
      <c r="A214" s="24">
        <f>IFERROR(__xludf.DUMMYFUNCTION("""COMPUTED_VALUE"""),43844.0)</f>
        <v>43844</v>
      </c>
      <c r="B214" s="5"/>
      <c r="C214" s="5"/>
      <c r="D214" s="21" t="str">
        <f>IFERROR(__xludf.DUMMYFUNCTION("""COMPUTED_VALUE"""),"APPROVISIONNEMENT")</f>
        <v>APPROVISIONNEMENT</v>
      </c>
      <c r="E214" s="5"/>
      <c r="F214" s="5"/>
      <c r="G214" s="10">
        <f>IFERROR(__xludf.DUMMYFUNCTION("""COMPUTED_VALUE"""),-1000.0)</f>
        <v>-1000</v>
      </c>
    </row>
    <row r="215">
      <c r="A215" s="24">
        <f>IFERROR(__xludf.DUMMYFUNCTION("""COMPUTED_VALUE"""),43839.0)</f>
        <v>43839</v>
      </c>
      <c r="B215" s="5" t="str">
        <f>IFERROR(__xludf.DUMMYFUNCTION("""COMPUTED_VALUE"""),"Stocks")</f>
        <v>Stocks</v>
      </c>
      <c r="C215" s="5" t="str">
        <f>IFERROR(__xludf.DUMMYFUNCTION("""COMPUTED_VALUE"""),"Vanguard S&amp;P 500 UCITS")</f>
        <v>Vanguard S&amp;P 500 UCITS</v>
      </c>
      <c r="D215" s="21" t="str">
        <f>IFERROR(__xludf.DUMMYFUNCTION("""COMPUTED_VALUE"""),"SELL")</f>
        <v>SELL</v>
      </c>
      <c r="E215" s="21">
        <f>IFERROR(__xludf.DUMMYFUNCTION("""COMPUTED_VALUE"""),-20.0)</f>
        <v>-20</v>
      </c>
      <c r="F215" s="25">
        <f>IFERROR(__xludf.DUMMYFUNCTION("""COMPUTED_VALUE"""),55.99)</f>
        <v>55.99</v>
      </c>
      <c r="G215" s="10">
        <f>IFERROR(__xludf.DUMMYFUNCTION("""COMPUTED_VALUE"""),1119.8)</f>
        <v>1119.8</v>
      </c>
    </row>
    <row r="216">
      <c r="A216" s="24">
        <f>IFERROR(__xludf.DUMMYFUNCTION("""COMPUTED_VALUE"""),43839.0)</f>
        <v>43839</v>
      </c>
      <c r="B216" s="5" t="str">
        <f>IFERROR(__xludf.DUMMYFUNCTION("""COMPUTED_VALUE"""),"Stocks")</f>
        <v>Stocks</v>
      </c>
      <c r="C216" s="5" t="str">
        <f>IFERROR(__xludf.DUMMYFUNCTION("""COMPUTED_VALUE"""),"Vanguard S&amp;P 500 UCITS")</f>
        <v>Vanguard S&amp;P 500 UCITS</v>
      </c>
      <c r="D216" s="21" t="str">
        <f>IFERROR(__xludf.DUMMYFUNCTION("""COMPUTED_VALUE"""),"SELL")</f>
        <v>SELL</v>
      </c>
      <c r="E216" s="21">
        <f>IFERROR(__xludf.DUMMYFUNCTION("""COMPUTED_VALUE"""),-18.0)</f>
        <v>-18</v>
      </c>
      <c r="F216" s="25">
        <f>IFERROR(__xludf.DUMMYFUNCTION("""COMPUTED_VALUE"""),55.875)</f>
        <v>55.875</v>
      </c>
      <c r="G216" s="10">
        <f>IFERROR(__xludf.DUMMYFUNCTION("""COMPUTED_VALUE"""),1005.75)</f>
        <v>1005.75</v>
      </c>
    </row>
    <row r="217">
      <c r="A217" s="24">
        <f>IFERROR(__xludf.DUMMYFUNCTION("""COMPUTED_VALUE"""),43839.0)</f>
        <v>43839</v>
      </c>
      <c r="B217" s="5" t="str">
        <f>IFERROR(__xludf.DUMMYFUNCTION("""COMPUTED_VALUE"""),"Stocks")</f>
        <v>Stocks</v>
      </c>
      <c r="C217" s="5" t="str">
        <f>IFERROR(__xludf.DUMMYFUNCTION("""COMPUTED_VALUE"""),"Vanguard S&amp;P 500 UCITS")</f>
        <v>Vanguard S&amp;P 500 UCITS</v>
      </c>
      <c r="D217" s="21" t="str">
        <f>IFERROR(__xludf.DUMMYFUNCTION("""COMPUTED_VALUE"""),"SELL")</f>
        <v>SELL</v>
      </c>
      <c r="E217" s="21">
        <f>IFERROR(__xludf.DUMMYFUNCTION("""COMPUTED_VALUE"""),-31.0)</f>
        <v>-31</v>
      </c>
      <c r="F217" s="25">
        <f>IFERROR(__xludf.DUMMYFUNCTION("""COMPUTED_VALUE"""),55.8748)</f>
        <v>55.8748</v>
      </c>
      <c r="G217" s="10">
        <f>IFERROR(__xludf.DUMMYFUNCTION("""COMPUTED_VALUE"""),1732.12)</f>
        <v>1732.12</v>
      </c>
    </row>
    <row r="218">
      <c r="A218" s="24">
        <f>IFERROR(__xludf.DUMMYFUNCTION("""COMPUTED_VALUE"""),43837.0)</f>
        <v>43837</v>
      </c>
      <c r="B218" s="5"/>
      <c r="C218" s="5"/>
      <c r="D218" s="21" t="str">
        <f>IFERROR(__xludf.DUMMYFUNCTION("""COMPUTED_VALUE"""),"APPROVISIONNEMENT")</f>
        <v>APPROVISIONNEMENT</v>
      </c>
      <c r="E218" s="5"/>
      <c r="F218" s="5"/>
      <c r="G218" s="10">
        <f>IFERROR(__xludf.DUMMYFUNCTION("""COMPUTED_VALUE"""),-300.0)</f>
        <v>-300</v>
      </c>
    </row>
    <row r="219">
      <c r="A219" s="24">
        <f>IFERROR(__xludf.DUMMYFUNCTION("""COMPUTED_VALUE"""),43836.0)</f>
        <v>43836</v>
      </c>
      <c r="B219" s="5" t="str">
        <f>IFERROR(__xludf.DUMMYFUNCTION("""COMPUTED_VALUE"""),"Gold")</f>
        <v>Gold</v>
      </c>
      <c r="C219" s="5" t="str">
        <f>IFERROR(__xludf.DUMMYFUNCTION("""COMPUTED_VALUE"""),"ETFS Physical Gold")</f>
        <v>ETFS Physical Gold</v>
      </c>
      <c r="D219" s="21" t="str">
        <f>IFERROR(__xludf.DUMMYFUNCTION("""COMPUTED_VALUE"""),"SELL")</f>
        <v>SELL</v>
      </c>
      <c r="E219" s="21">
        <f>IFERROR(__xludf.DUMMYFUNCTION("""COMPUTED_VALUE"""),-5.0)</f>
        <v>-5</v>
      </c>
      <c r="F219" s="25">
        <f>IFERROR(__xludf.DUMMYFUNCTION("""COMPUTED_VALUE"""),134.05)</f>
        <v>134.05</v>
      </c>
      <c r="G219" s="10">
        <f>IFERROR(__xludf.DUMMYFUNCTION("""COMPUTED_VALUE"""),670.25)</f>
        <v>670.25</v>
      </c>
    </row>
    <row r="220">
      <c r="A220" s="24">
        <f>IFERROR(__xludf.DUMMYFUNCTION("""COMPUTED_VALUE"""),43831.0)</f>
        <v>43831</v>
      </c>
      <c r="B220" s="5"/>
      <c r="C220" s="5"/>
      <c r="D220" s="21" t="str">
        <f>IFERROR(__xludf.DUMMYFUNCTION("""COMPUTED_VALUE"""),"COST")</f>
        <v>COST</v>
      </c>
      <c r="E220" s="5"/>
      <c r="F220" s="5"/>
      <c r="G220" s="10">
        <f>IFERROR(__xludf.DUMMYFUNCTION("""COMPUTED_VALUE"""),-170.48000000000002)</f>
        <v>-170.48</v>
      </c>
    </row>
    <row r="221">
      <c r="A221" s="24">
        <f>IFERROR(__xludf.DUMMYFUNCTION("""COMPUTED_VALUE"""),43831.0)</f>
        <v>43831</v>
      </c>
      <c r="B221" s="5" t="str">
        <f>IFERROR(__xludf.DUMMYFUNCTION("""COMPUTED_VALUE"""),"Long term US bonds (20-25 year)")</f>
        <v>Long term US bonds (20-25 year)</v>
      </c>
      <c r="C221" s="5" t="str">
        <f>IFERROR(__xludf.DUMMYFUNCTION("""COMPUTED_VALUE"""),"iShares Treasury Bond 20+ UCITS")</f>
        <v>iShares Treasury Bond 20+ UCITS</v>
      </c>
      <c r="D221" s="5" t="str">
        <f>IFERROR(__xludf.DUMMYFUNCTION("""COMPUTED_VALUE"""),"DIVIDEND")</f>
        <v>DIVIDEND</v>
      </c>
      <c r="E221" s="5"/>
      <c r="F221" s="5"/>
      <c r="G221" s="10">
        <f>IFERROR(__xludf.DUMMYFUNCTION("""COMPUTED_VALUE"""),326.97)</f>
        <v>326.97</v>
      </c>
    </row>
    <row r="222">
      <c r="A222" s="24">
        <f>IFERROR(__xludf.DUMMYFUNCTION("""COMPUTED_VALUE"""),43831.0)</f>
        <v>43831</v>
      </c>
      <c r="B222" s="5" t="str">
        <f>IFERROR(__xludf.DUMMYFUNCTION("""COMPUTED_VALUE"""),"Stocks")</f>
        <v>Stocks</v>
      </c>
      <c r="C222" s="5" t="str">
        <f>IFERROR(__xludf.DUMMYFUNCTION("""COMPUTED_VALUE"""),"Vanguard S&amp;P 500 UCITS")</f>
        <v>Vanguard S&amp;P 500 UCITS</v>
      </c>
      <c r="D222" s="5" t="str">
        <f>IFERROR(__xludf.DUMMYFUNCTION("""COMPUTED_VALUE"""),"DIVIDEND")</f>
        <v>DIVIDEND</v>
      </c>
      <c r="E222" s="5"/>
      <c r="F222" s="5"/>
      <c r="G222" s="10">
        <f>IFERROR(__xludf.DUMMYFUNCTION("""COMPUTED_VALUE"""),-196.86)</f>
        <v>-196.86</v>
      </c>
    </row>
    <row r="223">
      <c r="A223" s="24">
        <f>IFERROR(__xludf.DUMMYFUNCTION("""COMPUTED_VALUE"""),43831.0)</f>
        <v>43831</v>
      </c>
      <c r="B223" s="5" t="str">
        <f>IFERROR(__xludf.DUMMYFUNCTION("""COMPUTED_VALUE"""),"Intermediate US bonds (7-10 year)")</f>
        <v>Intermediate US bonds (7-10 year)</v>
      </c>
      <c r="C223" s="5" t="str">
        <f>IFERROR(__xludf.DUMMYFUNCTION("""COMPUTED_VALUE"""),"iShares Treasury Bond 7-10 UCITS")</f>
        <v>iShares Treasury Bond 7-10 UCITS</v>
      </c>
      <c r="D223" s="5" t="str">
        <f>IFERROR(__xludf.DUMMYFUNCTION("""COMPUTED_VALUE"""),"DIVIDEND")</f>
        <v>DIVIDEND</v>
      </c>
      <c r="E223" s="5"/>
      <c r="F223" s="5"/>
      <c r="G223" s="10">
        <f>IFERROR(__xludf.DUMMYFUNCTION("""COMPUTED_VALUE"""),32.88)</f>
        <v>32.88</v>
      </c>
    </row>
    <row r="224">
      <c r="A224" s="24">
        <f>IFERROR(__xludf.DUMMYFUNCTION("""COMPUTED_VALUE"""),43831.0)</f>
        <v>43831</v>
      </c>
      <c r="B224" s="5"/>
      <c r="C224" s="5"/>
      <c r="D224" s="21" t="str">
        <f>IFERROR(__xludf.DUMMYFUNCTION("""COMPUTED_VALUE"""),"COST")</f>
        <v>COST</v>
      </c>
      <c r="E224" s="5"/>
      <c r="F224" s="5"/>
      <c r="G224" s="10">
        <f>IFERROR(__xludf.DUMMYFUNCTION("""COMPUTED_VALUE"""),582.23)</f>
        <v>582.23</v>
      </c>
    </row>
    <row r="225">
      <c r="A225" s="24">
        <f>IFERROR(__xludf.DUMMYFUNCTION("""COMPUTED_VALUE"""),43831.0)</f>
        <v>43831</v>
      </c>
      <c r="B225" s="5"/>
      <c r="C225" s="5"/>
      <c r="D225" s="21" t="str">
        <f>IFERROR(__xludf.DUMMYFUNCTION("""COMPUTED_VALUE"""),"APPROVISIONNEMENT")</f>
        <v>APPROVISIONNEMENT</v>
      </c>
      <c r="E225" s="5"/>
      <c r="F225" s="5"/>
      <c r="G225" s="10">
        <f>IFERROR(__xludf.DUMMYFUNCTION("""COMPUTED_VALUE"""),-582.23)</f>
        <v>-582.23</v>
      </c>
    </row>
    <row r="226">
      <c r="A226" s="24">
        <f>IFERROR(__xludf.DUMMYFUNCTION("""COMPUTED_VALUE"""),43830.0)</f>
        <v>43830</v>
      </c>
      <c r="B226" s="5"/>
      <c r="C226" s="5"/>
      <c r="D226" s="21" t="str">
        <f>IFERROR(__xludf.DUMMYFUNCTION("""COMPUTED_VALUE"""),"APPROVISIONNEMENT")</f>
        <v>APPROVISIONNEMENT</v>
      </c>
      <c r="E226" s="5"/>
      <c r="F226" s="5"/>
      <c r="G226" s="10">
        <f>IFERROR(__xludf.DUMMYFUNCTION("""COMPUTED_VALUE"""),29900.0)</f>
        <v>29900</v>
      </c>
    </row>
    <row r="227">
      <c r="A227" s="24">
        <f>IFERROR(__xludf.DUMMYFUNCTION("""COMPUTED_VALUE"""),43830.0)</f>
        <v>43830</v>
      </c>
      <c r="B227" s="5"/>
      <c r="C227" s="5"/>
      <c r="D227" s="21" t="str">
        <f>IFERROR(__xludf.DUMMYFUNCTION("""COMPUTED_VALUE"""),"COST")</f>
        <v>COST</v>
      </c>
      <c r="E227" s="5"/>
      <c r="F227" s="5"/>
      <c r="G227" s="10">
        <f>IFERROR(__xludf.DUMMYFUNCTION("""COMPUTED_VALUE"""),-348.96)</f>
        <v>-348.96</v>
      </c>
    </row>
    <row r="228">
      <c r="A228" s="24">
        <f>IFERROR(__xludf.DUMMYFUNCTION("""COMPUTED_VALUE"""),43826.0)</f>
        <v>43826</v>
      </c>
      <c r="B228" s="5" t="str">
        <f>IFERROR(__xludf.DUMMYFUNCTION("""COMPUTED_VALUE"""),"Stocks")</f>
        <v>Stocks</v>
      </c>
      <c r="C228" s="5" t="str">
        <f>IFERROR(__xludf.DUMMYFUNCTION("""COMPUTED_VALUE"""),"Vanguard S&amp;P 500 UCITS")</f>
        <v>Vanguard S&amp;P 500 UCITS</v>
      </c>
      <c r="D228" s="21" t="str">
        <f>IFERROR(__xludf.DUMMYFUNCTION("""COMPUTED_VALUE"""),"DIVIDEND")</f>
        <v>DIVIDEND</v>
      </c>
      <c r="E228" s="5"/>
      <c r="F228" s="5"/>
      <c r="G228" s="10">
        <f>IFERROR(__xludf.DUMMYFUNCTION("""COMPUTED_VALUE"""),736.7)</f>
        <v>736.7</v>
      </c>
    </row>
    <row r="229">
      <c r="A229" s="24">
        <f>IFERROR(__xludf.DUMMYFUNCTION("""COMPUTED_VALUE"""),43826.0)</f>
        <v>43826</v>
      </c>
      <c r="B229" s="5" t="str">
        <f>IFERROR(__xludf.DUMMYFUNCTION("""COMPUTED_VALUE"""),"Long term US bonds (20-25 year)")</f>
        <v>Long term US bonds (20-25 year)</v>
      </c>
      <c r="C229" s="5" t="str">
        <f>IFERROR(__xludf.DUMMYFUNCTION("""COMPUTED_VALUE"""),"iShares Treasury Bond 20+ UCITS")</f>
        <v>iShares Treasury Bond 20+ UCITS</v>
      </c>
      <c r="D229" s="21" t="str">
        <f>IFERROR(__xludf.DUMMYFUNCTION("""COMPUTED_VALUE"""),"DIVIDEND")</f>
        <v>DIVIDEND</v>
      </c>
      <c r="E229" s="5"/>
      <c r="F229" s="5"/>
      <c r="G229" s="10">
        <f>IFERROR(__xludf.DUMMYFUNCTION("""COMPUTED_VALUE"""),3360.26)</f>
        <v>3360.26</v>
      </c>
    </row>
    <row r="230">
      <c r="A230" s="24">
        <f>IFERROR(__xludf.DUMMYFUNCTION("""COMPUTED_VALUE"""),43826.0)</f>
        <v>43826</v>
      </c>
      <c r="B230" s="5" t="str">
        <f>IFERROR(__xludf.DUMMYFUNCTION("""COMPUTED_VALUE"""),"Long term US bonds (20-25 year)")</f>
        <v>Long term US bonds (20-25 year)</v>
      </c>
      <c r="C230" s="5" t="str">
        <f>IFERROR(__xludf.DUMMYFUNCTION("""COMPUTED_VALUE"""),"iShares Treasury Bond 20+ UCITS")</f>
        <v>iShares Treasury Bond 20+ UCITS</v>
      </c>
      <c r="D230" s="21" t="str">
        <f>IFERROR(__xludf.DUMMYFUNCTION("""COMPUTED_VALUE"""),"DIVIDEND")</f>
        <v>DIVIDEND</v>
      </c>
      <c r="E230" s="5"/>
      <c r="F230" s="5"/>
      <c r="G230" s="10">
        <f>IFERROR(__xludf.DUMMYFUNCTION("""COMPUTED_VALUE"""),-435.08)</f>
        <v>-435.08</v>
      </c>
    </row>
    <row r="231">
      <c r="A231" s="24">
        <f>IFERROR(__xludf.DUMMYFUNCTION("""COMPUTED_VALUE"""),43819.0)</f>
        <v>43819</v>
      </c>
      <c r="B231" s="5" t="str">
        <f>IFERROR(__xludf.DUMMYFUNCTION("""COMPUTED_VALUE"""),"Stocks")</f>
        <v>Stocks</v>
      </c>
      <c r="C231" s="5" t="str">
        <f>IFERROR(__xludf.DUMMYFUNCTION("""COMPUTED_VALUE"""),"Vanguard S&amp;P 500 UCITS")</f>
        <v>Vanguard S&amp;P 500 UCITS</v>
      </c>
      <c r="D231" s="21" t="str">
        <f>IFERROR(__xludf.DUMMYFUNCTION("""COMPUTED_VALUE"""),"SELL")</f>
        <v>SELL</v>
      </c>
      <c r="E231" s="21">
        <f>IFERROR(__xludf.DUMMYFUNCTION("""COMPUTED_VALUE"""),-21.0)</f>
        <v>-21</v>
      </c>
      <c r="F231" s="25">
        <f>IFERROR(__xludf.DUMMYFUNCTION("""COMPUTED_VALUE"""),55.11)</f>
        <v>55.11</v>
      </c>
      <c r="G231" s="10">
        <f>IFERROR(__xludf.DUMMYFUNCTION("""COMPUTED_VALUE"""),1157.31)</f>
        <v>1157.31</v>
      </c>
    </row>
    <row r="232">
      <c r="A232" s="24">
        <f>IFERROR(__xludf.DUMMYFUNCTION("""COMPUTED_VALUE"""),43819.0)</f>
        <v>43819</v>
      </c>
      <c r="B232" s="5" t="str">
        <f>IFERROR(__xludf.DUMMYFUNCTION("""COMPUTED_VALUE"""),"Stocks")</f>
        <v>Stocks</v>
      </c>
      <c r="C232" s="5" t="str">
        <f>IFERROR(__xludf.DUMMYFUNCTION("""COMPUTED_VALUE"""),"Vanguard S&amp;P 500 UCITS")</f>
        <v>Vanguard S&amp;P 500 UCITS</v>
      </c>
      <c r="D232" s="21" t="str">
        <f>IFERROR(__xludf.DUMMYFUNCTION("""COMPUTED_VALUE"""),"SELL")</f>
        <v>SELL</v>
      </c>
      <c r="E232" s="21">
        <f>IFERROR(__xludf.DUMMYFUNCTION("""COMPUTED_VALUE"""),-1.0)</f>
        <v>-1</v>
      </c>
      <c r="F232" s="25">
        <f>IFERROR(__xludf.DUMMYFUNCTION("""COMPUTED_VALUE"""),54.98)</f>
        <v>54.98</v>
      </c>
      <c r="G232" s="10">
        <f>IFERROR(__xludf.DUMMYFUNCTION("""COMPUTED_VALUE"""),54.98)</f>
        <v>54.98</v>
      </c>
    </row>
    <row r="233">
      <c r="A233" s="24">
        <f>IFERROR(__xludf.DUMMYFUNCTION("""COMPUTED_VALUE"""),43819.0)</f>
        <v>43819</v>
      </c>
      <c r="B233" s="5" t="str">
        <f>IFERROR(__xludf.DUMMYFUNCTION("""COMPUTED_VALUE"""),"Stocks")</f>
        <v>Stocks</v>
      </c>
      <c r="C233" s="5" t="str">
        <f>IFERROR(__xludf.DUMMYFUNCTION("""COMPUTED_VALUE"""),"Vanguard S&amp;P 500 UCITS")</f>
        <v>Vanguard S&amp;P 500 UCITS</v>
      </c>
      <c r="D233" s="21" t="str">
        <f>IFERROR(__xludf.DUMMYFUNCTION("""COMPUTED_VALUE"""),"SELL")</f>
        <v>SELL</v>
      </c>
      <c r="E233" s="21">
        <f>IFERROR(__xludf.DUMMYFUNCTION("""COMPUTED_VALUE"""),-18.0)</f>
        <v>-18</v>
      </c>
      <c r="F233" s="25">
        <f>IFERROR(__xludf.DUMMYFUNCTION("""COMPUTED_VALUE"""),54.98)</f>
        <v>54.98</v>
      </c>
      <c r="G233" s="10">
        <f>IFERROR(__xludf.DUMMYFUNCTION("""COMPUTED_VALUE"""),989.64)</f>
        <v>989.64</v>
      </c>
    </row>
    <row r="234">
      <c r="A234" s="24">
        <f>IFERROR(__xludf.DUMMYFUNCTION("""COMPUTED_VALUE"""),43819.0)</f>
        <v>43819</v>
      </c>
      <c r="B234" s="5" t="str">
        <f>IFERROR(__xludf.DUMMYFUNCTION("""COMPUTED_VALUE"""),"Stocks")</f>
        <v>Stocks</v>
      </c>
      <c r="C234" s="5" t="str">
        <f>IFERROR(__xludf.DUMMYFUNCTION("""COMPUTED_VALUE"""),"Vanguard S&amp;P 500 UCITS")</f>
        <v>Vanguard S&amp;P 500 UCITS</v>
      </c>
      <c r="D234" s="21" t="str">
        <f>IFERROR(__xludf.DUMMYFUNCTION("""COMPUTED_VALUE"""),"SELL")</f>
        <v>SELL</v>
      </c>
      <c r="E234" s="21">
        <f>IFERROR(__xludf.DUMMYFUNCTION("""COMPUTED_VALUE"""),-24.0)</f>
        <v>-24</v>
      </c>
      <c r="F234" s="25">
        <f>IFERROR(__xludf.DUMMYFUNCTION("""COMPUTED_VALUE"""),54.8579)</f>
        <v>54.8579</v>
      </c>
      <c r="G234" s="10">
        <f>IFERROR(__xludf.DUMMYFUNCTION("""COMPUTED_VALUE"""),1316.59)</f>
        <v>1316.59</v>
      </c>
    </row>
    <row r="235">
      <c r="A235" s="24">
        <f>IFERROR(__xludf.DUMMYFUNCTION("""COMPUTED_VALUE"""),43819.0)</f>
        <v>43819</v>
      </c>
      <c r="B235" s="5" t="str">
        <f>IFERROR(__xludf.DUMMYFUNCTION("""COMPUTED_VALUE"""),"Commodities")</f>
        <v>Commodities</v>
      </c>
      <c r="C235" s="5" t="str">
        <f>IFERROR(__xludf.DUMMYFUNCTION("""COMPUTED_VALUE"""),"ETFS All Commodities ETC")</f>
        <v>ETFS All Commodities ETC</v>
      </c>
      <c r="D235" s="21" t="str">
        <f>IFERROR(__xludf.DUMMYFUNCTION("""COMPUTED_VALUE"""),"SELL")</f>
        <v>SELL</v>
      </c>
      <c r="E235" s="21">
        <f>IFERROR(__xludf.DUMMYFUNCTION("""COMPUTED_VALUE"""),-164.0)</f>
        <v>-164</v>
      </c>
      <c r="F235" s="25">
        <f>IFERROR(__xludf.DUMMYFUNCTION("""COMPUTED_VALUE"""),7.46)</f>
        <v>7.46</v>
      </c>
      <c r="G235" s="10">
        <f>IFERROR(__xludf.DUMMYFUNCTION("""COMPUTED_VALUE"""),1223.44)</f>
        <v>1223.44</v>
      </c>
    </row>
    <row r="236">
      <c r="A236" s="24">
        <f>IFERROR(__xludf.DUMMYFUNCTION("""COMPUTED_VALUE"""),43819.0)</f>
        <v>43819</v>
      </c>
      <c r="B236" s="5" t="str">
        <f>IFERROR(__xludf.DUMMYFUNCTION("""COMPUTED_VALUE"""),"Stocks")</f>
        <v>Stocks</v>
      </c>
      <c r="C236" s="5" t="str">
        <f>IFERROR(__xludf.DUMMYFUNCTION("""COMPUTED_VALUE"""),"Vanguard S&amp;P 500 UCITS")</f>
        <v>Vanguard S&amp;P 500 UCITS</v>
      </c>
      <c r="D236" s="21" t="str">
        <f>IFERROR(__xludf.DUMMYFUNCTION("""COMPUTED_VALUE"""),"SELL")</f>
        <v>SELL</v>
      </c>
      <c r="E236" s="21">
        <f>IFERROR(__xludf.DUMMYFUNCTION("""COMPUTED_VALUE"""),-31.0)</f>
        <v>-31</v>
      </c>
      <c r="F236" s="25">
        <f>IFERROR(__xludf.DUMMYFUNCTION("""COMPUTED_VALUE"""),54.7319)</f>
        <v>54.7319</v>
      </c>
      <c r="G236" s="10">
        <f>IFERROR(__xludf.DUMMYFUNCTION("""COMPUTED_VALUE"""),1696.69)</f>
        <v>1696.69</v>
      </c>
    </row>
    <row r="237">
      <c r="A237" s="24">
        <f>IFERROR(__xludf.DUMMYFUNCTION("""COMPUTED_VALUE"""),43819.0)</f>
        <v>43819</v>
      </c>
      <c r="B237" s="5" t="str">
        <f>IFERROR(__xludf.DUMMYFUNCTION("""COMPUTED_VALUE"""),"Commodities")</f>
        <v>Commodities</v>
      </c>
      <c r="C237" s="5" t="str">
        <f>IFERROR(__xludf.DUMMYFUNCTION("""COMPUTED_VALUE"""),"ETFS All Commodities ETC")</f>
        <v>ETFS All Commodities ETC</v>
      </c>
      <c r="D237" s="21" t="str">
        <f>IFERROR(__xludf.DUMMYFUNCTION("""COMPUTED_VALUE"""),"SELL")</f>
        <v>SELL</v>
      </c>
      <c r="E237" s="21">
        <f>IFERROR(__xludf.DUMMYFUNCTION("""COMPUTED_VALUE"""),-10.0)</f>
        <v>-10</v>
      </c>
      <c r="F237" s="25">
        <f>IFERROR(__xludf.DUMMYFUNCTION("""COMPUTED_VALUE"""),7.46)</f>
        <v>7.46</v>
      </c>
      <c r="G237" s="10">
        <f>IFERROR(__xludf.DUMMYFUNCTION("""COMPUTED_VALUE"""),74.6)</f>
        <v>74.6</v>
      </c>
    </row>
    <row r="238">
      <c r="A238" s="24">
        <f>IFERROR(__xludf.DUMMYFUNCTION("""COMPUTED_VALUE"""),43817.0)</f>
        <v>43817</v>
      </c>
      <c r="B238" s="5" t="str">
        <f>IFERROR(__xludf.DUMMYFUNCTION("""COMPUTED_VALUE"""),"Stocks")</f>
        <v>Stocks</v>
      </c>
      <c r="C238" s="5" t="str">
        <f>IFERROR(__xludf.DUMMYFUNCTION("""COMPUTED_VALUE"""),"Vanguard S&amp;P 500 UCITS")</f>
        <v>Vanguard S&amp;P 500 UCITS</v>
      </c>
      <c r="D238" s="21" t="str">
        <f>IFERROR(__xludf.DUMMYFUNCTION("""COMPUTED_VALUE"""),"SELL")</f>
        <v>SELL</v>
      </c>
      <c r="E238" s="21">
        <f>IFERROR(__xludf.DUMMYFUNCTION("""COMPUTED_VALUE"""),-24.0)</f>
        <v>-24</v>
      </c>
      <c r="F238" s="25">
        <f>IFERROR(__xludf.DUMMYFUNCTION("""COMPUTED_VALUE"""),54.4408)</f>
        <v>54.4408</v>
      </c>
      <c r="G238" s="10">
        <f>IFERROR(__xludf.DUMMYFUNCTION("""COMPUTED_VALUE"""),1306.58)</f>
        <v>1306.58</v>
      </c>
    </row>
    <row r="239">
      <c r="A239" s="24">
        <f>IFERROR(__xludf.DUMMYFUNCTION("""COMPUTED_VALUE"""),43816.0)</f>
        <v>43816</v>
      </c>
      <c r="B239" s="5" t="str">
        <f>IFERROR(__xludf.DUMMYFUNCTION("""COMPUTED_VALUE"""),"Stocks")</f>
        <v>Stocks</v>
      </c>
      <c r="C239" s="5" t="str">
        <f>IFERROR(__xludf.DUMMYFUNCTION("""COMPUTED_VALUE"""),"Vanguard S&amp;P 500 UCITS")</f>
        <v>Vanguard S&amp;P 500 UCITS</v>
      </c>
      <c r="D239" s="21" t="str">
        <f>IFERROR(__xludf.DUMMYFUNCTION("""COMPUTED_VALUE"""),"SELL")</f>
        <v>SELL</v>
      </c>
      <c r="E239" s="21">
        <f>IFERROR(__xludf.DUMMYFUNCTION("""COMPUTED_VALUE"""),-19.0)</f>
        <v>-19</v>
      </c>
      <c r="F239" s="25">
        <f>IFERROR(__xludf.DUMMYFUNCTION("""COMPUTED_VALUE"""),54.2821)</f>
        <v>54.2821</v>
      </c>
      <c r="G239" s="10">
        <f>IFERROR(__xludf.DUMMYFUNCTION("""COMPUTED_VALUE"""),1031.36)</f>
        <v>1031.36</v>
      </c>
    </row>
    <row r="240">
      <c r="A240" s="24">
        <f>IFERROR(__xludf.DUMMYFUNCTION("""COMPUTED_VALUE"""),43811.0)</f>
        <v>43811</v>
      </c>
      <c r="B240" s="5"/>
      <c r="C240" s="5"/>
      <c r="D240" s="21" t="str">
        <f>IFERROR(__xludf.DUMMYFUNCTION("""COMPUTED_VALUE"""),"APPROVISIONNEMENT")</f>
        <v>APPROVISIONNEMENT</v>
      </c>
      <c r="E240" s="5"/>
      <c r="F240" s="5"/>
      <c r="G240" s="10">
        <f>IFERROR(__xludf.DUMMYFUNCTION("""COMPUTED_VALUE"""),-100.0)</f>
        <v>-100</v>
      </c>
    </row>
    <row r="241">
      <c r="A241" s="24">
        <f>IFERROR(__xludf.DUMMYFUNCTION("""COMPUTED_VALUE"""),43808.0)</f>
        <v>43808</v>
      </c>
      <c r="B241" s="5" t="str">
        <f>IFERROR(__xludf.DUMMYFUNCTION("""COMPUTED_VALUE"""),"Stocks")</f>
        <v>Stocks</v>
      </c>
      <c r="C241" s="5" t="str">
        <f>IFERROR(__xludf.DUMMYFUNCTION("""COMPUTED_VALUE"""),"Vanguard S&amp;P 500 UCITS")</f>
        <v>Vanguard S&amp;P 500 UCITS</v>
      </c>
      <c r="D241" s="21" t="str">
        <f>IFERROR(__xludf.DUMMYFUNCTION("""COMPUTED_VALUE"""),"SELL")</f>
        <v>SELL</v>
      </c>
      <c r="E241" s="21">
        <f>IFERROR(__xludf.DUMMYFUNCTION("""COMPUTED_VALUE"""),-17.0)</f>
        <v>-17</v>
      </c>
      <c r="F241" s="25">
        <f>IFERROR(__xludf.DUMMYFUNCTION("""COMPUTED_VALUE"""),54.11)</f>
        <v>54.11</v>
      </c>
      <c r="G241" s="10">
        <f>IFERROR(__xludf.DUMMYFUNCTION("""COMPUTED_VALUE"""),919.87)</f>
        <v>919.87</v>
      </c>
    </row>
    <row r="242">
      <c r="A242" s="24">
        <f>IFERROR(__xludf.DUMMYFUNCTION("""COMPUTED_VALUE"""),43804.0)</f>
        <v>43804</v>
      </c>
      <c r="B242" s="5"/>
      <c r="C242" s="5"/>
      <c r="D242" s="21" t="str">
        <f>IFERROR(__xludf.DUMMYFUNCTION("""COMPUTED_VALUE"""),"APPROVISIONNEMENT")</f>
        <v>APPROVISIONNEMENT</v>
      </c>
      <c r="E242" s="5"/>
      <c r="F242" s="5"/>
      <c r="G242" s="10">
        <f>IFERROR(__xludf.DUMMYFUNCTION("""COMPUTED_VALUE"""),-100.0)</f>
        <v>-100</v>
      </c>
    </row>
    <row r="243">
      <c r="A243" s="24">
        <f>IFERROR(__xludf.DUMMYFUNCTION("""COMPUTED_VALUE"""),43799.0)</f>
        <v>43799</v>
      </c>
      <c r="B243" s="5"/>
      <c r="C243" s="5"/>
      <c r="D243" s="21" t="str">
        <f>IFERROR(__xludf.DUMMYFUNCTION("""COMPUTED_VALUE"""),"COST")</f>
        <v>COST</v>
      </c>
      <c r="E243" s="5"/>
      <c r="F243" s="5"/>
      <c r="G243" s="10">
        <f>IFERROR(__xludf.DUMMYFUNCTION("""COMPUTED_VALUE"""),-382.12)</f>
        <v>-382.12</v>
      </c>
    </row>
    <row r="244">
      <c r="A244" s="24">
        <f>IFERROR(__xludf.DUMMYFUNCTION("""COMPUTED_VALUE"""),43797.0)</f>
        <v>43797</v>
      </c>
      <c r="B244" s="5" t="str">
        <f>IFERROR(__xludf.DUMMYFUNCTION("""COMPUTED_VALUE"""),"Intermediate US bonds (7-10 year)")</f>
        <v>Intermediate US bonds (7-10 year)</v>
      </c>
      <c r="C244" s="5" t="str">
        <f>IFERROR(__xludf.DUMMYFUNCTION("""COMPUTED_VALUE"""),"iShares Treasury Bond 7-10 UCITS")</f>
        <v>iShares Treasury Bond 7-10 UCITS</v>
      </c>
      <c r="D244" s="21" t="str">
        <f>IFERROR(__xludf.DUMMYFUNCTION("""COMPUTED_VALUE"""),"DIVIDEND")</f>
        <v>DIVIDEND</v>
      </c>
      <c r="E244" s="5"/>
      <c r="F244" s="5"/>
      <c r="G244" s="10">
        <f>IFERROR(__xludf.DUMMYFUNCTION("""COMPUTED_VALUE"""),-124.33)</f>
        <v>-124.33</v>
      </c>
    </row>
    <row r="245">
      <c r="A245" s="24">
        <f>IFERROR(__xludf.DUMMYFUNCTION("""COMPUTED_VALUE"""),43796.0)</f>
        <v>43796</v>
      </c>
      <c r="B245" s="5" t="str">
        <f>IFERROR(__xludf.DUMMYFUNCTION("""COMPUTED_VALUE"""),"Intermediate US bonds (7-10 year)")</f>
        <v>Intermediate US bonds (7-10 year)</v>
      </c>
      <c r="C245" s="5" t="str">
        <f>IFERROR(__xludf.DUMMYFUNCTION("""COMPUTED_VALUE"""),"iShares Treasury Bond 7-10 UCITS")</f>
        <v>iShares Treasury Bond 7-10 UCITS</v>
      </c>
      <c r="D245" s="21" t="str">
        <f>IFERROR(__xludf.DUMMYFUNCTION("""COMPUTED_VALUE"""),"DIVIDEND")</f>
        <v>DIVIDEND</v>
      </c>
      <c r="E245" s="5"/>
      <c r="F245" s="5"/>
      <c r="G245" s="10">
        <f>IFERROR(__xludf.DUMMYFUNCTION("""COMPUTED_VALUE"""),1342.46)</f>
        <v>1342.46</v>
      </c>
    </row>
    <row r="246">
      <c r="A246" s="24">
        <f>IFERROR(__xludf.DUMMYFUNCTION("""COMPUTED_VALUE"""),43795.0)</f>
        <v>43795</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IFERROR(__xludf.DUMMYFUNCTION("""COMPUTED_VALUE"""),-1.0)</f>
        <v>-1</v>
      </c>
      <c r="F246" s="25">
        <f>IFERROR(__xludf.DUMMYFUNCTION("""COMPUTED_VALUE"""),54.18)</f>
        <v>54.18</v>
      </c>
      <c r="G246" s="10">
        <f>IFERROR(__xludf.DUMMYFUNCTION("""COMPUTED_VALUE"""),54.18)</f>
        <v>54.18</v>
      </c>
    </row>
    <row r="247">
      <c r="A247" s="24">
        <f>IFERROR(__xludf.DUMMYFUNCTION("""COMPUTED_VALUE"""),43795.0)</f>
        <v>43795</v>
      </c>
      <c r="B247" s="5" t="str">
        <f>IFERROR(__xludf.DUMMYFUNCTION("""COMPUTED_VALUE"""),"Stocks")</f>
        <v>Stocks</v>
      </c>
      <c r="C247" s="5" t="str">
        <f>IFERROR(__xludf.DUMMYFUNCTION("""COMPUTED_VALUE"""),"Vanguard S&amp;P 500 UCITS")</f>
        <v>Vanguard S&amp;P 500 UCITS</v>
      </c>
      <c r="D247" s="21" t="str">
        <f>IFERROR(__xludf.DUMMYFUNCTION("""COMPUTED_VALUE"""),"SELL")</f>
        <v>SELL</v>
      </c>
      <c r="E247" s="21">
        <f>IFERROR(__xludf.DUMMYFUNCTION("""COMPUTED_VALUE"""),-1.0)</f>
        <v>-1</v>
      </c>
      <c r="F247" s="25">
        <f>IFERROR(__xludf.DUMMYFUNCTION("""COMPUTED_VALUE"""),54.18)</f>
        <v>54.18</v>
      </c>
      <c r="G247" s="10">
        <f>IFERROR(__xludf.DUMMYFUNCTION("""COMPUTED_VALUE"""),54.18)</f>
        <v>54.18</v>
      </c>
    </row>
    <row r="248">
      <c r="A248" s="24">
        <f>IFERROR(__xludf.DUMMYFUNCTION("""COMPUTED_VALUE"""),43795.0)</f>
        <v>43795</v>
      </c>
      <c r="B248" s="5" t="str">
        <f>IFERROR(__xludf.DUMMYFUNCTION("""COMPUTED_VALUE"""),"Stocks")</f>
        <v>Stocks</v>
      </c>
      <c r="C248" s="5" t="str">
        <f>IFERROR(__xludf.DUMMYFUNCTION("""COMPUTED_VALUE"""),"Vanguard S&amp;P 500 UCITS")</f>
        <v>Vanguard S&amp;P 500 UCITS</v>
      </c>
      <c r="D248" s="21" t="str">
        <f>IFERROR(__xludf.DUMMYFUNCTION("""COMPUTED_VALUE"""),"SELL")</f>
        <v>SELL</v>
      </c>
      <c r="E248" s="21">
        <f>IFERROR(__xludf.DUMMYFUNCTION("""COMPUTED_VALUE"""),-18.0)</f>
        <v>-18</v>
      </c>
      <c r="F248" s="25">
        <f>IFERROR(__xludf.DUMMYFUNCTION("""COMPUTED_VALUE"""),54.18)</f>
        <v>54.18</v>
      </c>
      <c r="G248" s="10">
        <f>IFERROR(__xludf.DUMMYFUNCTION("""COMPUTED_VALUE"""),975.24)</f>
        <v>975.24</v>
      </c>
    </row>
    <row r="249">
      <c r="A249" s="24">
        <f>IFERROR(__xludf.DUMMYFUNCTION("""COMPUTED_VALUE"""),43795.0)</f>
        <v>43795</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IFERROR(__xludf.DUMMYFUNCTION("""COMPUTED_VALUE"""),-1.0)</f>
        <v>-1</v>
      </c>
      <c r="F249" s="25">
        <f>IFERROR(__xludf.DUMMYFUNCTION("""COMPUTED_VALUE"""),54.18)</f>
        <v>54.18</v>
      </c>
      <c r="G249" s="10">
        <f>IFERROR(__xludf.DUMMYFUNCTION("""COMPUTED_VALUE"""),54.18)</f>
        <v>54.18</v>
      </c>
    </row>
    <row r="250">
      <c r="A250" s="24">
        <f>IFERROR(__xludf.DUMMYFUNCTION("""COMPUTED_VALUE"""),43795.0)</f>
        <v>43795</v>
      </c>
      <c r="B250" s="5" t="str">
        <f>IFERROR(__xludf.DUMMYFUNCTION("""COMPUTED_VALUE"""),"Stocks")</f>
        <v>Stocks</v>
      </c>
      <c r="C250" s="5" t="str">
        <f>IFERROR(__xludf.DUMMYFUNCTION("""COMPUTED_VALUE"""),"Vanguard S&amp;P 500 UCITS")</f>
        <v>Vanguard S&amp;P 500 UCITS</v>
      </c>
      <c r="D250" s="21" t="str">
        <f>IFERROR(__xludf.DUMMYFUNCTION("""COMPUTED_VALUE"""),"SELL")</f>
        <v>SELL</v>
      </c>
      <c r="E250" s="21">
        <f>IFERROR(__xludf.DUMMYFUNCTION("""COMPUTED_VALUE"""),-1.0)</f>
        <v>-1</v>
      </c>
      <c r="F250" s="25">
        <f>IFERROR(__xludf.DUMMYFUNCTION("""COMPUTED_VALUE"""),54.18)</f>
        <v>54.18</v>
      </c>
      <c r="G250" s="10">
        <f>IFERROR(__xludf.DUMMYFUNCTION("""COMPUTED_VALUE"""),54.18)</f>
        <v>54.18</v>
      </c>
    </row>
    <row r="251">
      <c r="A251" s="24">
        <f>IFERROR(__xludf.DUMMYFUNCTION("""COMPUTED_VALUE"""),43782.0)</f>
        <v>43782</v>
      </c>
      <c r="B251" s="5" t="str">
        <f>IFERROR(__xludf.DUMMYFUNCTION("""COMPUTED_VALUE"""),"Intermediate US bonds (7-10 year)")</f>
        <v>Intermediate US bonds (7-10 year)</v>
      </c>
      <c r="C251" s="5" t="str">
        <f>IFERROR(__xludf.DUMMYFUNCTION("""COMPUTED_VALUE"""),"iShares Treasury Bond 7-10 UCITS")</f>
        <v>iShares Treasury Bond 7-10 UCITS</v>
      </c>
      <c r="D251" s="21" t="str">
        <f>IFERROR(__xludf.DUMMYFUNCTION("""COMPUTED_VALUE"""),"SELL")</f>
        <v>SELL</v>
      </c>
      <c r="E251" s="21">
        <f>IFERROR(__xludf.DUMMYFUNCTION("""COMPUTED_VALUE"""),-4.0)</f>
        <v>-4</v>
      </c>
      <c r="F251" s="25">
        <f>IFERROR(__xludf.DUMMYFUNCTION("""COMPUTED_VALUE"""),186.43)</f>
        <v>186.43</v>
      </c>
      <c r="G251" s="10">
        <f>IFERROR(__xludf.DUMMYFUNCTION("""COMPUTED_VALUE"""),745.72)</f>
        <v>745.72</v>
      </c>
    </row>
    <row r="252">
      <c r="A252" s="24">
        <f>IFERROR(__xludf.DUMMYFUNCTION("""COMPUTED_VALUE"""),43781.0)</f>
        <v>43781</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IFERROR(__xludf.DUMMYFUNCTION("""COMPUTED_VALUE"""),-21.0)</f>
        <v>-21</v>
      </c>
      <c r="F252" s="25">
        <f>IFERROR(__xludf.DUMMYFUNCTION("""COMPUTED_VALUE"""),53.4362)</f>
        <v>53.4362</v>
      </c>
      <c r="G252" s="10">
        <f>IFERROR(__xludf.DUMMYFUNCTION("""COMPUTED_VALUE"""),1122.16)</f>
        <v>1122.16</v>
      </c>
    </row>
    <row r="253">
      <c r="A253" s="24">
        <f>IFERROR(__xludf.DUMMYFUNCTION("""COMPUTED_VALUE"""),43781.0)</f>
        <v>43781</v>
      </c>
      <c r="B253" s="5" t="str">
        <f>IFERROR(__xludf.DUMMYFUNCTION("""COMPUTED_VALUE"""),"Stocks")</f>
        <v>Stocks</v>
      </c>
      <c r="C253" s="5" t="str">
        <f>IFERROR(__xludf.DUMMYFUNCTION("""COMPUTED_VALUE"""),"Vanguard S&amp;P 500 UCITS")</f>
        <v>Vanguard S&amp;P 500 UCITS</v>
      </c>
      <c r="D253" s="21" t="str">
        <f>IFERROR(__xludf.DUMMYFUNCTION("""COMPUTED_VALUE"""),"SELL")</f>
        <v>SELL</v>
      </c>
      <c r="E253" s="21">
        <f>IFERROR(__xludf.DUMMYFUNCTION("""COMPUTED_VALUE"""),-19.0)</f>
        <v>-19</v>
      </c>
      <c r="F253" s="25">
        <f>IFERROR(__xludf.DUMMYFUNCTION("""COMPUTED_VALUE"""),53.4011)</f>
        <v>53.4011</v>
      </c>
      <c r="G253" s="10">
        <f>IFERROR(__xludf.DUMMYFUNCTION("""COMPUTED_VALUE"""),1014.62)</f>
        <v>1014.62</v>
      </c>
    </row>
    <row r="254">
      <c r="A254" s="24">
        <f>IFERROR(__xludf.DUMMYFUNCTION("""COMPUTED_VALUE"""),43774.0)</f>
        <v>43774</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IFERROR(__xludf.DUMMYFUNCTION("""COMPUTED_VALUE"""),-15.0)</f>
        <v>-15</v>
      </c>
      <c r="F254" s="25">
        <f>IFERROR(__xludf.DUMMYFUNCTION("""COMPUTED_VALUE"""),52.7)</f>
        <v>52.7</v>
      </c>
      <c r="G254" s="10">
        <f>IFERROR(__xludf.DUMMYFUNCTION("""COMPUTED_VALUE"""),790.5)</f>
        <v>790.5</v>
      </c>
    </row>
    <row r="255">
      <c r="A255" s="24">
        <f>IFERROR(__xludf.DUMMYFUNCTION("""COMPUTED_VALUE"""),43774.0)</f>
        <v>43774</v>
      </c>
      <c r="B255" s="5" t="str">
        <f>IFERROR(__xludf.DUMMYFUNCTION("""COMPUTED_VALUE"""),"Stocks")</f>
        <v>Stocks</v>
      </c>
      <c r="C255" s="5" t="str">
        <f>IFERROR(__xludf.DUMMYFUNCTION("""COMPUTED_VALUE"""),"Vanguard S&amp;P 500 UCITS")</f>
        <v>Vanguard S&amp;P 500 UCITS</v>
      </c>
      <c r="D255" s="21" t="str">
        <f>IFERROR(__xludf.DUMMYFUNCTION("""COMPUTED_VALUE"""),"SELL")</f>
        <v>SELL</v>
      </c>
      <c r="E255" s="21">
        <f>IFERROR(__xludf.DUMMYFUNCTION("""COMPUTED_VALUE"""),-4.0)</f>
        <v>-4</v>
      </c>
      <c r="F255" s="25">
        <f>IFERROR(__xludf.DUMMYFUNCTION("""COMPUTED_VALUE"""),52.7)</f>
        <v>52.7</v>
      </c>
      <c r="G255" s="10">
        <f>IFERROR(__xludf.DUMMYFUNCTION("""COMPUTED_VALUE"""),210.8)</f>
        <v>210.8</v>
      </c>
    </row>
    <row r="256">
      <c r="A256" s="24">
        <f>IFERROR(__xludf.DUMMYFUNCTION("""COMPUTED_VALUE"""),43774.0)</f>
        <v>43774</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IFERROR(__xludf.DUMMYFUNCTION("""COMPUTED_VALUE"""),-33.0)</f>
        <v>-33</v>
      </c>
      <c r="F256" s="25">
        <f>IFERROR(__xludf.DUMMYFUNCTION("""COMPUTED_VALUE"""),52.67)</f>
        <v>52.67</v>
      </c>
      <c r="G256" s="10">
        <f>IFERROR(__xludf.DUMMYFUNCTION("""COMPUTED_VALUE"""),1738.11)</f>
        <v>1738.11</v>
      </c>
    </row>
    <row r="257">
      <c r="A257" s="24">
        <f>IFERROR(__xludf.DUMMYFUNCTION("""COMPUTED_VALUE"""),43774.0)</f>
        <v>43774</v>
      </c>
      <c r="B257" s="5" t="str">
        <f>IFERROR(__xludf.DUMMYFUNCTION("""COMPUTED_VALUE"""),"Commodities")</f>
        <v>Commodities</v>
      </c>
      <c r="C257" s="5" t="str">
        <f>IFERROR(__xludf.DUMMYFUNCTION("""COMPUTED_VALUE"""),"ETFS All Commodities ETC")</f>
        <v>ETFS All Commodities ETC</v>
      </c>
      <c r="D257" s="21" t="str">
        <f>IFERROR(__xludf.DUMMYFUNCTION("""COMPUTED_VALUE"""),"SELL")</f>
        <v>SELL</v>
      </c>
      <c r="E257" s="21">
        <f>IFERROR(__xludf.DUMMYFUNCTION("""COMPUTED_VALUE"""),-200.0)</f>
        <v>-200</v>
      </c>
      <c r="F257" s="25">
        <f>IFERROR(__xludf.DUMMYFUNCTION("""COMPUTED_VALUE"""),7.45)</f>
        <v>7.45</v>
      </c>
      <c r="G257" s="10">
        <f>IFERROR(__xludf.DUMMYFUNCTION("""COMPUTED_VALUE"""),1490.0)</f>
        <v>1490</v>
      </c>
    </row>
    <row r="258">
      <c r="A258" s="24">
        <f>IFERROR(__xludf.DUMMYFUNCTION("""COMPUTED_VALUE"""),43774.0)</f>
        <v>43774</v>
      </c>
      <c r="B258" s="5" t="str">
        <f>IFERROR(__xludf.DUMMYFUNCTION("""COMPUTED_VALUE"""),"Stocks")</f>
        <v>Stocks</v>
      </c>
      <c r="C258" s="5" t="str">
        <f>IFERROR(__xludf.DUMMYFUNCTION("""COMPUTED_VALUE"""),"Vanguard S&amp;P 500 UCITS")</f>
        <v>Vanguard S&amp;P 500 UCITS</v>
      </c>
      <c r="D258" s="21" t="str">
        <f>IFERROR(__xludf.DUMMYFUNCTION("""COMPUTED_VALUE"""),"SELL")</f>
        <v>SELL</v>
      </c>
      <c r="E258" s="21">
        <f>IFERROR(__xludf.DUMMYFUNCTION("""COMPUTED_VALUE"""),-30.0)</f>
        <v>-30</v>
      </c>
      <c r="F258" s="25">
        <f>IFERROR(__xludf.DUMMYFUNCTION("""COMPUTED_VALUE"""),52.581)</f>
        <v>52.581</v>
      </c>
      <c r="G258" s="10">
        <f>IFERROR(__xludf.DUMMYFUNCTION("""COMPUTED_VALUE"""),1577.43)</f>
        <v>1577.43</v>
      </c>
    </row>
    <row r="259">
      <c r="A259" s="24">
        <f>IFERROR(__xludf.DUMMYFUNCTION("""COMPUTED_VALUE"""),43774.0)</f>
        <v>43774</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IFERROR(__xludf.DUMMYFUNCTION("""COMPUTED_VALUE"""),-5.0)</f>
        <v>-5</v>
      </c>
      <c r="F259" s="25">
        <f>IFERROR(__xludf.DUMMYFUNCTION("""COMPUTED_VALUE"""),52.58)</f>
        <v>52.58</v>
      </c>
      <c r="G259" s="10">
        <f>IFERROR(__xludf.DUMMYFUNCTION("""COMPUTED_VALUE"""),262.9)</f>
        <v>262.9</v>
      </c>
    </row>
    <row r="260">
      <c r="A260" s="24">
        <f>IFERROR(__xludf.DUMMYFUNCTION("""COMPUTED_VALUE"""),43774.0)</f>
        <v>43774</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IFERROR(__xludf.DUMMYFUNCTION("""COMPUTED_VALUE"""),-5.0)</f>
        <v>-5</v>
      </c>
      <c r="F260" s="25">
        <f>IFERROR(__xludf.DUMMYFUNCTION("""COMPUTED_VALUE"""),52.58)</f>
        <v>52.58</v>
      </c>
      <c r="G260" s="10">
        <f>IFERROR(__xludf.DUMMYFUNCTION("""COMPUTED_VALUE"""),262.9)</f>
        <v>262.9</v>
      </c>
    </row>
    <row r="261">
      <c r="A261" s="24">
        <f>IFERROR(__xludf.DUMMYFUNCTION("""COMPUTED_VALUE"""),43773.0)</f>
        <v>43773</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IFERROR(__xludf.DUMMYFUNCTION("""COMPUTED_VALUE"""),-24.0)</f>
        <v>-24</v>
      </c>
      <c r="F261" s="25">
        <f>IFERROR(__xludf.DUMMYFUNCTION("""COMPUTED_VALUE"""),52.4829)</f>
        <v>52.4829</v>
      </c>
      <c r="G261" s="10">
        <f>IFERROR(__xludf.DUMMYFUNCTION("""COMPUTED_VALUE"""),1259.59)</f>
        <v>1259.59</v>
      </c>
    </row>
    <row r="262">
      <c r="A262" s="24">
        <f>IFERROR(__xludf.DUMMYFUNCTION("""COMPUTED_VALUE"""),43773.0)</f>
        <v>43773</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IFERROR(__xludf.DUMMYFUNCTION("""COMPUTED_VALUE"""),-16.0)</f>
        <v>-16</v>
      </c>
      <c r="F262" s="25">
        <f>IFERROR(__xludf.DUMMYFUNCTION("""COMPUTED_VALUE"""),52.4231)</f>
        <v>52.4231</v>
      </c>
      <c r="G262" s="10">
        <f>IFERROR(__xludf.DUMMYFUNCTION("""COMPUTED_VALUE"""),838.77)</f>
        <v>838.77</v>
      </c>
    </row>
    <row r="263">
      <c r="A263" s="24">
        <f>IFERROR(__xludf.DUMMYFUNCTION("""COMPUTED_VALUE"""),43773.0)</f>
        <v>43773</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IFERROR(__xludf.DUMMYFUNCTION("""COMPUTED_VALUE"""),-10.0)</f>
        <v>-10</v>
      </c>
      <c r="F263" s="25">
        <f>IFERROR(__xludf.DUMMYFUNCTION("""COMPUTED_VALUE"""),52.423)</f>
        <v>52.423</v>
      </c>
      <c r="G263" s="10">
        <f>IFERROR(__xludf.DUMMYFUNCTION("""COMPUTED_VALUE"""),524.23)</f>
        <v>524.23</v>
      </c>
    </row>
    <row r="264">
      <c r="A264" s="24">
        <f>IFERROR(__xludf.DUMMYFUNCTION("""COMPUTED_VALUE"""),43773.0)</f>
        <v>43773</v>
      </c>
      <c r="B264" s="5" t="str">
        <f>IFERROR(__xludf.DUMMYFUNCTION("""COMPUTED_VALUE"""),"Commodities")</f>
        <v>Commodities</v>
      </c>
      <c r="C264" s="5" t="str">
        <f>IFERROR(__xludf.DUMMYFUNCTION("""COMPUTED_VALUE"""),"ETFS All Commodities ETC")</f>
        <v>ETFS All Commodities ETC</v>
      </c>
      <c r="D264" s="21" t="str">
        <f>IFERROR(__xludf.DUMMYFUNCTION("""COMPUTED_VALUE"""),"SELL")</f>
        <v>SELL</v>
      </c>
      <c r="E264" s="21">
        <f>IFERROR(__xludf.DUMMYFUNCTION("""COMPUTED_VALUE"""),-562.0)</f>
        <v>-562</v>
      </c>
      <c r="F264" s="25">
        <f>IFERROR(__xludf.DUMMYFUNCTION("""COMPUTED_VALUE"""),7.415)</f>
        <v>7.415</v>
      </c>
      <c r="G264" s="10">
        <f>IFERROR(__xludf.DUMMYFUNCTION("""COMPUTED_VALUE"""),4167.23)</f>
        <v>4167.23</v>
      </c>
    </row>
    <row r="265">
      <c r="A265" s="24">
        <f>IFERROR(__xludf.DUMMYFUNCTION("""COMPUTED_VALUE"""),43773.0)</f>
        <v>43773</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IFERROR(__xludf.DUMMYFUNCTION("""COMPUTED_VALUE"""),-14.0)</f>
        <v>-14</v>
      </c>
      <c r="F265" s="25">
        <f>IFERROR(__xludf.DUMMYFUNCTION("""COMPUTED_VALUE"""),52.365)</f>
        <v>52.365</v>
      </c>
      <c r="G265" s="10">
        <f>IFERROR(__xludf.DUMMYFUNCTION("""COMPUTED_VALUE"""),733.11)</f>
        <v>733.11</v>
      </c>
    </row>
    <row r="266">
      <c r="A266" s="24">
        <f>IFERROR(__xludf.DUMMYFUNCTION("""COMPUTED_VALUE"""),43773.0)</f>
        <v>43773</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IFERROR(__xludf.DUMMYFUNCTION("""COMPUTED_VALUE"""),-7.0)</f>
        <v>-7</v>
      </c>
      <c r="F266" s="25">
        <f>IFERROR(__xludf.DUMMYFUNCTION("""COMPUTED_VALUE"""),52.3657)</f>
        <v>52.3657</v>
      </c>
      <c r="G266" s="10">
        <f>IFERROR(__xludf.DUMMYFUNCTION("""COMPUTED_VALUE"""),366.56)</f>
        <v>366.56</v>
      </c>
    </row>
    <row r="267">
      <c r="A267" s="24">
        <f>IFERROR(__xludf.DUMMYFUNCTION("""COMPUTED_VALUE"""),43773.0)</f>
        <v>43773</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IFERROR(__xludf.DUMMYFUNCTION("""COMPUTED_VALUE"""),-24.0)</f>
        <v>-24</v>
      </c>
      <c r="F267" s="25">
        <f>IFERROR(__xludf.DUMMYFUNCTION("""COMPUTED_VALUE"""),52.28)</f>
        <v>52.28</v>
      </c>
      <c r="G267" s="10">
        <f>IFERROR(__xludf.DUMMYFUNCTION("""COMPUTED_VALUE"""),1254.72)</f>
        <v>1254.72</v>
      </c>
    </row>
    <row r="268">
      <c r="A268" s="24">
        <f>IFERROR(__xludf.DUMMYFUNCTION("""COMPUTED_VALUE"""),43770.0)</f>
        <v>43770</v>
      </c>
      <c r="B268" s="5"/>
      <c r="C268" s="5"/>
      <c r="D268" s="21" t="str">
        <f>IFERROR(__xludf.DUMMYFUNCTION("""COMPUTED_VALUE"""),"APPROVISIONNEMENT")</f>
        <v>APPROVISIONNEMENT</v>
      </c>
      <c r="E268" s="5"/>
      <c r="F268" s="5"/>
      <c r="G268" s="10">
        <f>IFERROR(__xludf.DUMMYFUNCTION("""COMPUTED_VALUE"""),-13700.0)</f>
        <v>-13700</v>
      </c>
    </row>
    <row r="269">
      <c r="A269" s="24">
        <f>IFERROR(__xludf.DUMMYFUNCTION("""COMPUTED_VALUE"""),43769.0)</f>
        <v>43769</v>
      </c>
      <c r="B269" s="5"/>
      <c r="C269" s="5"/>
      <c r="D269" s="21" t="str">
        <f>IFERROR(__xludf.DUMMYFUNCTION("""COMPUTED_VALUE"""),"COST")</f>
        <v>COST</v>
      </c>
      <c r="E269" s="5"/>
      <c r="F269" s="5"/>
      <c r="G269" s="10">
        <f>IFERROR(__xludf.DUMMYFUNCTION("""COMPUTED_VALUE"""),-369.69)</f>
        <v>-369.69</v>
      </c>
    </row>
    <row r="270">
      <c r="A270" s="24">
        <f>IFERROR(__xludf.DUMMYFUNCTION("""COMPUTED_VALUE"""),43766.0)</f>
        <v>43766</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IFERROR(__xludf.DUMMYFUNCTION("""COMPUTED_VALUE"""),-22.0)</f>
        <v>-22</v>
      </c>
      <c r="F270" s="25">
        <f>IFERROR(__xludf.DUMMYFUNCTION("""COMPUTED_VALUE"""),51.85)</f>
        <v>51.85</v>
      </c>
      <c r="G270" s="10">
        <f>IFERROR(__xludf.DUMMYFUNCTION("""COMPUTED_VALUE"""),1140.7)</f>
        <v>1140.7</v>
      </c>
    </row>
    <row r="271">
      <c r="A271" s="24">
        <f>IFERROR(__xludf.DUMMYFUNCTION("""COMPUTED_VALUE"""),43766.0)</f>
        <v>43766</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IFERROR(__xludf.DUMMYFUNCTION("""COMPUTED_VALUE"""),-20.0)</f>
        <v>-20</v>
      </c>
      <c r="F271" s="25">
        <f>IFERROR(__xludf.DUMMYFUNCTION("""COMPUTED_VALUE"""),51.85)</f>
        <v>51.85</v>
      </c>
      <c r="G271" s="10">
        <f>IFERROR(__xludf.DUMMYFUNCTION("""COMPUTED_VALUE"""),1037.0)</f>
        <v>1037</v>
      </c>
    </row>
    <row r="272">
      <c r="A272" s="24">
        <f>IFERROR(__xludf.DUMMYFUNCTION("""COMPUTED_VALUE"""),43766.0)</f>
        <v>43766</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IFERROR(__xludf.DUMMYFUNCTION("""COMPUTED_VALUE"""),-5.0)</f>
        <v>-5</v>
      </c>
      <c r="F272" s="25">
        <f>IFERROR(__xludf.DUMMYFUNCTION("""COMPUTED_VALUE"""),51.85)</f>
        <v>51.85</v>
      </c>
      <c r="G272" s="10">
        <f>IFERROR(__xludf.DUMMYFUNCTION("""COMPUTED_VALUE"""),259.25)</f>
        <v>259.25</v>
      </c>
    </row>
    <row r="273">
      <c r="A273" s="24">
        <f>IFERROR(__xludf.DUMMYFUNCTION("""COMPUTED_VALUE"""),43753.0)</f>
        <v>43753</v>
      </c>
      <c r="B273" s="5"/>
      <c r="C273" s="5"/>
      <c r="D273" s="21" t="str">
        <f>IFERROR(__xludf.DUMMYFUNCTION("""COMPUTED_VALUE"""),"APPROVISIONNEMENT")</f>
        <v>APPROVISIONNEMENT</v>
      </c>
      <c r="E273" s="5"/>
      <c r="F273" s="5"/>
      <c r="G273" s="10">
        <f>IFERROR(__xludf.DUMMYFUNCTION("""COMPUTED_VALUE"""),-200.0)</f>
        <v>-200</v>
      </c>
    </row>
    <row r="274">
      <c r="A274" s="24">
        <f>IFERROR(__xludf.DUMMYFUNCTION("""COMPUTED_VALUE"""),43747.0)</f>
        <v>43747</v>
      </c>
      <c r="B274" s="5" t="str">
        <f>IFERROR(__xludf.DUMMYFUNCTION("""COMPUTED_VALUE"""),"Stocks")</f>
        <v>Stocks</v>
      </c>
      <c r="C274" s="5" t="str">
        <f>IFERROR(__xludf.DUMMYFUNCTION("""COMPUTED_VALUE"""),"Vanguard S&amp;P 500 UCITS")</f>
        <v>Vanguard S&amp;P 500 UCITS</v>
      </c>
      <c r="D274" s="21" t="str">
        <f>IFERROR(__xludf.DUMMYFUNCTION("""COMPUTED_VALUE"""),"DIVIDEND")</f>
        <v>DIVIDEND</v>
      </c>
      <c r="E274" s="5"/>
      <c r="F274" s="5"/>
      <c r="G274" s="10">
        <f>IFERROR(__xludf.DUMMYFUNCTION("""COMPUTED_VALUE"""),902.42)</f>
        <v>902.42</v>
      </c>
    </row>
    <row r="275">
      <c r="A275" s="24">
        <f>IFERROR(__xludf.DUMMYFUNCTION("""COMPUTED_VALUE"""),43747.0)</f>
        <v>43747</v>
      </c>
      <c r="B275" s="5" t="str">
        <f>IFERROR(__xludf.DUMMYFUNCTION("""COMPUTED_VALUE"""),"Stocks")</f>
        <v>Stocks</v>
      </c>
      <c r="C275" s="5" t="str">
        <f>IFERROR(__xludf.DUMMYFUNCTION("""COMPUTED_VALUE"""),"Vanguard S&amp;P 500 UCITS")</f>
        <v>Vanguard S&amp;P 500 UCITS</v>
      </c>
      <c r="D275" s="21" t="str">
        <f>IFERROR(__xludf.DUMMYFUNCTION("""COMPUTED_VALUE"""),"DIVIDEND")</f>
        <v>DIVIDEND</v>
      </c>
      <c r="E275" s="5"/>
      <c r="F275" s="5"/>
      <c r="G275" s="10">
        <f>IFERROR(__xludf.DUMMYFUNCTION("""COMPUTED_VALUE"""),-80.78)</f>
        <v>-80.78</v>
      </c>
    </row>
    <row r="276">
      <c r="A276" s="24">
        <f>IFERROR(__xludf.DUMMYFUNCTION("""COMPUTED_VALUE"""),43739.0)</f>
        <v>43739</v>
      </c>
      <c r="B276" s="5"/>
      <c r="C276" s="5"/>
      <c r="D276" s="21" t="str">
        <f>IFERROR(__xludf.DUMMYFUNCTION("""COMPUTED_VALUE"""),"APPROVISIONNEMENT")</f>
        <v>APPROVISIONNEMENT</v>
      </c>
      <c r="E276" s="5"/>
      <c r="F276" s="5"/>
      <c r="G276" s="10">
        <f>IFERROR(__xludf.DUMMYFUNCTION("""COMPUTED_VALUE"""),-400.0)</f>
        <v>-400</v>
      </c>
    </row>
    <row r="277">
      <c r="A277" s="24">
        <f>IFERROR(__xludf.DUMMYFUNCTION("""COMPUTED_VALUE"""),43738.0)</f>
        <v>43738</v>
      </c>
      <c r="B277" s="5"/>
      <c r="C277" s="5"/>
      <c r="D277" s="21" t="str">
        <f>IFERROR(__xludf.DUMMYFUNCTION("""COMPUTED_VALUE"""),"COST")</f>
        <v>COST</v>
      </c>
      <c r="E277" s="5"/>
      <c r="F277" s="5"/>
      <c r="G277" s="10">
        <f>IFERROR(__xludf.DUMMYFUNCTION("""COMPUTED_VALUE"""),-369.3)</f>
        <v>-369.3</v>
      </c>
    </row>
    <row r="278">
      <c r="A278" s="24">
        <f>IFERROR(__xludf.DUMMYFUNCTION("""COMPUTED_VALUE"""),43732.0)</f>
        <v>43732</v>
      </c>
      <c r="B278" s="5" t="str">
        <f>IFERROR(__xludf.DUMMYFUNCTION("""COMPUTED_VALUE"""),"Gold")</f>
        <v>Gold</v>
      </c>
      <c r="C278" s="5" t="str">
        <f>IFERROR(__xludf.DUMMYFUNCTION("""COMPUTED_VALUE"""),"ETFS Physical Gold")</f>
        <v>ETFS Physical Gold</v>
      </c>
      <c r="D278" s="21" t="str">
        <f>IFERROR(__xludf.DUMMYFUNCTION("""COMPUTED_VALUE"""),"SELL")</f>
        <v>SELL</v>
      </c>
      <c r="E278" s="21">
        <f>IFERROR(__xludf.DUMMYFUNCTION("""COMPUTED_VALUE"""),-8.0)</f>
        <v>-8</v>
      </c>
      <c r="F278" s="25">
        <f>IFERROR(__xludf.DUMMYFUNCTION("""COMPUTED_VALUE"""),131.96)</f>
        <v>131.96</v>
      </c>
      <c r="G278" s="10">
        <f>IFERROR(__xludf.DUMMYFUNCTION("""COMPUTED_VALUE"""),1055.68)</f>
        <v>1055.68</v>
      </c>
    </row>
    <row r="279">
      <c r="A279" s="24">
        <f>IFERROR(__xludf.DUMMYFUNCTION("""COMPUTED_VALUE"""),43728.0)</f>
        <v>43728</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IFERROR(__xludf.DUMMYFUNCTION("""COMPUTED_VALUE"""),-36.0)</f>
        <v>-36</v>
      </c>
      <c r="F279" s="25">
        <f>IFERROR(__xludf.DUMMYFUNCTION("""COMPUTED_VALUE"""),52.035)</f>
        <v>52.035</v>
      </c>
      <c r="G279" s="10">
        <f>IFERROR(__xludf.DUMMYFUNCTION("""COMPUTED_VALUE"""),1873.26)</f>
        <v>1873.26</v>
      </c>
    </row>
    <row r="280">
      <c r="A280" s="24">
        <f>IFERROR(__xludf.DUMMYFUNCTION("""COMPUTED_VALUE"""),43724.0)</f>
        <v>43724</v>
      </c>
      <c r="B280" s="5" t="str">
        <f>IFERROR(__xludf.DUMMYFUNCTION("""COMPUTED_VALUE"""),"Intermediate US bonds (7-10 year)")</f>
        <v>Intermediate US bonds (7-10 year)</v>
      </c>
      <c r="C280" s="5" t="str">
        <f>IFERROR(__xludf.DUMMYFUNCTION("""COMPUTED_VALUE"""),"Vanguard Intermediate-Term Treasury ETF")</f>
        <v>Vanguard Intermediate-Term Treasury ETF</v>
      </c>
      <c r="D280" s="21" t="str">
        <f>IFERROR(__xludf.DUMMYFUNCTION("""COMPUTED_VALUE"""),"DIVIDEND")</f>
        <v>DIVIDEND</v>
      </c>
      <c r="E280" s="5"/>
      <c r="F280" s="5"/>
      <c r="G280" s="10">
        <f>IFERROR(__xludf.DUMMYFUNCTION("""COMPUTED_VALUE"""),-10.37)</f>
        <v>-10.37</v>
      </c>
    </row>
    <row r="281">
      <c r="A281" s="24">
        <f>IFERROR(__xludf.DUMMYFUNCTION("""COMPUTED_VALUE"""),43724.0)</f>
        <v>43724</v>
      </c>
      <c r="B281" s="5" t="str">
        <f>IFERROR(__xludf.DUMMYFUNCTION("""COMPUTED_VALUE"""),"Commodities")</f>
        <v>Commodities</v>
      </c>
      <c r="C281" s="5" t="str">
        <f>IFERROR(__xludf.DUMMYFUNCTION("""COMPUTED_VALUE"""),"ETFS All Commodities ETC")</f>
        <v>ETFS All Commodities ETC</v>
      </c>
      <c r="D281" s="21" t="str">
        <f>IFERROR(__xludf.DUMMYFUNCTION("""COMPUTED_VALUE"""),"SELL")</f>
        <v>SELL</v>
      </c>
      <c r="E281" s="21">
        <f>IFERROR(__xludf.DUMMYFUNCTION("""COMPUTED_VALUE"""),-692.0)</f>
        <v>-692</v>
      </c>
      <c r="F281" s="25">
        <f>IFERROR(__xludf.DUMMYFUNCTION("""COMPUTED_VALUE"""),7.5)</f>
        <v>7.5</v>
      </c>
      <c r="G281" s="10">
        <f>IFERROR(__xludf.DUMMYFUNCTION("""COMPUTED_VALUE"""),5190.0)</f>
        <v>5190</v>
      </c>
    </row>
    <row r="282">
      <c r="A282" s="24">
        <f>IFERROR(__xludf.DUMMYFUNCTION("""COMPUTED_VALUE"""),43724.0)</f>
        <v>43724</v>
      </c>
      <c r="B282" s="5" t="str">
        <f>IFERROR(__xludf.DUMMYFUNCTION("""COMPUTED_VALUE"""),"Commodities")</f>
        <v>Commodities</v>
      </c>
      <c r="C282" s="5" t="str">
        <f>IFERROR(__xludf.DUMMYFUNCTION("""COMPUTED_VALUE"""),"ETFS All Commodities ETC")</f>
        <v>ETFS All Commodities ETC</v>
      </c>
      <c r="D282" s="21" t="str">
        <f>IFERROR(__xludf.DUMMYFUNCTION("""COMPUTED_VALUE"""),"COST")</f>
        <v>COST</v>
      </c>
      <c r="E282" s="5"/>
      <c r="F282" s="5"/>
      <c r="G282" s="10">
        <f>IFERROR(__xludf.DUMMYFUNCTION("""COMPUTED_VALUE"""),-3.04)</f>
        <v>-3.04</v>
      </c>
    </row>
    <row r="283">
      <c r="A283" s="24">
        <f>IFERROR(__xludf.DUMMYFUNCTION("""COMPUTED_VALUE"""),43724.0)</f>
        <v>43724</v>
      </c>
      <c r="B283" s="5" t="str">
        <f>IFERROR(__xludf.DUMMYFUNCTION("""COMPUTED_VALUE"""),"Commodities")</f>
        <v>Commodities</v>
      </c>
      <c r="C283" s="5" t="str">
        <f>IFERROR(__xludf.DUMMYFUNCTION("""COMPUTED_VALUE"""),"ETFS All Commodities ETC")</f>
        <v>ETFS All Commodities ETC</v>
      </c>
      <c r="D283" s="21" t="str">
        <f>IFERROR(__xludf.DUMMYFUNCTION("""COMPUTED_VALUE"""),"SELL")</f>
        <v>SELL</v>
      </c>
      <c r="E283" s="21">
        <f>IFERROR(__xludf.DUMMYFUNCTION("""COMPUTED_VALUE"""),-1247.0)</f>
        <v>-1247</v>
      </c>
      <c r="F283" s="25">
        <f>IFERROR(__xludf.DUMMYFUNCTION("""COMPUTED_VALUE"""),7.425)</f>
        <v>7.425</v>
      </c>
      <c r="G283" s="10">
        <f>IFERROR(__xludf.DUMMYFUNCTION("""COMPUTED_VALUE"""),9258.98)</f>
        <v>9258.98</v>
      </c>
    </row>
    <row r="284">
      <c r="A284" s="24">
        <f>IFERROR(__xludf.DUMMYFUNCTION("""COMPUTED_VALUE"""),43724.0)</f>
        <v>43724</v>
      </c>
      <c r="B284" s="5" t="str">
        <f>IFERROR(__xludf.DUMMYFUNCTION("""COMPUTED_VALUE"""),"Commodities")</f>
        <v>Commodities</v>
      </c>
      <c r="C284" s="5" t="str">
        <f>IFERROR(__xludf.DUMMYFUNCTION("""COMPUTED_VALUE"""),"ETFS All Commodities ETC")</f>
        <v>ETFS All Commodities ETC</v>
      </c>
      <c r="D284" s="21" t="str">
        <f>IFERROR(__xludf.DUMMYFUNCTION("""COMPUTED_VALUE"""),"COST")</f>
        <v>COST</v>
      </c>
      <c r="E284" s="5"/>
      <c r="F284" s="5"/>
      <c r="G284" s="10">
        <f>IFERROR(__xludf.DUMMYFUNCTION("""COMPUTED_VALUE"""),-3.85)</f>
        <v>-3.85</v>
      </c>
    </row>
    <row r="285">
      <c r="A285" s="24">
        <f>IFERROR(__xludf.DUMMYFUNCTION("""COMPUTED_VALUE"""),43721.0)</f>
        <v>43721</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IFERROR(__xludf.DUMMYFUNCTION("""COMPUTED_VALUE"""),-38.0)</f>
        <v>-38</v>
      </c>
      <c r="F285" s="25">
        <f>IFERROR(__xludf.DUMMYFUNCTION("""COMPUTED_VALUE"""),51.78)</f>
        <v>51.78</v>
      </c>
      <c r="G285" s="10">
        <f>IFERROR(__xludf.DUMMYFUNCTION("""COMPUTED_VALUE"""),1967.64)</f>
        <v>1967.64</v>
      </c>
    </row>
    <row r="286">
      <c r="A286" s="24">
        <f>IFERROR(__xludf.DUMMYFUNCTION("""COMPUTED_VALUE"""),43721.0)</f>
        <v>43721</v>
      </c>
      <c r="B286" s="5" t="str">
        <f>IFERROR(__xludf.DUMMYFUNCTION("""COMPUTED_VALUE"""),"Stocks")</f>
        <v>Stocks</v>
      </c>
      <c r="C286" s="5" t="str">
        <f>IFERROR(__xludf.DUMMYFUNCTION("""COMPUTED_VALUE"""),"Vanguard S&amp;P 500 UCITS")</f>
        <v>Vanguard S&amp;P 500 UCITS</v>
      </c>
      <c r="D286" s="21" t="str">
        <f>IFERROR(__xludf.DUMMYFUNCTION("""COMPUTED_VALUE"""),"SELL")</f>
        <v>SELL</v>
      </c>
      <c r="E286" s="21">
        <f>IFERROR(__xludf.DUMMYFUNCTION("""COMPUTED_VALUE"""),-59.0)</f>
        <v>-59</v>
      </c>
      <c r="F286" s="25">
        <f>IFERROR(__xludf.DUMMYFUNCTION("""COMPUTED_VALUE"""),51.7631)</f>
        <v>51.7631</v>
      </c>
      <c r="G286" s="10">
        <f>IFERROR(__xludf.DUMMYFUNCTION("""COMPUTED_VALUE"""),3054.02)</f>
        <v>3054.02</v>
      </c>
    </row>
    <row r="287">
      <c r="A287" s="24">
        <f>IFERROR(__xludf.DUMMYFUNCTION("""COMPUTED_VALUE"""),43718.0)</f>
        <v>43718</v>
      </c>
      <c r="B287" s="5"/>
      <c r="C287" s="5"/>
      <c r="D287" s="21" t="str">
        <f>IFERROR(__xludf.DUMMYFUNCTION("""COMPUTED_VALUE"""),"APPROVISIONNEMENT")</f>
        <v>APPROVISIONNEMENT</v>
      </c>
      <c r="E287" s="5"/>
      <c r="F287" s="5"/>
      <c r="G287" s="10">
        <f>IFERROR(__xludf.DUMMYFUNCTION("""COMPUTED_VALUE"""),-300.0)</f>
        <v>-300</v>
      </c>
    </row>
    <row r="288">
      <c r="A288" s="24">
        <f>IFERROR(__xludf.DUMMYFUNCTION("""COMPUTED_VALUE"""),43718.0)</f>
        <v>43718</v>
      </c>
      <c r="B288" s="5"/>
      <c r="C288" s="5"/>
      <c r="D288" s="21" t="str">
        <f>IFERROR(__xludf.DUMMYFUNCTION("""COMPUTED_VALUE"""),"APPROVISIONNEMENT")</f>
        <v>APPROVISIONNEMENT</v>
      </c>
      <c r="E288" s="5"/>
      <c r="F288" s="5"/>
      <c r="G288" s="10">
        <f>IFERROR(__xludf.DUMMYFUNCTION("""COMPUTED_VALUE"""),-100.0)</f>
        <v>-100</v>
      </c>
    </row>
    <row r="289">
      <c r="A289" s="24">
        <f>IFERROR(__xludf.DUMMYFUNCTION("""COMPUTED_VALUE"""),43714.0)</f>
        <v>43714</v>
      </c>
      <c r="B289" s="5"/>
      <c r="C289" s="5"/>
      <c r="D289" s="21" t="str">
        <f>IFERROR(__xludf.DUMMYFUNCTION("""COMPUTED_VALUE"""),"APPROVISIONNEMENT")</f>
        <v>APPROVISIONNEMENT</v>
      </c>
      <c r="E289" s="5"/>
      <c r="F289" s="5"/>
      <c r="G289" s="10">
        <f>IFERROR(__xludf.DUMMYFUNCTION("""COMPUTED_VALUE"""),-0.1)</f>
        <v>-0.1</v>
      </c>
    </row>
    <row r="290">
      <c r="A290" s="24">
        <f>IFERROR(__xludf.DUMMYFUNCTION("""COMPUTED_VALUE"""),43714.0)</f>
        <v>43714</v>
      </c>
      <c r="B290" s="5" t="str">
        <f>IFERROR(__xludf.DUMMYFUNCTION("""COMPUTED_VALUE"""),"Stocks")</f>
        <v>Stocks</v>
      </c>
      <c r="C290" s="5" t="str">
        <f>IFERROR(__xludf.DUMMYFUNCTION("""COMPUTED_VALUE"""),"Vanguard S&amp;P 500 UCITS")</f>
        <v>Vanguard S&amp;P 500 UCITS</v>
      </c>
      <c r="D290" s="21" t="str">
        <f>IFERROR(__xludf.DUMMYFUNCTION("""COMPUTED_VALUE"""),"SELL")</f>
        <v>SELL</v>
      </c>
      <c r="E290" s="21">
        <f>IFERROR(__xludf.DUMMYFUNCTION("""COMPUTED_VALUE"""),-21.0)</f>
        <v>-21</v>
      </c>
      <c r="F290" s="25">
        <f>IFERROR(__xludf.DUMMYFUNCTION("""COMPUTED_VALUE"""),51.45)</f>
        <v>51.45</v>
      </c>
      <c r="G290" s="10">
        <f>IFERROR(__xludf.DUMMYFUNCTION("""COMPUTED_VALUE"""),1080.45)</f>
        <v>1080.45</v>
      </c>
    </row>
    <row r="291">
      <c r="A291" s="24">
        <f>IFERROR(__xludf.DUMMYFUNCTION("""COMPUTED_VALUE"""),43714.0)</f>
        <v>43714</v>
      </c>
      <c r="B291" s="5" t="str">
        <f>IFERROR(__xludf.DUMMYFUNCTION("""COMPUTED_VALUE"""),"Stocks")</f>
        <v>Stocks</v>
      </c>
      <c r="C291" s="5" t="str">
        <f>IFERROR(__xludf.DUMMYFUNCTION("""COMPUTED_VALUE"""),"Vanguard S&amp;P 500 UCITS")</f>
        <v>Vanguard S&amp;P 500 UCITS</v>
      </c>
      <c r="D291" s="21" t="str">
        <f>IFERROR(__xludf.DUMMYFUNCTION("""COMPUTED_VALUE"""),"SELL")</f>
        <v>SELL</v>
      </c>
      <c r="E291" s="21">
        <f>IFERROR(__xludf.DUMMYFUNCTION("""COMPUTED_VALUE"""),-43.0)</f>
        <v>-43</v>
      </c>
      <c r="F291" s="25">
        <f>IFERROR(__xludf.DUMMYFUNCTION("""COMPUTED_VALUE"""),51.417)</f>
        <v>51.417</v>
      </c>
      <c r="G291" s="10">
        <f>IFERROR(__xludf.DUMMYFUNCTION("""COMPUTED_VALUE"""),2210.93)</f>
        <v>2210.93</v>
      </c>
    </row>
    <row r="292">
      <c r="A292" s="24">
        <f>IFERROR(__xludf.DUMMYFUNCTION("""COMPUTED_VALUE"""),43713.0)</f>
        <v>43713</v>
      </c>
      <c r="B292" s="5"/>
      <c r="C292" s="5"/>
      <c r="D292" s="21" t="str">
        <f>IFERROR(__xludf.DUMMYFUNCTION("""COMPUTED_VALUE"""),"APPROVISIONNEMENT")</f>
        <v>APPROVISIONNEMENT</v>
      </c>
      <c r="E292" s="5"/>
      <c r="F292" s="5"/>
      <c r="G292" s="10">
        <f>IFERROR(__xludf.DUMMYFUNCTION("""COMPUTED_VALUE"""),0.1)</f>
        <v>0.1</v>
      </c>
    </row>
    <row r="293">
      <c r="A293" s="24">
        <f>IFERROR(__xludf.DUMMYFUNCTION("""COMPUTED_VALUE"""),43712.0)</f>
        <v>43712</v>
      </c>
      <c r="B293" s="5"/>
      <c r="C293" s="5"/>
      <c r="D293" s="21" t="str">
        <f>IFERROR(__xludf.DUMMYFUNCTION("""COMPUTED_VALUE"""),"APPROVISIONNEMENT")</f>
        <v>APPROVISIONNEMENT</v>
      </c>
      <c r="E293" s="5"/>
      <c r="F293" s="5"/>
      <c r="G293" s="10">
        <f>IFERROR(__xludf.DUMMYFUNCTION("""COMPUTED_VALUE"""),-100.0)</f>
        <v>-100</v>
      </c>
    </row>
    <row r="294">
      <c r="A294" s="24">
        <f>IFERROR(__xludf.DUMMYFUNCTION("""COMPUTED_VALUE"""),43711.0)</f>
        <v>43711</v>
      </c>
      <c r="B294" s="5" t="str">
        <f>IFERROR(__xludf.DUMMYFUNCTION("""COMPUTED_VALUE"""),"Commodities")</f>
        <v>Commodities</v>
      </c>
      <c r="C294" s="5" t="str">
        <f>IFERROR(__xludf.DUMMYFUNCTION("""COMPUTED_VALUE"""),"ETFS All Commodities ETC")</f>
        <v>ETFS All Commodities ETC</v>
      </c>
      <c r="D294" s="21" t="str">
        <f>IFERROR(__xludf.DUMMYFUNCTION("""COMPUTED_VALUE"""),"BUY")</f>
        <v>BUY</v>
      </c>
      <c r="E294" s="21">
        <f>IFERROR(__xludf.DUMMYFUNCTION("""COMPUTED_VALUE"""),223.0)</f>
        <v>223</v>
      </c>
      <c r="F294" s="25">
        <f>IFERROR(__xludf.DUMMYFUNCTION("""COMPUTED_VALUE"""),7.165)</f>
        <v>7.165</v>
      </c>
      <c r="G294" s="10">
        <f>IFERROR(__xludf.DUMMYFUNCTION("""COMPUTED_VALUE"""),-1597.8)</f>
        <v>-1597.8</v>
      </c>
    </row>
    <row r="295">
      <c r="A295" s="24">
        <f>IFERROR(__xludf.DUMMYFUNCTION("""COMPUTED_VALUE"""),43710.0)</f>
        <v>43710</v>
      </c>
      <c r="B295" s="5" t="str">
        <f>IFERROR(__xludf.DUMMYFUNCTION("""COMPUTED_VALUE"""),"Commodities")</f>
        <v>Commodities</v>
      </c>
      <c r="C295" s="5" t="str">
        <f>IFERROR(__xludf.DUMMYFUNCTION("""COMPUTED_VALUE"""),"ETFS All Commodities ETC")</f>
        <v>ETFS All Commodities ETC</v>
      </c>
      <c r="D295" s="21" t="str">
        <f>IFERROR(__xludf.DUMMYFUNCTION("""COMPUTED_VALUE"""),"BUY")</f>
        <v>BUY</v>
      </c>
      <c r="E295" s="21">
        <f>IFERROR(__xludf.DUMMYFUNCTION("""COMPUTED_VALUE"""),213.0)</f>
        <v>213</v>
      </c>
      <c r="F295" s="25">
        <f>IFERROR(__xludf.DUMMYFUNCTION("""COMPUTED_VALUE"""),7.2)</f>
        <v>7.2</v>
      </c>
      <c r="G295" s="10">
        <f>IFERROR(__xludf.DUMMYFUNCTION("""COMPUTED_VALUE"""),-1533.6)</f>
        <v>-1533.6</v>
      </c>
    </row>
    <row r="296">
      <c r="A296" s="24">
        <f>IFERROR(__xludf.DUMMYFUNCTION("""COMPUTED_VALUE"""),43708.0)</f>
        <v>43708</v>
      </c>
      <c r="B296" s="5"/>
      <c r="C296" s="5"/>
      <c r="D296" s="21" t="str">
        <f>IFERROR(__xludf.DUMMYFUNCTION("""COMPUTED_VALUE"""),"COST")</f>
        <v>COST</v>
      </c>
      <c r="E296" s="5"/>
      <c r="F296" s="5"/>
      <c r="G296" s="10">
        <f>IFERROR(__xludf.DUMMYFUNCTION("""COMPUTED_VALUE"""),-461.31)</f>
        <v>-461.31</v>
      </c>
    </row>
    <row r="297">
      <c r="A297" s="24">
        <f>IFERROR(__xludf.DUMMYFUNCTION("""COMPUTED_VALUE"""),43703.0)</f>
        <v>43703</v>
      </c>
      <c r="B297" s="5" t="str">
        <f>IFERROR(__xludf.DUMMYFUNCTION("""COMPUTED_VALUE"""),"Gold")</f>
        <v>Gold</v>
      </c>
      <c r="C297" s="5" t="str">
        <f>IFERROR(__xludf.DUMMYFUNCTION("""COMPUTED_VALUE"""),"ETFS Physical Gold")</f>
        <v>ETFS Physical Gold</v>
      </c>
      <c r="D297" s="21" t="str">
        <f>IFERROR(__xludf.DUMMYFUNCTION("""COMPUTED_VALUE"""),"SELL")</f>
        <v>SELL</v>
      </c>
      <c r="E297" s="21">
        <f>IFERROR(__xludf.DUMMYFUNCTION("""COMPUTED_VALUE"""),-8.0)</f>
        <v>-8</v>
      </c>
      <c r="F297" s="25">
        <f>IFERROR(__xludf.DUMMYFUNCTION("""COMPUTED_VALUE"""),131.5)</f>
        <v>131.5</v>
      </c>
      <c r="G297" s="10">
        <f>IFERROR(__xludf.DUMMYFUNCTION("""COMPUTED_VALUE"""),1052.0)</f>
        <v>1052</v>
      </c>
    </row>
    <row r="298">
      <c r="A298" s="24">
        <f>IFERROR(__xludf.DUMMYFUNCTION("""COMPUTED_VALUE"""),43701.0)</f>
        <v>43701</v>
      </c>
      <c r="B298" s="5"/>
      <c r="C298" s="5"/>
      <c r="D298" s="21" t="str">
        <f>IFERROR(__xludf.DUMMYFUNCTION("""COMPUTED_VALUE"""),"APPROVISIONNEMENT")</f>
        <v>APPROVISIONNEMENT</v>
      </c>
      <c r="E298" s="5"/>
      <c r="F298" s="5"/>
      <c r="G298" s="10">
        <f>IFERROR(__xludf.DUMMYFUNCTION("""COMPUTED_VALUE"""),-1000.0)</f>
        <v>-1000</v>
      </c>
    </row>
    <row r="299">
      <c r="A299" s="24">
        <f>IFERROR(__xludf.DUMMYFUNCTION("""COMPUTED_VALUE"""),43697.0)</f>
        <v>43697</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IFERROR(__xludf.DUMMYFUNCTION("""COMPUTED_VALUE"""),-32.0)</f>
        <v>-32</v>
      </c>
      <c r="F299" s="25">
        <f>IFERROR(__xludf.DUMMYFUNCTION("""COMPUTED_VALUE"""),50.17)</f>
        <v>50.17</v>
      </c>
      <c r="G299" s="10">
        <f>IFERROR(__xludf.DUMMYFUNCTION("""COMPUTED_VALUE"""),1605.44)</f>
        <v>1605.44</v>
      </c>
    </row>
    <row r="300">
      <c r="A300" s="24">
        <f>IFERROR(__xludf.DUMMYFUNCTION("""COMPUTED_VALUE"""),43693.0)</f>
        <v>43693</v>
      </c>
      <c r="B300" s="5" t="str">
        <f>IFERROR(__xludf.DUMMYFUNCTION("""COMPUTED_VALUE"""),"Intermediate US bonds (7-10 year)")</f>
        <v>Intermediate US bonds (7-10 year)</v>
      </c>
      <c r="C300" s="5" t="str">
        <f>IFERROR(__xludf.DUMMYFUNCTION("""COMPUTED_VALUE"""),"iShares Treasury Bond 7-10 UCITS")</f>
        <v>iShares Treasury Bond 7-10 UCITS</v>
      </c>
      <c r="D300" s="21" t="str">
        <f>IFERROR(__xludf.DUMMYFUNCTION("""COMPUTED_VALUE"""),"SELL")</f>
        <v>SELL</v>
      </c>
      <c r="E300" s="21">
        <f>IFERROR(__xludf.DUMMYFUNCTION("""COMPUTED_VALUE"""),-6.0)</f>
        <v>-6</v>
      </c>
      <c r="F300" s="25">
        <f>IFERROR(__xludf.DUMMYFUNCTION("""COMPUTED_VALUE"""),189.0)</f>
        <v>189</v>
      </c>
      <c r="G300" s="10">
        <f>IFERROR(__xludf.DUMMYFUNCTION("""COMPUTED_VALUE"""),1134.0)</f>
        <v>1134</v>
      </c>
    </row>
    <row r="301">
      <c r="A301" s="24">
        <f>IFERROR(__xludf.DUMMYFUNCTION("""COMPUTED_VALUE"""),43693.0)</f>
        <v>43693</v>
      </c>
      <c r="B301" s="5" t="str">
        <f>IFERROR(__xludf.DUMMYFUNCTION("""COMPUTED_VALUE"""),"Intermediate US bonds (7-10 year)")</f>
        <v>Intermediate US bonds (7-10 year)</v>
      </c>
      <c r="C301" s="5" t="str">
        <f>IFERROR(__xludf.DUMMYFUNCTION("""COMPUTED_VALUE"""),"iShares Treasury Bond 7-10 UCITS")</f>
        <v>iShares Treasury Bond 7-10 UCITS</v>
      </c>
      <c r="D301" s="21" t="str">
        <f>IFERROR(__xludf.DUMMYFUNCTION("""COMPUTED_VALUE"""),"SELL")</f>
        <v>SELL</v>
      </c>
      <c r="E301" s="21">
        <f>IFERROR(__xludf.DUMMYFUNCTION("""COMPUTED_VALUE"""),-6.0)</f>
        <v>-6</v>
      </c>
      <c r="F301" s="25">
        <f>IFERROR(__xludf.DUMMYFUNCTION("""COMPUTED_VALUE"""),188.75)</f>
        <v>188.75</v>
      </c>
      <c r="G301" s="10">
        <f>IFERROR(__xludf.DUMMYFUNCTION("""COMPUTED_VALUE"""),1132.5)</f>
        <v>1132.5</v>
      </c>
    </row>
    <row r="302">
      <c r="A302" s="24">
        <f>IFERROR(__xludf.DUMMYFUNCTION("""COMPUTED_VALUE"""),43692.0)</f>
        <v>43692</v>
      </c>
      <c r="B302" s="5" t="str">
        <f>IFERROR(__xludf.DUMMYFUNCTION("""COMPUTED_VALUE"""),"Long term US bonds (20-25 year)")</f>
        <v>Long term US bonds (20-25 year)</v>
      </c>
      <c r="C302" s="5" t="str">
        <f>IFERROR(__xludf.DUMMYFUNCTION("""COMPUTED_VALUE"""),"iShares Treasury Bond 20+ UCITS")</f>
        <v>iShares Treasury Bond 20+ UCITS</v>
      </c>
      <c r="D302" s="21" t="str">
        <f>IFERROR(__xludf.DUMMYFUNCTION("""COMPUTED_VALUE"""),"SELL")</f>
        <v>SELL</v>
      </c>
      <c r="E302" s="21">
        <f>IFERROR(__xludf.DUMMYFUNCTION("""COMPUTED_VALUE"""),-152.0)</f>
        <v>-152</v>
      </c>
      <c r="F302" s="25">
        <f>IFERROR(__xludf.DUMMYFUNCTION("""COMPUTED_VALUE"""),4.95)</f>
        <v>4.95</v>
      </c>
      <c r="G302" s="10">
        <f>IFERROR(__xludf.DUMMYFUNCTION("""COMPUTED_VALUE"""),752.4)</f>
        <v>752.4</v>
      </c>
    </row>
    <row r="303">
      <c r="A303" s="24">
        <f>IFERROR(__xludf.DUMMYFUNCTION("""COMPUTED_VALUE"""),43692.0)</f>
        <v>43692</v>
      </c>
      <c r="B303" s="5" t="str">
        <f>IFERROR(__xludf.DUMMYFUNCTION("""COMPUTED_VALUE"""),"Long term US bonds (20-25 year)")</f>
        <v>Long term US bonds (20-25 year)</v>
      </c>
      <c r="C303" s="5" t="str">
        <f>IFERROR(__xludf.DUMMYFUNCTION("""COMPUTED_VALUE"""),"iShares Treasury Bond 20+ UCITS")</f>
        <v>iShares Treasury Bond 20+ UCITS</v>
      </c>
      <c r="D303" s="21" t="str">
        <f>IFERROR(__xludf.DUMMYFUNCTION("""COMPUTED_VALUE"""),"COST")</f>
        <v>COST</v>
      </c>
      <c r="E303" s="5"/>
      <c r="F303" s="5"/>
      <c r="G303" s="10">
        <f>IFERROR(__xludf.DUMMYFUNCTION("""COMPUTED_VALUE"""),-2.15)</f>
        <v>-2.15</v>
      </c>
    </row>
    <row r="304">
      <c r="A304" s="24">
        <f>IFERROR(__xludf.DUMMYFUNCTION("""COMPUTED_VALUE"""),43692.0)</f>
        <v>43692</v>
      </c>
      <c r="B304" s="5" t="str">
        <f>IFERROR(__xludf.DUMMYFUNCTION("""COMPUTED_VALUE"""),"Long term US bonds (20-25 year)")</f>
        <v>Long term US bonds (20-25 year)</v>
      </c>
      <c r="C304" s="5" t="str">
        <f>IFERROR(__xludf.DUMMYFUNCTION("""COMPUTED_VALUE"""),"iShares Treasury Bond 20+ UCITS")</f>
        <v>iShares Treasury Bond 20+ UCITS</v>
      </c>
      <c r="D304" s="21" t="str">
        <f>IFERROR(__xludf.DUMMYFUNCTION("""COMPUTED_VALUE"""),"SELL")</f>
        <v>SELL</v>
      </c>
      <c r="E304" s="21">
        <f>IFERROR(__xludf.DUMMYFUNCTION("""COMPUTED_VALUE"""),-51.0)</f>
        <v>-51</v>
      </c>
      <c r="F304" s="25">
        <f>IFERROR(__xludf.DUMMYFUNCTION("""COMPUTED_VALUE"""),4.95)</f>
        <v>4.95</v>
      </c>
      <c r="G304" s="10">
        <f>IFERROR(__xludf.DUMMYFUNCTION("""COMPUTED_VALUE"""),252.45)</f>
        <v>252.45</v>
      </c>
    </row>
    <row r="305">
      <c r="A305" s="24">
        <f>IFERROR(__xludf.DUMMYFUNCTION("""COMPUTED_VALUE"""),43692.0)</f>
        <v>43692</v>
      </c>
      <c r="B305" s="5" t="str">
        <f>IFERROR(__xludf.DUMMYFUNCTION("""COMPUTED_VALUE"""),"Long term US bonds (20-25 year)")</f>
        <v>Long term US bonds (20-25 year)</v>
      </c>
      <c r="C305" s="5" t="str">
        <f>IFERROR(__xludf.DUMMYFUNCTION("""COMPUTED_VALUE"""),"iShares Treasury Bond 20+ UCITS")</f>
        <v>iShares Treasury Bond 20+ UCITS</v>
      </c>
      <c r="D305" s="21" t="str">
        <f>IFERROR(__xludf.DUMMYFUNCTION("""COMPUTED_VALUE"""),"COST")</f>
        <v>COST</v>
      </c>
      <c r="E305" s="5"/>
      <c r="F305" s="5"/>
      <c r="G305" s="10">
        <f>IFERROR(__xludf.DUMMYFUNCTION("""COMPUTED_VALUE"""),-0.05)</f>
        <v>-0.05</v>
      </c>
    </row>
    <row r="306">
      <c r="A306" s="24">
        <f>IFERROR(__xludf.DUMMYFUNCTION("""COMPUTED_VALUE"""),43692.0)</f>
        <v>43692</v>
      </c>
      <c r="B306" s="5" t="str">
        <f>IFERROR(__xludf.DUMMYFUNCTION("""COMPUTED_VALUE"""),"Long term US bonds (20-25 year)")</f>
        <v>Long term US bonds (20-25 year)</v>
      </c>
      <c r="C306" s="5" t="str">
        <f>IFERROR(__xludf.DUMMYFUNCTION("""COMPUTED_VALUE"""),"iShares Treasury Bond 20+ UCITS")</f>
        <v>iShares Treasury Bond 20+ UCITS</v>
      </c>
      <c r="D306" s="21" t="str">
        <f>IFERROR(__xludf.DUMMYFUNCTION("""COMPUTED_VALUE"""),"SELL")</f>
        <v>SELL</v>
      </c>
      <c r="E306" s="21">
        <f>IFERROR(__xludf.DUMMYFUNCTION("""COMPUTED_VALUE"""),-300.0)</f>
        <v>-300</v>
      </c>
      <c r="F306" s="25">
        <f>IFERROR(__xludf.DUMMYFUNCTION("""COMPUTED_VALUE"""),4.96)</f>
        <v>4.96</v>
      </c>
      <c r="G306" s="10">
        <f>IFERROR(__xludf.DUMMYFUNCTION("""COMPUTED_VALUE"""),1488.0)</f>
        <v>1488</v>
      </c>
    </row>
    <row r="307">
      <c r="A307" s="24">
        <f>IFERROR(__xludf.DUMMYFUNCTION("""COMPUTED_VALUE"""),43692.0)</f>
        <v>43692</v>
      </c>
      <c r="B307" s="5" t="str">
        <f>IFERROR(__xludf.DUMMYFUNCTION("""COMPUTED_VALUE"""),"Long term US bonds (20-25 year)")</f>
        <v>Long term US bonds (20-25 year)</v>
      </c>
      <c r="C307" s="5" t="str">
        <f>IFERROR(__xludf.DUMMYFUNCTION("""COMPUTED_VALUE"""),"iShares Treasury Bond 20+ UCITS")</f>
        <v>iShares Treasury Bond 20+ UCITS</v>
      </c>
      <c r="D307" s="21" t="str">
        <f>IFERROR(__xludf.DUMMYFUNCTION("""COMPUTED_VALUE"""),"COST")</f>
        <v>COST</v>
      </c>
      <c r="E307" s="5"/>
      <c r="F307" s="5"/>
      <c r="G307" s="10">
        <f>IFERROR(__xludf.DUMMYFUNCTION("""COMPUTED_VALUE"""),-2.3)</f>
        <v>-2.3</v>
      </c>
    </row>
    <row r="308">
      <c r="A308" s="24">
        <f>IFERROR(__xludf.DUMMYFUNCTION("""COMPUTED_VALUE"""),43692.0)</f>
        <v>43692</v>
      </c>
      <c r="B308" s="5" t="str">
        <f>IFERROR(__xludf.DUMMYFUNCTION("""COMPUTED_VALUE"""),"Long term US bonds (20-25 year)")</f>
        <v>Long term US bonds (20-25 year)</v>
      </c>
      <c r="C308" s="5" t="str">
        <f>IFERROR(__xludf.DUMMYFUNCTION("""COMPUTED_VALUE"""),"iShares Treasury Bond 20+ UCITS")</f>
        <v>iShares Treasury Bond 20+ UCITS</v>
      </c>
      <c r="D308" s="21" t="str">
        <f>IFERROR(__xludf.DUMMYFUNCTION("""COMPUTED_VALUE"""),"SELL")</f>
        <v>SELL</v>
      </c>
      <c r="E308" s="21">
        <f>IFERROR(__xludf.DUMMYFUNCTION("""COMPUTED_VALUE"""),-203.0)</f>
        <v>-203</v>
      </c>
      <c r="F308" s="25">
        <f>IFERROR(__xludf.DUMMYFUNCTION("""COMPUTED_VALUE"""),4.95)</f>
        <v>4.95</v>
      </c>
      <c r="G308" s="10">
        <f>IFERROR(__xludf.DUMMYFUNCTION("""COMPUTED_VALUE"""),1004.85)</f>
        <v>1004.85</v>
      </c>
    </row>
    <row r="309">
      <c r="A309" s="24">
        <f>IFERROR(__xludf.DUMMYFUNCTION("""COMPUTED_VALUE"""),43692.0)</f>
        <v>43692</v>
      </c>
      <c r="B309" s="5" t="str">
        <f>IFERROR(__xludf.DUMMYFUNCTION("""COMPUTED_VALUE"""),"Long term US bonds (20-25 year)")</f>
        <v>Long term US bonds (20-25 year)</v>
      </c>
      <c r="C309" s="5" t="str">
        <f>IFERROR(__xludf.DUMMYFUNCTION("""COMPUTED_VALUE"""),"iShares Treasury Bond 20+ UCITS")</f>
        <v>iShares Treasury Bond 20+ UCITS</v>
      </c>
      <c r="D309" s="21" t="str">
        <f>IFERROR(__xludf.DUMMYFUNCTION("""COMPUTED_VALUE"""),"COST")</f>
        <v>COST</v>
      </c>
      <c r="E309" s="5"/>
      <c r="F309" s="5"/>
      <c r="G309" s="10">
        <f>IFERROR(__xludf.DUMMYFUNCTION("""COMPUTED_VALUE"""),-2.2)</f>
        <v>-2.2</v>
      </c>
    </row>
    <row r="310">
      <c r="A310" s="24">
        <f>IFERROR(__xludf.DUMMYFUNCTION("""COMPUTED_VALUE"""),43692.0)</f>
        <v>43692</v>
      </c>
      <c r="B310" s="5" t="str">
        <f>IFERROR(__xludf.DUMMYFUNCTION("""COMPUTED_VALUE"""),"Intermediate US bonds (7-10 year)")</f>
        <v>Intermediate US bonds (7-10 year)</v>
      </c>
      <c r="C310" s="5" t="str">
        <f>IFERROR(__xludf.DUMMYFUNCTION("""COMPUTED_VALUE"""),"iShares Treasury Bond 7-10 UCITS")</f>
        <v>iShares Treasury Bond 7-10 UCITS</v>
      </c>
      <c r="D310" s="21" t="str">
        <f>IFERROR(__xludf.DUMMYFUNCTION("""COMPUTED_VALUE"""),"SELL")</f>
        <v>SELL</v>
      </c>
      <c r="E310" s="21">
        <f>IFERROR(__xludf.DUMMYFUNCTION("""COMPUTED_VALUE"""),-6.0)</f>
        <v>-6</v>
      </c>
      <c r="F310" s="25">
        <f>IFERROR(__xludf.DUMMYFUNCTION("""COMPUTED_VALUE"""),187.8)</f>
        <v>187.8</v>
      </c>
      <c r="G310" s="10">
        <f>IFERROR(__xludf.DUMMYFUNCTION("""COMPUTED_VALUE"""),1126.8)</f>
        <v>1126.8</v>
      </c>
    </row>
    <row r="311">
      <c r="A311" s="24">
        <f>IFERROR(__xludf.DUMMYFUNCTION("""COMPUTED_VALUE"""),43692.0)</f>
        <v>43692</v>
      </c>
      <c r="B311" s="5" t="str">
        <f>IFERROR(__xludf.DUMMYFUNCTION("""COMPUTED_VALUE"""),"Long term US bonds (20-25 year)")</f>
        <v>Long term US bonds (20-25 year)</v>
      </c>
      <c r="C311" s="5" t="str">
        <f>IFERROR(__xludf.DUMMYFUNCTION("""COMPUTED_VALUE"""),"iShares Treasury Bond 20+ UCITS")</f>
        <v>iShares Treasury Bond 20+ UCITS</v>
      </c>
      <c r="D311" s="21" t="str">
        <f>IFERROR(__xludf.DUMMYFUNCTION("""COMPUTED_VALUE"""),"SELL")</f>
        <v>SELL</v>
      </c>
      <c r="E311" s="21">
        <f>IFERROR(__xludf.DUMMYFUNCTION("""COMPUTED_VALUE"""),-203.0)</f>
        <v>-203</v>
      </c>
      <c r="F311" s="25">
        <f>IFERROR(__xludf.DUMMYFUNCTION("""COMPUTED_VALUE"""),4.9483)</f>
        <v>4.9483</v>
      </c>
      <c r="G311" s="10">
        <f>IFERROR(__xludf.DUMMYFUNCTION("""COMPUTED_VALUE"""),1004.5)</f>
        <v>1004.5</v>
      </c>
    </row>
    <row r="312">
      <c r="A312" s="24">
        <f>IFERROR(__xludf.DUMMYFUNCTION("""COMPUTED_VALUE"""),43692.0)</f>
        <v>43692</v>
      </c>
      <c r="B312" s="5" t="str">
        <f>IFERROR(__xludf.DUMMYFUNCTION("""COMPUTED_VALUE"""),"Long term US bonds (20-25 year)")</f>
        <v>Long term US bonds (20-25 year)</v>
      </c>
      <c r="C312" s="5" t="str">
        <f>IFERROR(__xludf.DUMMYFUNCTION("""COMPUTED_VALUE"""),"iShares Treasury Bond 20+ UCITS")</f>
        <v>iShares Treasury Bond 20+ UCITS</v>
      </c>
      <c r="D312" s="21" t="str">
        <f>IFERROR(__xludf.DUMMYFUNCTION("""COMPUTED_VALUE"""),"COST")</f>
        <v>COST</v>
      </c>
      <c r="E312" s="5"/>
      <c r="F312" s="5"/>
      <c r="G312" s="10">
        <f>IFERROR(__xludf.DUMMYFUNCTION("""COMPUTED_VALUE"""),-2.2)</f>
        <v>-2.2</v>
      </c>
    </row>
    <row r="313">
      <c r="A313" s="24">
        <f>IFERROR(__xludf.DUMMYFUNCTION("""COMPUTED_VALUE"""),43692.0)</f>
        <v>43692</v>
      </c>
      <c r="B313" s="5" t="str">
        <f>IFERROR(__xludf.DUMMYFUNCTION("""COMPUTED_VALUE"""),"Long term US bonds (20-25 year)")</f>
        <v>Long term US bonds (20-25 year)</v>
      </c>
      <c r="C313" s="5" t="str">
        <f>IFERROR(__xludf.DUMMYFUNCTION("""COMPUTED_VALUE"""),"iShares Treasury Bond 20+ UCITS")</f>
        <v>iShares Treasury Bond 20+ UCITS</v>
      </c>
      <c r="D313" s="21" t="str">
        <f>IFERROR(__xludf.DUMMYFUNCTION("""COMPUTED_VALUE"""),"SELL")</f>
        <v>SELL</v>
      </c>
      <c r="E313" s="21">
        <f>IFERROR(__xludf.DUMMYFUNCTION("""COMPUTED_VALUE"""),-203.0)</f>
        <v>-203</v>
      </c>
      <c r="F313" s="25">
        <f>IFERROR(__xludf.DUMMYFUNCTION("""COMPUTED_VALUE"""),4.94)</f>
        <v>4.94</v>
      </c>
      <c r="G313" s="10">
        <f>IFERROR(__xludf.DUMMYFUNCTION("""COMPUTED_VALUE"""),1002.82)</f>
        <v>1002.82</v>
      </c>
    </row>
    <row r="314">
      <c r="A314" s="24">
        <f>IFERROR(__xludf.DUMMYFUNCTION("""COMPUTED_VALUE"""),43692.0)</f>
        <v>43692</v>
      </c>
      <c r="B314" s="5" t="str">
        <f>IFERROR(__xludf.DUMMYFUNCTION("""COMPUTED_VALUE"""),"Long term US bonds (20-25 year)")</f>
        <v>Long term US bonds (20-25 year)</v>
      </c>
      <c r="C314" s="5" t="str">
        <f>IFERROR(__xludf.DUMMYFUNCTION("""COMPUTED_VALUE"""),"iShares Treasury Bond 20+ UCITS")</f>
        <v>iShares Treasury Bond 20+ UCITS</v>
      </c>
      <c r="D314" s="21" t="str">
        <f>IFERROR(__xludf.DUMMYFUNCTION("""COMPUTED_VALUE"""),"COST")</f>
        <v>COST</v>
      </c>
      <c r="E314" s="5"/>
      <c r="F314" s="5"/>
      <c r="G314" s="10">
        <f>IFERROR(__xludf.DUMMYFUNCTION("""COMPUTED_VALUE"""),-2.2)</f>
        <v>-2.2</v>
      </c>
    </row>
    <row r="315">
      <c r="A315" s="24">
        <f>IFERROR(__xludf.DUMMYFUNCTION("""COMPUTED_VALUE"""),43692.0)</f>
        <v>43692</v>
      </c>
      <c r="B315" s="5" t="str">
        <f>IFERROR(__xludf.DUMMYFUNCTION("""COMPUTED_VALUE"""),"Intermediate US bonds (7-10 year)")</f>
        <v>Intermediate US bonds (7-10 year)</v>
      </c>
      <c r="C315" s="5" t="str">
        <f>IFERROR(__xludf.DUMMYFUNCTION("""COMPUTED_VALUE"""),"iShares Treasury Bond 7-10 UCITS")</f>
        <v>iShares Treasury Bond 7-10 UCITS</v>
      </c>
      <c r="D315" s="21" t="str">
        <f>IFERROR(__xludf.DUMMYFUNCTION("""COMPUTED_VALUE"""),"SELL")</f>
        <v>SELL</v>
      </c>
      <c r="E315" s="21">
        <f>IFERROR(__xludf.DUMMYFUNCTION("""COMPUTED_VALUE"""),-7.0)</f>
        <v>-7</v>
      </c>
      <c r="F315" s="25">
        <f>IFERROR(__xludf.DUMMYFUNCTION("""COMPUTED_VALUE"""),187.75)</f>
        <v>187.75</v>
      </c>
      <c r="G315" s="10">
        <f>IFERROR(__xludf.DUMMYFUNCTION("""COMPUTED_VALUE"""),1314.25)</f>
        <v>1314.25</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IFERROR(__xludf.DUMMYFUNCTION("""COMPUTED_VALUE"""),"SELL")</f>
        <v>SELL</v>
      </c>
      <c r="E316" s="21">
        <f>IFERROR(__xludf.DUMMYFUNCTION("""COMPUTED_VALUE"""),-203.0)</f>
        <v>-203</v>
      </c>
      <c r="F316" s="25">
        <f>IFERROR(__xludf.DUMMYFUNCTION("""COMPUTED_VALUE"""),4.934)</f>
        <v>4.934</v>
      </c>
      <c r="G316" s="10">
        <f>IFERROR(__xludf.DUMMYFUNCTION("""COMPUTED_VALUE"""),1001.6)</f>
        <v>1001.6</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IFERROR(__xludf.DUMMYFUNCTION("""COMPUTED_VALUE"""),"COST")</f>
        <v>COST</v>
      </c>
      <c r="E317" s="5"/>
      <c r="F317" s="5"/>
      <c r="G317" s="10">
        <f>IFERROR(__xludf.DUMMYFUNCTION("""COMPUTED_VALUE"""),-2.2)</f>
        <v>-2.2</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IFERROR(__xludf.DUMMYFUNCTION("""COMPUTED_VALUE"""),"SELL")</f>
        <v>SELL</v>
      </c>
      <c r="E318" s="21">
        <f>IFERROR(__xludf.DUMMYFUNCTION("""COMPUTED_VALUE"""),-355.0)</f>
        <v>-355</v>
      </c>
      <c r="F318" s="25">
        <f>IFERROR(__xludf.DUMMYFUNCTION("""COMPUTED_VALUE"""),4.93)</f>
        <v>4.93</v>
      </c>
      <c r="G318" s="10">
        <f>IFERROR(__xludf.DUMMYFUNCTION("""COMPUTED_VALUE"""),1750.15)</f>
        <v>1750.15</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IFERROR(__xludf.DUMMYFUNCTION("""COMPUTED_VALUE"""),"COST")</f>
        <v>COST</v>
      </c>
      <c r="E319" s="5"/>
      <c r="F319" s="5"/>
      <c r="G319" s="10">
        <f>IFERROR(__xludf.DUMMYFUNCTION("""COMPUTED_VALUE"""),-2.35)</f>
        <v>-2.35</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IFERROR(__xludf.DUMMYFUNCTION("""COMPUTED_VALUE"""),"SELL")</f>
        <v>SELL</v>
      </c>
      <c r="E320" s="21">
        <f>IFERROR(__xludf.DUMMYFUNCTION("""COMPUTED_VALUE"""),-100.0)</f>
        <v>-100</v>
      </c>
      <c r="F320" s="25">
        <f>IFERROR(__xludf.DUMMYFUNCTION("""COMPUTED_VALUE"""),4.93)</f>
        <v>4.93</v>
      </c>
      <c r="G320" s="10">
        <f>IFERROR(__xludf.DUMMYFUNCTION("""COMPUTED_VALUE"""),493.0)</f>
        <v>493</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IFERROR(__xludf.DUMMYFUNCTION("""COMPUTED_VALUE"""),"COST")</f>
        <v>COST</v>
      </c>
      <c r="E321" s="5"/>
      <c r="F321" s="5"/>
      <c r="G321" s="10">
        <f>IFERROR(__xludf.DUMMYFUNCTION("""COMPUTED_VALUE"""),-2.1)</f>
        <v>-2.1</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IFERROR(__xludf.DUMMYFUNCTION("""COMPUTED_VALUE"""),"SELL")</f>
        <v>SELL</v>
      </c>
      <c r="E322" s="21">
        <f>IFERROR(__xludf.DUMMYFUNCTION("""COMPUTED_VALUE"""),-500.0)</f>
        <v>-500</v>
      </c>
      <c r="F322" s="25">
        <f>IFERROR(__xludf.DUMMYFUNCTION("""COMPUTED_VALUE"""),4.93)</f>
        <v>4.93</v>
      </c>
      <c r="G322" s="10">
        <f>IFERROR(__xludf.DUMMYFUNCTION("""COMPUTED_VALUE"""),2465.0)</f>
        <v>2465</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IFERROR(__xludf.DUMMYFUNCTION("""COMPUTED_VALUE"""),"COST")</f>
        <v>COST</v>
      </c>
      <c r="E323" s="5"/>
      <c r="F323" s="5"/>
      <c r="G323" s="10">
        <f>IFERROR(__xludf.DUMMYFUNCTION("""COMPUTED_VALUE"""),-0.49)</f>
        <v>-0.49</v>
      </c>
    </row>
    <row r="324">
      <c r="A324" s="24">
        <f>IFERROR(__xludf.DUMMYFUNCTION("""COMPUTED_VALUE"""),43691.0)</f>
        <v>43691</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IFERROR(__xludf.DUMMYFUNCTION("""COMPUTED_VALUE"""),-206.0)</f>
        <v>-206</v>
      </c>
      <c r="F324" s="25">
        <f>IFERROR(__xludf.DUMMYFUNCTION("""COMPUTED_VALUE"""),4.8765)</f>
        <v>4.8765</v>
      </c>
      <c r="G324" s="10">
        <f>IFERROR(__xludf.DUMMYFUNCTION("""COMPUTED_VALUE"""),1004.56)</f>
        <v>1004.56</v>
      </c>
    </row>
    <row r="325">
      <c r="A325" s="24">
        <f>IFERROR(__xludf.DUMMYFUNCTION("""COMPUTED_VALUE"""),43691.0)</f>
        <v>43691</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IFERROR(__xludf.DUMMYFUNCTION("""COMPUTED_VALUE"""),-2.2)</f>
        <v>-2.2</v>
      </c>
    </row>
    <row r="326">
      <c r="A326" s="24">
        <f>IFERROR(__xludf.DUMMYFUNCTION("""COMPUTED_VALUE"""),43691.0)</f>
        <v>43691</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IFERROR(__xludf.DUMMYFUNCTION("""COMPUTED_VALUE"""),-106.0)</f>
        <v>-106</v>
      </c>
      <c r="F326" s="25">
        <f>IFERROR(__xludf.DUMMYFUNCTION("""COMPUTED_VALUE"""),4.876)</f>
        <v>4.876</v>
      </c>
      <c r="G326" s="10">
        <f>IFERROR(__xludf.DUMMYFUNCTION("""COMPUTED_VALUE"""),516.86)</f>
        <v>516.86</v>
      </c>
    </row>
    <row r="327">
      <c r="A327" s="24">
        <f>IFERROR(__xludf.DUMMYFUNCTION("""COMPUTED_VALUE"""),43691.0)</f>
        <v>43691</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IFERROR(__xludf.DUMMYFUNCTION("""COMPUTED_VALUE"""),-0.1)</f>
        <v>-0.1</v>
      </c>
    </row>
    <row r="328">
      <c r="A328" s="24">
        <f>IFERROR(__xludf.DUMMYFUNCTION("""COMPUTED_VALUE"""),43691.0)</f>
        <v>43691</v>
      </c>
      <c r="B328" s="5" t="str">
        <f>IFERROR(__xludf.DUMMYFUNCTION("""COMPUTED_VALUE"""),"Long term US bonds (20-25 year)")</f>
        <v>Long term US bonds (20-25 year)</v>
      </c>
      <c r="C328" s="5" t="str">
        <f>IFERROR(__xludf.DUMMYFUNCTION("""COMPUTED_VALUE"""),"iShares Treasury Bond 20+ UCITS")</f>
        <v>iShares Treasury Bond 20+ UCITS</v>
      </c>
      <c r="D328" s="21" t="str">
        <f>IFERROR(__xludf.DUMMYFUNCTION("""COMPUTED_VALUE"""),"SELL")</f>
        <v>SELL</v>
      </c>
      <c r="E328" s="21">
        <f>IFERROR(__xludf.DUMMYFUNCTION("""COMPUTED_VALUE"""),-100.0)</f>
        <v>-100</v>
      </c>
      <c r="F328" s="25">
        <f>IFERROR(__xludf.DUMMYFUNCTION("""COMPUTED_VALUE"""),4.876)</f>
        <v>4.876</v>
      </c>
      <c r="G328" s="10">
        <f>IFERROR(__xludf.DUMMYFUNCTION("""COMPUTED_VALUE"""),487.6)</f>
        <v>487.6</v>
      </c>
    </row>
    <row r="329">
      <c r="A329" s="24">
        <f>IFERROR(__xludf.DUMMYFUNCTION("""COMPUTED_VALUE"""),43691.0)</f>
        <v>43691</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IFERROR(__xludf.DUMMYFUNCTION("""COMPUTED_VALUE"""),"COST")</f>
        <v>COST</v>
      </c>
      <c r="E329" s="5"/>
      <c r="F329" s="5"/>
      <c r="G329" s="10">
        <f>IFERROR(__xludf.DUMMYFUNCTION("""COMPUTED_VALUE"""),-2.1)</f>
        <v>-2.1</v>
      </c>
    </row>
    <row r="330">
      <c r="A330" s="24">
        <f>IFERROR(__xludf.DUMMYFUNCTION("""COMPUTED_VALUE"""),43691.0)</f>
        <v>43691</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IFERROR(__xludf.DUMMYFUNCTION("""COMPUTED_VALUE"""),"SELL")</f>
        <v>SELL</v>
      </c>
      <c r="E330" s="21">
        <f>IFERROR(__xludf.DUMMYFUNCTION("""COMPUTED_VALUE"""),-56.0)</f>
        <v>-56</v>
      </c>
      <c r="F330" s="25">
        <f>IFERROR(__xludf.DUMMYFUNCTION("""COMPUTED_VALUE"""),4.8739)</f>
        <v>4.8739</v>
      </c>
      <c r="G330" s="10">
        <f>IFERROR(__xludf.DUMMYFUNCTION("""COMPUTED_VALUE"""),272.94)</f>
        <v>272.94</v>
      </c>
    </row>
    <row r="331">
      <c r="A331" s="24">
        <f>IFERROR(__xludf.DUMMYFUNCTION("""COMPUTED_VALUE"""),43691.0)</f>
        <v>43691</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IFERROR(__xludf.DUMMYFUNCTION("""COMPUTED_VALUE"""),"COST")</f>
        <v>COST</v>
      </c>
      <c r="E331" s="5"/>
      <c r="F331" s="5"/>
      <c r="G331" s="10">
        <f>IFERROR(__xludf.DUMMYFUNCTION("""COMPUTED_VALUE"""),-2.05)</f>
        <v>-2.05</v>
      </c>
    </row>
    <row r="332">
      <c r="A332" s="24">
        <f>IFERROR(__xludf.DUMMYFUNCTION("""COMPUTED_VALUE"""),43691.0)</f>
        <v>43691</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IFERROR(__xludf.DUMMYFUNCTION("""COMPUTED_VALUE"""),"SELL")</f>
        <v>SELL</v>
      </c>
      <c r="E332" s="21">
        <f>IFERROR(__xludf.DUMMYFUNCTION("""COMPUTED_VALUE"""),-167.0)</f>
        <v>-167</v>
      </c>
      <c r="F332" s="25">
        <f>IFERROR(__xludf.DUMMYFUNCTION("""COMPUTED_VALUE"""),4.878)</f>
        <v>4.878</v>
      </c>
      <c r="G332" s="10">
        <f>IFERROR(__xludf.DUMMYFUNCTION("""COMPUTED_VALUE"""),814.63)</f>
        <v>814.63</v>
      </c>
    </row>
    <row r="333">
      <c r="A333" s="24">
        <f>IFERROR(__xludf.DUMMYFUNCTION("""COMPUTED_VALUE"""),43691.0)</f>
        <v>43691</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IFERROR(__xludf.DUMMYFUNCTION("""COMPUTED_VALUE"""),"COST")</f>
        <v>COST</v>
      </c>
      <c r="E333" s="5"/>
      <c r="F333" s="5"/>
      <c r="G333" s="10">
        <f>IFERROR(__xludf.DUMMYFUNCTION("""COMPUTED_VALUE"""),-0.16)</f>
        <v>-0.16</v>
      </c>
    </row>
    <row r="334">
      <c r="A334" s="24">
        <f>IFERROR(__xludf.DUMMYFUNCTION("""COMPUTED_VALUE"""),43691.0)</f>
        <v>43691</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IFERROR(__xludf.DUMMYFUNCTION("""COMPUTED_VALUE"""),"SELL")</f>
        <v>SELL</v>
      </c>
      <c r="E334" s="21">
        <f>IFERROR(__xludf.DUMMYFUNCTION("""COMPUTED_VALUE"""),-100.0)</f>
        <v>-100</v>
      </c>
      <c r="F334" s="25">
        <f>IFERROR(__xludf.DUMMYFUNCTION("""COMPUTED_VALUE"""),4.878)</f>
        <v>4.878</v>
      </c>
      <c r="G334" s="10">
        <f>IFERROR(__xludf.DUMMYFUNCTION("""COMPUTED_VALUE"""),487.8)</f>
        <v>487.8</v>
      </c>
    </row>
    <row r="335">
      <c r="A335" s="24">
        <f>IFERROR(__xludf.DUMMYFUNCTION("""COMPUTED_VALUE"""),43691.0)</f>
        <v>43691</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IFERROR(__xludf.DUMMYFUNCTION("""COMPUTED_VALUE"""),"COST")</f>
        <v>COST</v>
      </c>
      <c r="E335" s="5"/>
      <c r="F335" s="5"/>
      <c r="G335" s="10">
        <f>IFERROR(__xludf.DUMMYFUNCTION("""COMPUTED_VALUE"""),-2.1)</f>
        <v>-2.1</v>
      </c>
    </row>
    <row r="336">
      <c r="A336" s="24">
        <f>IFERROR(__xludf.DUMMYFUNCTION("""COMPUTED_VALUE"""),43691.0)</f>
        <v>43691</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IFERROR(__xludf.DUMMYFUNCTION("""COMPUTED_VALUE"""),"SELL")</f>
        <v>SELL</v>
      </c>
      <c r="E336" s="21">
        <f>IFERROR(__xludf.DUMMYFUNCTION("""COMPUTED_VALUE"""),-589.0)</f>
        <v>-589</v>
      </c>
      <c r="F336" s="25">
        <f>IFERROR(__xludf.DUMMYFUNCTION("""COMPUTED_VALUE"""),4.88)</f>
        <v>4.88</v>
      </c>
      <c r="G336" s="10">
        <f>IFERROR(__xludf.DUMMYFUNCTION("""COMPUTED_VALUE"""),2874.32)</f>
        <v>2874.32</v>
      </c>
    </row>
    <row r="337">
      <c r="A337" s="24">
        <f>IFERROR(__xludf.DUMMYFUNCTION("""COMPUTED_VALUE"""),43691.0)</f>
        <v>43691</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IFERROR(__xludf.DUMMYFUNCTION("""COMPUTED_VALUE"""),"COST")</f>
        <v>COST</v>
      </c>
      <c r="E337" s="5"/>
      <c r="F337" s="5"/>
      <c r="G337" s="10">
        <f>IFERROR(__xludf.DUMMYFUNCTION("""COMPUTED_VALUE"""),-2.57)</f>
        <v>-2.57</v>
      </c>
    </row>
    <row r="338">
      <c r="A338" s="24">
        <f>IFERROR(__xludf.DUMMYFUNCTION("""COMPUTED_VALUE"""),43684.0)</f>
        <v>43684</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IFERROR(__xludf.DUMMYFUNCTION("""COMPUTED_VALUE"""),"SELL")</f>
        <v>SELL</v>
      </c>
      <c r="E338" s="21">
        <f>IFERROR(__xludf.DUMMYFUNCTION("""COMPUTED_VALUE"""),-211.0)</f>
        <v>-211</v>
      </c>
      <c r="F338" s="25">
        <f>IFERROR(__xludf.DUMMYFUNCTION("""COMPUTED_VALUE"""),4.746)</f>
        <v>4.746</v>
      </c>
      <c r="G338" s="10">
        <f>IFERROR(__xludf.DUMMYFUNCTION("""COMPUTED_VALUE"""),1001.41)</f>
        <v>1001.41</v>
      </c>
    </row>
    <row r="339">
      <c r="A339" s="24">
        <f>IFERROR(__xludf.DUMMYFUNCTION("""COMPUTED_VALUE"""),43684.0)</f>
        <v>43684</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IFERROR(__xludf.DUMMYFUNCTION("""COMPUTED_VALUE"""),"COST")</f>
        <v>COST</v>
      </c>
      <c r="E339" s="5"/>
      <c r="F339" s="5"/>
      <c r="G339" s="10">
        <f>IFERROR(__xludf.DUMMYFUNCTION("""COMPUTED_VALUE"""),-2.2)</f>
        <v>-2.2</v>
      </c>
    </row>
    <row r="340">
      <c r="A340" s="24">
        <f>IFERROR(__xludf.DUMMYFUNCTION("""COMPUTED_VALUE"""),43684.0)</f>
        <v>43684</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IFERROR(__xludf.DUMMYFUNCTION("""COMPUTED_VALUE"""),"SELL")</f>
        <v>SELL</v>
      </c>
      <c r="E340" s="21">
        <f>IFERROR(__xludf.DUMMYFUNCTION("""COMPUTED_VALUE"""),-212.0)</f>
        <v>-212</v>
      </c>
      <c r="F340" s="25">
        <f>IFERROR(__xludf.DUMMYFUNCTION("""COMPUTED_VALUE"""),4.7519)</f>
        <v>4.7519</v>
      </c>
      <c r="G340" s="10">
        <f>IFERROR(__xludf.DUMMYFUNCTION("""COMPUTED_VALUE"""),1007.42)</f>
        <v>1007.42</v>
      </c>
    </row>
    <row r="341">
      <c r="A341" s="24">
        <f>IFERROR(__xludf.DUMMYFUNCTION("""COMPUTED_VALUE"""),43684.0)</f>
        <v>43684</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IFERROR(__xludf.DUMMYFUNCTION("""COMPUTED_VALUE"""),"COST")</f>
        <v>COST</v>
      </c>
      <c r="E341" s="5"/>
      <c r="F341" s="5"/>
      <c r="G341" s="10">
        <f>IFERROR(__xludf.DUMMYFUNCTION("""COMPUTED_VALUE"""),-2.2)</f>
        <v>-2.2</v>
      </c>
    </row>
    <row r="342">
      <c r="A342" s="24">
        <f>IFERROR(__xludf.DUMMYFUNCTION("""COMPUTED_VALUE"""),43684.0)</f>
        <v>43684</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IFERROR(__xludf.DUMMYFUNCTION("""COMPUTED_VALUE"""),-212.0)</f>
        <v>-212</v>
      </c>
      <c r="F342" s="25">
        <f>IFERROR(__xludf.DUMMYFUNCTION("""COMPUTED_VALUE"""),4.7574)</f>
        <v>4.7574</v>
      </c>
      <c r="G342" s="10">
        <f>IFERROR(__xludf.DUMMYFUNCTION("""COMPUTED_VALUE"""),1008.57)</f>
        <v>1008.57</v>
      </c>
    </row>
    <row r="343">
      <c r="A343" s="24">
        <f>IFERROR(__xludf.DUMMYFUNCTION("""COMPUTED_VALUE"""),43684.0)</f>
        <v>43684</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IFERROR(__xludf.DUMMYFUNCTION("""COMPUTED_VALUE"""),-2.2)</f>
        <v>-2.2</v>
      </c>
    </row>
    <row r="344">
      <c r="A344" s="24">
        <f>IFERROR(__xludf.DUMMYFUNCTION("""COMPUTED_VALUE"""),43684.0)</f>
        <v>43684</v>
      </c>
      <c r="B344" s="5" t="str">
        <f>IFERROR(__xludf.DUMMYFUNCTION("""COMPUTED_VALUE"""),"Gold")</f>
        <v>Gold</v>
      </c>
      <c r="C344" s="5" t="str">
        <f>IFERROR(__xludf.DUMMYFUNCTION("""COMPUTED_VALUE"""),"ETFS Physical Gold")</f>
        <v>ETFS Physical Gold</v>
      </c>
      <c r="D344" s="21" t="str">
        <f>IFERROR(__xludf.DUMMYFUNCTION("""COMPUTED_VALUE"""),"SELL")</f>
        <v>SELL</v>
      </c>
      <c r="E344" s="21">
        <f>IFERROR(__xludf.DUMMYFUNCTION("""COMPUTED_VALUE"""),-8.0)</f>
        <v>-8</v>
      </c>
      <c r="F344" s="25">
        <f>IFERROR(__xludf.DUMMYFUNCTION("""COMPUTED_VALUE"""),127.47)</f>
        <v>127.47</v>
      </c>
      <c r="G344" s="10">
        <f>IFERROR(__xludf.DUMMYFUNCTION("""COMPUTED_VALUE"""),1019.76)</f>
        <v>1019.76</v>
      </c>
    </row>
    <row r="345">
      <c r="A345" s="24">
        <f>IFERROR(__xludf.DUMMYFUNCTION("""COMPUTED_VALUE"""),43684.0)</f>
        <v>43684</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IFERROR(__xludf.DUMMYFUNCTION("""COMPUTED_VALUE"""),"SELL")</f>
        <v>SELL</v>
      </c>
      <c r="E345" s="21">
        <f>IFERROR(__xludf.DUMMYFUNCTION("""COMPUTED_VALUE"""),-402.0)</f>
        <v>-402</v>
      </c>
      <c r="F345" s="25">
        <f>IFERROR(__xludf.DUMMYFUNCTION("""COMPUTED_VALUE"""),4.7519)</f>
        <v>4.7519</v>
      </c>
      <c r="G345" s="10">
        <f>IFERROR(__xludf.DUMMYFUNCTION("""COMPUTED_VALUE"""),1910.3)</f>
        <v>1910.3</v>
      </c>
    </row>
    <row r="346">
      <c r="A346" s="24">
        <f>IFERROR(__xludf.DUMMYFUNCTION("""COMPUTED_VALUE"""),43684.0)</f>
        <v>43684</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IFERROR(__xludf.DUMMYFUNCTION("""COMPUTED_VALUE"""),"COST")</f>
        <v>COST</v>
      </c>
      <c r="E346" s="5"/>
      <c r="F346" s="5"/>
      <c r="G346" s="10">
        <f>IFERROR(__xludf.DUMMYFUNCTION("""COMPUTED_VALUE"""),-2.38)</f>
        <v>-2.38</v>
      </c>
    </row>
    <row r="347">
      <c r="A347" s="24">
        <f>IFERROR(__xludf.DUMMYFUNCTION("""COMPUTED_VALUE"""),43684.0)</f>
        <v>43684</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IFERROR(__xludf.DUMMYFUNCTION("""COMPUTED_VALUE"""),-215.0)</f>
        <v>-215</v>
      </c>
      <c r="F347" s="25">
        <f>IFERROR(__xludf.DUMMYFUNCTION("""COMPUTED_VALUE"""),4.74)</f>
        <v>4.74</v>
      </c>
      <c r="G347" s="10">
        <f>IFERROR(__xludf.DUMMYFUNCTION("""COMPUTED_VALUE"""),1019.1)</f>
        <v>1019.1</v>
      </c>
    </row>
    <row r="348">
      <c r="A348" s="24">
        <f>IFERROR(__xludf.DUMMYFUNCTION("""COMPUTED_VALUE"""),43684.0)</f>
        <v>43684</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IFERROR(__xludf.DUMMYFUNCTION("""COMPUTED_VALUE"""),-2.2)</f>
        <v>-2.2</v>
      </c>
    </row>
    <row r="349">
      <c r="A349" s="24">
        <f>IFERROR(__xludf.DUMMYFUNCTION("""COMPUTED_VALUE"""),43684.0)</f>
        <v>43684</v>
      </c>
      <c r="B349" s="5" t="str">
        <f>IFERROR(__xludf.DUMMYFUNCTION("""COMPUTED_VALUE"""),"Gold")</f>
        <v>Gold</v>
      </c>
      <c r="C349" s="5" t="str">
        <f>IFERROR(__xludf.DUMMYFUNCTION("""COMPUTED_VALUE"""),"ETFS Physical Gold")</f>
        <v>ETFS Physical Gold</v>
      </c>
      <c r="D349" s="21" t="str">
        <f>IFERROR(__xludf.DUMMYFUNCTION("""COMPUTED_VALUE"""),"SELL")</f>
        <v>SELL</v>
      </c>
      <c r="E349" s="21">
        <f>IFERROR(__xludf.DUMMYFUNCTION("""COMPUTED_VALUE"""),-8.0)</f>
        <v>-8</v>
      </c>
      <c r="F349" s="25">
        <f>IFERROR(__xludf.DUMMYFUNCTION("""COMPUTED_VALUE"""),126.96)</f>
        <v>126.96</v>
      </c>
      <c r="G349" s="10">
        <f>IFERROR(__xludf.DUMMYFUNCTION("""COMPUTED_VALUE"""),1015.68)</f>
        <v>1015.68</v>
      </c>
    </row>
    <row r="350">
      <c r="A350" s="24">
        <f>IFERROR(__xludf.DUMMYFUNCTION("""COMPUTED_VALUE"""),43684.0)</f>
        <v>43684</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IFERROR(__xludf.DUMMYFUNCTION("""COMPUTED_VALUE"""),"SELL")</f>
        <v>SELL</v>
      </c>
      <c r="E350" s="21">
        <f>IFERROR(__xludf.DUMMYFUNCTION("""COMPUTED_VALUE"""),-332.0)</f>
        <v>-332</v>
      </c>
      <c r="F350" s="25">
        <f>IFERROR(__xludf.DUMMYFUNCTION("""COMPUTED_VALUE"""),4.7412)</f>
        <v>4.7412</v>
      </c>
      <c r="G350" s="10">
        <f>IFERROR(__xludf.DUMMYFUNCTION("""COMPUTED_VALUE"""),1574.11)</f>
        <v>1574.11</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IFERROR(__xludf.DUMMYFUNCTION("""COMPUTED_VALUE"""),"COST")</f>
        <v>COST</v>
      </c>
      <c r="E351" s="5"/>
      <c r="F351" s="5"/>
      <c r="G351" s="10">
        <f>IFERROR(__xludf.DUMMYFUNCTION("""COMPUTED_VALUE"""),-2.31)</f>
        <v>-2.31</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IFERROR(__xludf.DUMMYFUNCTION("""COMPUTED_VALUE"""),"SELL")</f>
        <v>SELL</v>
      </c>
      <c r="E352" s="21">
        <f>IFERROR(__xludf.DUMMYFUNCTION("""COMPUTED_VALUE"""),-213.0)</f>
        <v>-213</v>
      </c>
      <c r="F352" s="25">
        <f>IFERROR(__xludf.DUMMYFUNCTION("""COMPUTED_VALUE"""),4.712)</f>
        <v>4.712</v>
      </c>
      <c r="G352" s="10">
        <f>IFERROR(__xludf.DUMMYFUNCTION("""COMPUTED_VALUE"""),1003.66)</f>
        <v>1003.66</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IFERROR(__xludf.DUMMYFUNCTION("""COMPUTED_VALUE"""),"COST")</f>
        <v>COST</v>
      </c>
      <c r="E353" s="5"/>
      <c r="F353" s="5"/>
      <c r="G353" s="10">
        <f>IFERROR(__xludf.DUMMYFUNCTION("""COMPUTED_VALUE"""),-2.2)</f>
        <v>-2.2</v>
      </c>
    </row>
    <row r="354">
      <c r="A354" s="24">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IFERROR(__xludf.DUMMYFUNCTION("""COMPUTED_VALUE"""),"SELL")</f>
        <v>SELL</v>
      </c>
      <c r="E354" s="21">
        <f>IFERROR(__xludf.DUMMYFUNCTION("""COMPUTED_VALUE"""),-213.0)</f>
        <v>-213</v>
      </c>
      <c r="F354" s="25">
        <f>IFERROR(__xludf.DUMMYFUNCTION("""COMPUTED_VALUE"""),4.7072)</f>
        <v>4.7072</v>
      </c>
      <c r="G354" s="10">
        <f>IFERROR(__xludf.DUMMYFUNCTION("""COMPUTED_VALUE"""),1002.65)</f>
        <v>1002.65</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IFERROR(__xludf.DUMMYFUNCTION("""COMPUTED_VALUE"""),"COST")</f>
        <v>COST</v>
      </c>
      <c r="E355" s="5"/>
      <c r="F355" s="5"/>
      <c r="G355" s="10">
        <f>IFERROR(__xludf.DUMMYFUNCTION("""COMPUTED_VALUE"""),-2.2)</f>
        <v>-2.2</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IFERROR(__xludf.DUMMYFUNCTION("""COMPUTED_VALUE"""),"SELL")</f>
        <v>SELL</v>
      </c>
      <c r="E356" s="21">
        <f>IFERROR(__xludf.DUMMYFUNCTION("""COMPUTED_VALUE"""),-213.0)</f>
        <v>-213</v>
      </c>
      <c r="F356" s="25">
        <f>IFERROR(__xludf.DUMMYFUNCTION("""COMPUTED_VALUE"""),4.7082)</f>
        <v>4.7082</v>
      </c>
      <c r="G356" s="10">
        <f>IFERROR(__xludf.DUMMYFUNCTION("""COMPUTED_VALUE"""),1002.85)</f>
        <v>1002.85</v>
      </c>
    </row>
    <row r="357">
      <c r="A357" s="24">
        <f>IFERROR(__xludf.DUMMYFUNCTION("""COMPUTED_VALUE"""),43684.0)</f>
        <v>43684</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IFERROR(__xludf.DUMMYFUNCTION("""COMPUTED_VALUE"""),"COST")</f>
        <v>COST</v>
      </c>
      <c r="E357" s="5"/>
      <c r="F357" s="5"/>
      <c r="G357" s="10">
        <f>IFERROR(__xludf.DUMMYFUNCTION("""COMPUTED_VALUE"""),-2.2)</f>
        <v>-2.2</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IFERROR(__xludf.DUMMYFUNCTION("""COMPUTED_VALUE"""),-213.0)</f>
        <v>-213</v>
      </c>
      <c r="F358" s="25">
        <f>IFERROR(__xludf.DUMMYFUNCTION("""COMPUTED_VALUE"""),4.704)</f>
        <v>4.704</v>
      </c>
      <c r="G358" s="10">
        <f>IFERROR(__xludf.DUMMYFUNCTION("""COMPUTED_VALUE"""),1001.97)</f>
        <v>1001.97</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IFERROR(__xludf.DUMMYFUNCTION("""COMPUTED_VALUE"""),-2.2)</f>
        <v>-2.2</v>
      </c>
    </row>
    <row r="360">
      <c r="A360" s="24">
        <f>IFERROR(__xludf.DUMMYFUNCTION("""COMPUTED_VALUE"""),43682.0)</f>
        <v>43682</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IFERROR(__xludf.DUMMYFUNCTION("""COMPUTED_VALUE"""),-435.0)</f>
        <v>-435</v>
      </c>
      <c r="F360" s="25">
        <f>IFERROR(__xludf.DUMMYFUNCTION("""COMPUTED_VALUE"""),4.653)</f>
        <v>4.653</v>
      </c>
      <c r="G360" s="10">
        <f>IFERROR(__xludf.DUMMYFUNCTION("""COMPUTED_VALUE"""),2023.97)</f>
        <v>2023.97</v>
      </c>
    </row>
    <row r="361">
      <c r="A361" s="24">
        <f>IFERROR(__xludf.DUMMYFUNCTION("""COMPUTED_VALUE"""),43682.0)</f>
        <v>43682</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IFERROR(__xludf.DUMMYFUNCTION("""COMPUTED_VALUE"""),-2.41)</f>
        <v>-2.41</v>
      </c>
    </row>
    <row r="362">
      <c r="A362" s="24">
        <f>IFERROR(__xludf.DUMMYFUNCTION("""COMPUTED_VALUE"""),43682.0)</f>
        <v>43682</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IFERROR(__xludf.DUMMYFUNCTION("""COMPUTED_VALUE"""),-9.0)</f>
        <v>-9</v>
      </c>
      <c r="F362" s="25">
        <f>IFERROR(__xludf.DUMMYFUNCTION("""COMPUTED_VALUE"""),124.85)</f>
        <v>124.85</v>
      </c>
      <c r="G362" s="10">
        <f>IFERROR(__xludf.DUMMYFUNCTION("""COMPUTED_VALUE"""),1123.65)</f>
        <v>1123.65</v>
      </c>
    </row>
    <row r="363">
      <c r="A363" s="24">
        <f>IFERROR(__xludf.DUMMYFUNCTION("""COMPUTED_VALUE"""),43682.0)</f>
        <v>43682</v>
      </c>
      <c r="B363" s="5" t="str">
        <f>IFERROR(__xludf.DUMMYFUNCTION("""COMPUTED_VALUE"""),"Gold")</f>
        <v>Gold</v>
      </c>
      <c r="C363" s="5" t="str">
        <f>IFERROR(__xludf.DUMMYFUNCTION("""COMPUTED_VALUE"""),"ETFS Physical Gold")</f>
        <v>ETFS Physical Gold</v>
      </c>
      <c r="D363" s="21" t="str">
        <f>IFERROR(__xludf.DUMMYFUNCTION("""COMPUTED_VALUE"""),"SELL")</f>
        <v>SELL</v>
      </c>
      <c r="E363" s="21">
        <f>IFERROR(__xludf.DUMMYFUNCTION("""COMPUTED_VALUE"""),-9.0)</f>
        <v>-9</v>
      </c>
      <c r="F363" s="25">
        <f>IFERROR(__xludf.DUMMYFUNCTION("""COMPUTED_VALUE"""),124.71)</f>
        <v>124.71</v>
      </c>
      <c r="G363" s="10">
        <f>IFERROR(__xludf.DUMMYFUNCTION("""COMPUTED_VALUE"""),1122.39)</f>
        <v>1122.39</v>
      </c>
    </row>
    <row r="364">
      <c r="A364" s="24">
        <f>IFERROR(__xludf.DUMMYFUNCTION("""COMPUTED_VALUE"""),43682.0)</f>
        <v>43682</v>
      </c>
      <c r="B364" s="5" t="str">
        <f>IFERROR(__xludf.DUMMYFUNCTION("""COMPUTED_VALUE"""),"Gold")</f>
        <v>Gold</v>
      </c>
      <c r="C364" s="5" t="str">
        <f>IFERROR(__xludf.DUMMYFUNCTION("""COMPUTED_VALUE"""),"ETFS Physical Gold")</f>
        <v>ETFS Physical Gold</v>
      </c>
      <c r="D364" s="21" t="str">
        <f>IFERROR(__xludf.DUMMYFUNCTION("""COMPUTED_VALUE"""),"SELL")</f>
        <v>SELL</v>
      </c>
      <c r="E364" s="21">
        <f>IFERROR(__xludf.DUMMYFUNCTION("""COMPUTED_VALUE"""),-9.0)</f>
        <v>-9</v>
      </c>
      <c r="F364" s="25">
        <f>IFERROR(__xludf.DUMMYFUNCTION("""COMPUTED_VALUE"""),124.71)</f>
        <v>124.71</v>
      </c>
      <c r="G364" s="10">
        <f>IFERROR(__xludf.DUMMYFUNCTION("""COMPUTED_VALUE"""),1122.39)</f>
        <v>1122.39</v>
      </c>
    </row>
    <row r="365">
      <c r="A365" s="24">
        <f>IFERROR(__xludf.DUMMYFUNCTION("""COMPUTED_VALUE"""),43682.0)</f>
        <v>43682</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IFERROR(__xludf.DUMMYFUNCTION("""COMPUTED_VALUE"""),-223.0)</f>
        <v>-223</v>
      </c>
      <c r="F365" s="25">
        <f>IFERROR(__xludf.DUMMYFUNCTION("""COMPUTED_VALUE"""),4.656)</f>
        <v>4.656</v>
      </c>
      <c r="G365" s="10">
        <f>IFERROR(__xludf.DUMMYFUNCTION("""COMPUTED_VALUE"""),1038.29)</f>
        <v>1038.29</v>
      </c>
    </row>
    <row r="366">
      <c r="A366" s="24">
        <f>IFERROR(__xludf.DUMMYFUNCTION("""COMPUTED_VALUE"""),43682.0)</f>
        <v>43682</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IFERROR(__xludf.DUMMYFUNCTION("""COMPUTED_VALUE"""),-2.21)</f>
        <v>-2.21</v>
      </c>
    </row>
    <row r="367">
      <c r="A367" s="24">
        <f>IFERROR(__xludf.DUMMYFUNCTION("""COMPUTED_VALUE"""),43682.0)</f>
        <v>43682</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IFERROR(__xludf.DUMMYFUNCTION("""COMPUTED_VALUE"""),-219.0)</f>
        <v>-219</v>
      </c>
      <c r="F367" s="25">
        <f>IFERROR(__xludf.DUMMYFUNCTION("""COMPUTED_VALUE"""),4.651)</f>
        <v>4.651</v>
      </c>
      <c r="G367" s="10">
        <f>IFERROR(__xludf.DUMMYFUNCTION("""COMPUTED_VALUE"""),1018.57)</f>
        <v>1018.57</v>
      </c>
    </row>
    <row r="368">
      <c r="A368" s="24">
        <f>IFERROR(__xludf.DUMMYFUNCTION("""COMPUTED_VALUE"""),43682.0)</f>
        <v>43682</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IFERROR(__xludf.DUMMYFUNCTION("""COMPUTED_VALUE"""),43682.0)</f>
        <v>43682</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IFERROR(__xludf.DUMMYFUNCTION("""COMPUTED_VALUE"""),"SELL")</f>
        <v>SELL</v>
      </c>
      <c r="E369" s="21">
        <f>IFERROR(__xludf.DUMMYFUNCTION("""COMPUTED_VALUE"""),-794.0)</f>
        <v>-794</v>
      </c>
      <c r="F369" s="25">
        <f>IFERROR(__xludf.DUMMYFUNCTION("""COMPUTED_VALUE"""),4.6528)</f>
        <v>4.6528</v>
      </c>
      <c r="G369" s="10">
        <f>IFERROR(__xludf.DUMMYFUNCTION("""COMPUTED_VALUE"""),3694.4)</f>
        <v>3694.4</v>
      </c>
    </row>
    <row r="370">
      <c r="A370" s="24">
        <f>IFERROR(__xludf.DUMMYFUNCTION("""COMPUTED_VALUE"""),43682.0)</f>
        <v>43682</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IFERROR(__xludf.DUMMYFUNCTION("""COMPUTED_VALUE"""),"COST")</f>
        <v>COST</v>
      </c>
      <c r="E370" s="5"/>
      <c r="F370" s="5"/>
      <c r="G370" s="10">
        <f>IFERROR(__xludf.DUMMYFUNCTION("""COMPUTED_VALUE"""),-2.74)</f>
        <v>-2.74</v>
      </c>
    </row>
    <row r="371">
      <c r="A371" s="24">
        <f>IFERROR(__xludf.DUMMYFUNCTION("""COMPUTED_VALUE"""),43679.0)</f>
        <v>43679</v>
      </c>
      <c r="B371" s="5" t="str">
        <f>IFERROR(__xludf.DUMMYFUNCTION("""COMPUTED_VALUE"""),"Intermediate US bonds (7-10 year)")</f>
        <v>Intermediate US bonds (7-10 year)</v>
      </c>
      <c r="C371" s="5" t="str">
        <f>IFERROR(__xludf.DUMMYFUNCTION("""COMPUTED_VALUE"""),"iShares Treasury Bond 7-10 UCITS")</f>
        <v>iShares Treasury Bond 7-10 UCITS</v>
      </c>
      <c r="D371" s="21" t="str">
        <f>IFERROR(__xludf.DUMMYFUNCTION("""COMPUTED_VALUE"""),"SELL")</f>
        <v>SELL</v>
      </c>
      <c r="E371" s="21">
        <f>IFERROR(__xludf.DUMMYFUNCTION("""COMPUTED_VALUE"""),-7.0)</f>
        <v>-7</v>
      </c>
      <c r="F371" s="25">
        <f>IFERROR(__xludf.DUMMYFUNCTION("""COMPUTED_VALUE"""),184.8)</f>
        <v>184.8</v>
      </c>
      <c r="G371" s="10">
        <f>IFERROR(__xludf.DUMMYFUNCTION("""COMPUTED_VALUE"""),1293.6)</f>
        <v>1293.6</v>
      </c>
    </row>
    <row r="372">
      <c r="A372" s="24">
        <f>IFERROR(__xludf.DUMMYFUNCTION("""COMPUTED_VALUE"""),43679.0)</f>
        <v>43679</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IFERROR(__xludf.DUMMYFUNCTION("""COMPUTED_VALUE"""),"SELL")</f>
        <v>SELL</v>
      </c>
      <c r="E372" s="21">
        <f>IFERROR(__xludf.DUMMYFUNCTION("""COMPUTED_VALUE"""),-493.0)</f>
        <v>-493</v>
      </c>
      <c r="F372" s="25">
        <f>IFERROR(__xludf.DUMMYFUNCTION("""COMPUTED_VALUE"""),4.611)</f>
        <v>4.611</v>
      </c>
      <c r="G372" s="10">
        <f>IFERROR(__xludf.DUMMYFUNCTION("""COMPUTED_VALUE"""),2273.22)</f>
        <v>2273.22</v>
      </c>
    </row>
    <row r="373">
      <c r="A373" s="24">
        <f>IFERROR(__xludf.DUMMYFUNCTION("""COMPUTED_VALUE"""),43679.0)</f>
        <v>43679</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IFERROR(__xludf.DUMMYFUNCTION("""COMPUTED_VALUE"""),"COST")</f>
        <v>COST</v>
      </c>
      <c r="E373" s="5"/>
      <c r="F373" s="5"/>
      <c r="G373" s="10">
        <f>IFERROR(__xludf.DUMMYFUNCTION("""COMPUTED_VALUE"""),-2.45)</f>
        <v>-2.45</v>
      </c>
    </row>
    <row r="374">
      <c r="A374" s="24">
        <f>IFERROR(__xludf.DUMMYFUNCTION("""COMPUTED_VALUE"""),43679.0)</f>
        <v>43679</v>
      </c>
      <c r="B374" s="5" t="str">
        <f>IFERROR(__xludf.DUMMYFUNCTION("""COMPUTED_VALUE"""),"Gold")</f>
        <v>Gold</v>
      </c>
      <c r="C374" s="5" t="str">
        <f>IFERROR(__xludf.DUMMYFUNCTION("""COMPUTED_VALUE"""),"ETFS Physical Gold")</f>
        <v>ETFS Physical Gold</v>
      </c>
      <c r="D374" s="21" t="str">
        <f>IFERROR(__xludf.DUMMYFUNCTION("""COMPUTED_VALUE"""),"SELL")</f>
        <v>SELL</v>
      </c>
      <c r="E374" s="21">
        <f>IFERROR(__xludf.DUMMYFUNCTION("""COMPUTED_VALUE"""),-9.0)</f>
        <v>-9</v>
      </c>
      <c r="F374" s="25">
        <f>IFERROR(__xludf.DUMMYFUNCTION("""COMPUTED_VALUE"""),123.9)</f>
        <v>123.9</v>
      </c>
      <c r="G374" s="10">
        <f>IFERROR(__xludf.DUMMYFUNCTION("""COMPUTED_VALUE"""),1115.1)</f>
        <v>1115.1</v>
      </c>
    </row>
    <row r="375">
      <c r="A375" s="24">
        <f>IFERROR(__xludf.DUMMYFUNCTION("""COMPUTED_VALUE"""),43679.0)</f>
        <v>43679</v>
      </c>
      <c r="B375" s="5" t="str">
        <f>IFERROR(__xludf.DUMMYFUNCTION("""COMPUTED_VALUE"""),"Intermediate US bonds (7-10 year)")</f>
        <v>Intermediate US bonds (7-10 year)</v>
      </c>
      <c r="C375" s="5" t="str">
        <f>IFERROR(__xludf.DUMMYFUNCTION("""COMPUTED_VALUE"""),"iShares Treasury Bond 7-10 UCITS")</f>
        <v>iShares Treasury Bond 7-10 UCITS</v>
      </c>
      <c r="D375" s="21" t="str">
        <f>IFERROR(__xludf.DUMMYFUNCTION("""COMPUTED_VALUE"""),"SELL")</f>
        <v>SELL</v>
      </c>
      <c r="E375" s="21">
        <f>IFERROR(__xludf.DUMMYFUNCTION("""COMPUTED_VALUE"""),-6.0)</f>
        <v>-6</v>
      </c>
      <c r="F375" s="25">
        <f>IFERROR(__xludf.DUMMYFUNCTION("""COMPUTED_VALUE"""),184.2)</f>
        <v>184.2</v>
      </c>
      <c r="G375" s="10">
        <f>IFERROR(__xludf.DUMMYFUNCTION("""COMPUTED_VALUE"""),1105.2)</f>
        <v>1105.2</v>
      </c>
    </row>
    <row r="376">
      <c r="A376" s="24">
        <f>IFERROR(__xludf.DUMMYFUNCTION("""COMPUTED_VALUE"""),43679.0)</f>
        <v>43679</v>
      </c>
      <c r="B376" s="5" t="str">
        <f>IFERROR(__xludf.DUMMYFUNCTION("""COMPUTED_VALUE"""),"Gold")</f>
        <v>Gold</v>
      </c>
      <c r="C376" s="5" t="str">
        <f>IFERROR(__xludf.DUMMYFUNCTION("""COMPUTED_VALUE"""),"ETFS Physical Gold")</f>
        <v>ETFS Physical Gold</v>
      </c>
      <c r="D376" s="21" t="str">
        <f>IFERROR(__xludf.DUMMYFUNCTION("""COMPUTED_VALUE"""),"SELL")</f>
        <v>SELL</v>
      </c>
      <c r="E376" s="21">
        <f>IFERROR(__xludf.DUMMYFUNCTION("""COMPUTED_VALUE"""),-9.0)</f>
        <v>-9</v>
      </c>
      <c r="F376" s="25">
        <f>IFERROR(__xludf.DUMMYFUNCTION("""COMPUTED_VALUE"""),124.13)</f>
        <v>124.13</v>
      </c>
      <c r="G376" s="10">
        <f>IFERROR(__xludf.DUMMYFUNCTION("""COMPUTED_VALUE"""),1117.17)</f>
        <v>1117.17</v>
      </c>
    </row>
    <row r="377">
      <c r="A377" s="24">
        <f>IFERROR(__xludf.DUMMYFUNCTION("""COMPUTED_VALUE"""),43679.0)</f>
        <v>43679</v>
      </c>
      <c r="B377" s="5" t="str">
        <f>IFERROR(__xludf.DUMMYFUNCTION("""COMPUTED_VALUE"""),"Intermediate US bonds (7-10 year)")</f>
        <v>Intermediate US bonds (7-10 year)</v>
      </c>
      <c r="C377" s="5" t="str">
        <f>IFERROR(__xludf.DUMMYFUNCTION("""COMPUTED_VALUE"""),"iShares Treasury Bond 7-10 UCITS")</f>
        <v>iShares Treasury Bond 7-10 UCITS</v>
      </c>
      <c r="D377" s="21" t="str">
        <f>IFERROR(__xludf.DUMMYFUNCTION("""COMPUTED_VALUE"""),"SELL")</f>
        <v>SELL</v>
      </c>
      <c r="E377" s="21">
        <f>IFERROR(__xludf.DUMMYFUNCTION("""COMPUTED_VALUE"""),-6.0)</f>
        <v>-6</v>
      </c>
      <c r="F377" s="25">
        <f>IFERROR(__xludf.DUMMYFUNCTION("""COMPUTED_VALUE"""),184.45)</f>
        <v>184.45</v>
      </c>
      <c r="G377" s="10">
        <f>IFERROR(__xludf.DUMMYFUNCTION("""COMPUTED_VALUE"""),1106.7)</f>
        <v>1106.7</v>
      </c>
    </row>
    <row r="378">
      <c r="A378" s="24">
        <f>IFERROR(__xludf.DUMMYFUNCTION("""COMPUTED_VALUE"""),43679.0)</f>
        <v>43679</v>
      </c>
      <c r="B378" s="5" t="str">
        <f>IFERROR(__xludf.DUMMYFUNCTION("""COMPUTED_VALUE"""),"Intermediate US bonds (7-10 year)")</f>
        <v>Intermediate US bonds (7-10 year)</v>
      </c>
      <c r="C378" s="5" t="str">
        <f>IFERROR(__xludf.DUMMYFUNCTION("""COMPUTED_VALUE"""),"iShares Treasury Bond 7-10 UCITS")</f>
        <v>iShares Treasury Bond 7-10 UCITS</v>
      </c>
      <c r="D378" s="21" t="str">
        <f>IFERROR(__xludf.DUMMYFUNCTION("""COMPUTED_VALUE"""),"SELL")</f>
        <v>SELL</v>
      </c>
      <c r="E378" s="21">
        <f>IFERROR(__xludf.DUMMYFUNCTION("""COMPUTED_VALUE"""),-6.0)</f>
        <v>-6</v>
      </c>
      <c r="F378" s="25">
        <f>IFERROR(__xludf.DUMMYFUNCTION("""COMPUTED_VALUE"""),184.4)</f>
        <v>184.4</v>
      </c>
      <c r="G378" s="10">
        <f>IFERROR(__xludf.DUMMYFUNCTION("""COMPUTED_VALUE"""),1106.4)</f>
        <v>1106.4</v>
      </c>
    </row>
    <row r="379">
      <c r="A379" s="24">
        <f>IFERROR(__xludf.DUMMYFUNCTION("""COMPUTED_VALUE"""),43679.0)</f>
        <v>43679</v>
      </c>
      <c r="B379" s="5" t="str">
        <f>IFERROR(__xludf.DUMMYFUNCTION("""COMPUTED_VALUE"""),"Gold")</f>
        <v>Gold</v>
      </c>
      <c r="C379" s="5" t="str">
        <f>IFERROR(__xludf.DUMMYFUNCTION("""COMPUTED_VALUE"""),"ETFS Physical Gold")</f>
        <v>ETFS Physical Gold</v>
      </c>
      <c r="D379" s="21" t="str">
        <f>IFERROR(__xludf.DUMMYFUNCTION("""COMPUTED_VALUE"""),"SELL")</f>
        <v>SELL</v>
      </c>
      <c r="E379" s="21">
        <f>IFERROR(__xludf.DUMMYFUNCTION("""COMPUTED_VALUE"""),-2.0)</f>
        <v>-2</v>
      </c>
      <c r="F379" s="25">
        <f>IFERROR(__xludf.DUMMYFUNCTION("""COMPUTED_VALUE"""),124.02)</f>
        <v>124.02</v>
      </c>
      <c r="G379" s="10">
        <f>IFERROR(__xludf.DUMMYFUNCTION("""COMPUTED_VALUE"""),248.04)</f>
        <v>248.04</v>
      </c>
    </row>
    <row r="380">
      <c r="A380" s="24">
        <f>IFERROR(__xludf.DUMMYFUNCTION("""COMPUTED_VALUE"""),43679.0)</f>
        <v>43679</v>
      </c>
      <c r="B380" s="5" t="str">
        <f>IFERROR(__xludf.DUMMYFUNCTION("""COMPUTED_VALUE"""),"Gold")</f>
        <v>Gold</v>
      </c>
      <c r="C380" s="5" t="str">
        <f>IFERROR(__xludf.DUMMYFUNCTION("""COMPUTED_VALUE"""),"ETFS Physical Gold")</f>
        <v>ETFS Physical Gold</v>
      </c>
      <c r="D380" s="21" t="str">
        <f>IFERROR(__xludf.DUMMYFUNCTION("""COMPUTED_VALUE"""),"COST")</f>
        <v>COST</v>
      </c>
      <c r="E380" s="5"/>
      <c r="F380" s="5"/>
      <c r="G380" s="10">
        <f>IFERROR(__xludf.DUMMYFUNCTION("""COMPUTED_VALUE"""),-2.05)</f>
        <v>-2.05</v>
      </c>
    </row>
    <row r="381">
      <c r="A381" s="24">
        <f>IFERROR(__xludf.DUMMYFUNCTION("""COMPUTED_VALUE"""),43679.0)</f>
        <v>43679</v>
      </c>
      <c r="B381" s="5" t="str">
        <f>IFERROR(__xludf.DUMMYFUNCTION("""COMPUTED_VALUE"""),"Gold")</f>
        <v>Gold</v>
      </c>
      <c r="C381" s="5" t="str">
        <f>IFERROR(__xludf.DUMMYFUNCTION("""COMPUTED_VALUE"""),"ETFS Physical Gold")</f>
        <v>ETFS Physical Gold</v>
      </c>
      <c r="D381" s="21" t="str">
        <f>IFERROR(__xludf.DUMMYFUNCTION("""COMPUTED_VALUE"""),"SELL")</f>
        <v>SELL</v>
      </c>
      <c r="E381" s="21">
        <f>IFERROR(__xludf.DUMMYFUNCTION("""COMPUTED_VALUE"""),-1.0)</f>
        <v>-1</v>
      </c>
      <c r="F381" s="25">
        <f>IFERROR(__xludf.DUMMYFUNCTION("""COMPUTED_VALUE"""),123.4)</f>
        <v>123.4</v>
      </c>
      <c r="G381" s="10">
        <f>IFERROR(__xludf.DUMMYFUNCTION("""COMPUTED_VALUE"""),123.4)</f>
        <v>123.4</v>
      </c>
    </row>
    <row r="382">
      <c r="A382" s="24">
        <f>IFERROR(__xludf.DUMMYFUNCTION("""COMPUTED_VALUE"""),43679.0)</f>
        <v>43679</v>
      </c>
      <c r="B382" s="5"/>
      <c r="C382" s="5"/>
      <c r="D382" s="21" t="str">
        <f>IFERROR(__xludf.DUMMYFUNCTION("""COMPUTED_VALUE"""),"APPROVISIONNEMENT")</f>
        <v>APPROVISIONNEMENT</v>
      </c>
      <c r="E382" s="5"/>
      <c r="F382" s="5"/>
      <c r="G382" s="10">
        <f>IFERROR(__xludf.DUMMYFUNCTION("""COMPUTED_VALUE"""),-400.0)</f>
        <v>-400</v>
      </c>
    </row>
    <row r="383">
      <c r="A383" s="24">
        <f>IFERROR(__xludf.DUMMYFUNCTION("""COMPUTED_VALUE"""),43679.0)</f>
        <v>43679</v>
      </c>
      <c r="B383" s="5" t="str">
        <f>IFERROR(__xludf.DUMMYFUNCTION("""COMPUTED_VALUE"""),"Commodities")</f>
        <v>Commodities</v>
      </c>
      <c r="C383" s="5" t="str">
        <f>IFERROR(__xludf.DUMMYFUNCTION("""COMPUTED_VALUE"""),"ETFS All Commodities ETC")</f>
        <v>ETFS All Commodities ETC</v>
      </c>
      <c r="D383" s="21" t="str">
        <f>IFERROR(__xludf.DUMMYFUNCTION("""COMPUTED_VALUE"""),"BUY")</f>
        <v>BUY</v>
      </c>
      <c r="E383" s="21">
        <f>IFERROR(__xludf.DUMMYFUNCTION("""COMPUTED_VALUE"""),1771.0)</f>
        <v>1771</v>
      </c>
      <c r="F383" s="25">
        <f>IFERROR(__xludf.DUMMYFUNCTION("""COMPUTED_VALUE"""),7.13)</f>
        <v>7.13</v>
      </c>
      <c r="G383" s="10">
        <f>IFERROR(__xludf.DUMMYFUNCTION("""COMPUTED_VALUE"""),-12627.23)</f>
        <v>-12627.23</v>
      </c>
    </row>
    <row r="384">
      <c r="A384" s="24">
        <f>IFERROR(__xludf.DUMMYFUNCTION("""COMPUTED_VALUE"""),43679.0)</f>
        <v>43679</v>
      </c>
      <c r="B384" s="5" t="str">
        <f>IFERROR(__xludf.DUMMYFUNCTION("""COMPUTED_VALUE"""),"Long term US bonds (20-25 year)")</f>
        <v>Long term US bonds (20-25 year)</v>
      </c>
      <c r="C384" s="5" t="str">
        <f>IFERROR(__xludf.DUMMYFUNCTION("""COMPUTED_VALUE"""),"iShares Treasury Bond 20+ UCITS")</f>
        <v>iShares Treasury Bond 20+ UCITS</v>
      </c>
      <c r="D384" s="21" t="str">
        <f>IFERROR(__xludf.DUMMYFUNCTION("""COMPUTED_VALUE"""),"SELL")</f>
        <v>SELL</v>
      </c>
      <c r="E384" s="21">
        <f>IFERROR(__xludf.DUMMYFUNCTION("""COMPUTED_VALUE"""),-1546.0)</f>
        <v>-1546</v>
      </c>
      <c r="F384" s="25">
        <f>IFERROR(__xludf.DUMMYFUNCTION("""COMPUTED_VALUE"""),4.611)</f>
        <v>4.611</v>
      </c>
      <c r="G384" s="10">
        <f>IFERROR(__xludf.DUMMYFUNCTION("""COMPUTED_VALUE"""),7128.61)</f>
        <v>7128.61</v>
      </c>
    </row>
    <row r="385">
      <c r="A385" s="24">
        <f>IFERROR(__xludf.DUMMYFUNCTION("""COMPUTED_VALUE"""),43679.0)</f>
        <v>43679</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IFERROR(__xludf.DUMMYFUNCTION("""COMPUTED_VALUE"""),"COST")</f>
        <v>COST</v>
      </c>
      <c r="E385" s="5"/>
      <c r="F385" s="5"/>
      <c r="G385" s="10">
        <f>IFERROR(__xludf.DUMMYFUNCTION("""COMPUTED_VALUE"""),-1.43)</f>
        <v>-1.43</v>
      </c>
    </row>
    <row r="386">
      <c r="A386" s="24">
        <f>IFERROR(__xludf.DUMMYFUNCTION("""COMPUTED_VALUE"""),43678.0)</f>
        <v>43678</v>
      </c>
      <c r="B386" s="5" t="str">
        <f>IFERROR(__xludf.DUMMYFUNCTION("""COMPUTED_VALUE"""),"Commodities")</f>
        <v>Commodities</v>
      </c>
      <c r="C386" s="5" t="str">
        <f>IFERROR(__xludf.DUMMYFUNCTION("""COMPUTED_VALUE"""),"ETFS All Commodities ETC")</f>
        <v>ETFS All Commodities ETC</v>
      </c>
      <c r="D386" s="21" t="str">
        <f>IFERROR(__xludf.DUMMYFUNCTION("""COMPUTED_VALUE"""),"BUY")</f>
        <v>BUY</v>
      </c>
      <c r="E386" s="21">
        <f>IFERROR(__xludf.DUMMYFUNCTION("""COMPUTED_VALUE"""),353.0)</f>
        <v>353</v>
      </c>
      <c r="F386" s="25">
        <f>IFERROR(__xludf.DUMMYFUNCTION("""COMPUTED_VALUE"""),7.26)</f>
        <v>7.26</v>
      </c>
      <c r="G386" s="10">
        <f>IFERROR(__xludf.DUMMYFUNCTION("""COMPUTED_VALUE"""),-2562.78)</f>
        <v>-2562.78</v>
      </c>
    </row>
    <row r="387">
      <c r="A387" s="24">
        <f>IFERROR(__xludf.DUMMYFUNCTION("""COMPUTED_VALUE"""),43677.0)</f>
        <v>43677</v>
      </c>
      <c r="B387" s="5"/>
      <c r="C387" s="5"/>
      <c r="D387" s="21" t="str">
        <f>IFERROR(__xludf.DUMMYFUNCTION("""COMPUTED_VALUE"""),"COST")</f>
        <v>COST</v>
      </c>
      <c r="E387" s="5"/>
      <c r="F387" s="5"/>
      <c r="G387" s="10">
        <f>IFERROR(__xludf.DUMMYFUNCTION("""COMPUTED_VALUE"""),-450.16)</f>
        <v>-450.16</v>
      </c>
    </row>
    <row r="388">
      <c r="A388" s="24">
        <f>IFERROR(__xludf.DUMMYFUNCTION("""COMPUTED_VALUE"""),43669.0)</f>
        <v>43669</v>
      </c>
      <c r="B388" s="5" t="str">
        <f>IFERROR(__xludf.DUMMYFUNCTION("""COMPUTED_VALUE"""),"Commodities")</f>
        <v>Commodities</v>
      </c>
      <c r="C388" s="5" t="str">
        <f>IFERROR(__xludf.DUMMYFUNCTION("""COMPUTED_VALUE"""),"ETFS All Commodities ETC")</f>
        <v>ETFS All Commodities ETC</v>
      </c>
      <c r="D388" s="21" t="str">
        <f>IFERROR(__xludf.DUMMYFUNCTION("""COMPUTED_VALUE"""),"BUY")</f>
        <v>BUY</v>
      </c>
      <c r="E388" s="21">
        <f>IFERROR(__xludf.DUMMYFUNCTION("""COMPUTED_VALUE"""),139.0)</f>
        <v>139</v>
      </c>
      <c r="F388" s="25">
        <f>IFERROR(__xludf.DUMMYFUNCTION("""COMPUTED_VALUE"""),7.24)</f>
        <v>7.24</v>
      </c>
      <c r="G388" s="10">
        <f>IFERROR(__xludf.DUMMYFUNCTION("""COMPUTED_VALUE"""),-1006.36)</f>
        <v>-1006.36</v>
      </c>
    </row>
    <row r="389">
      <c r="A389" s="24">
        <f>IFERROR(__xludf.DUMMYFUNCTION("""COMPUTED_VALUE"""),43669.0)</f>
        <v>43669</v>
      </c>
      <c r="B389" s="5" t="str">
        <f>IFERROR(__xludf.DUMMYFUNCTION("""COMPUTED_VALUE"""),"Commodities")</f>
        <v>Commodities</v>
      </c>
      <c r="C389" s="5" t="str">
        <f>IFERROR(__xludf.DUMMYFUNCTION("""COMPUTED_VALUE"""),"ETFS All Commodities ETC")</f>
        <v>ETFS All Commodities ETC</v>
      </c>
      <c r="D389" s="21" t="str">
        <f>IFERROR(__xludf.DUMMYFUNCTION("""COMPUTED_VALUE"""),"COST")</f>
        <v>COST</v>
      </c>
      <c r="E389" s="5"/>
      <c r="F389" s="5"/>
      <c r="G389" s="10">
        <f>IFERROR(__xludf.DUMMYFUNCTION("""COMPUTED_VALUE"""),-2.2)</f>
        <v>-2.2</v>
      </c>
    </row>
    <row r="390">
      <c r="A390" s="24">
        <f>IFERROR(__xludf.DUMMYFUNCTION("""COMPUTED_VALUE"""),43665.0)</f>
        <v>43665</v>
      </c>
      <c r="B390" s="5" t="str">
        <f>IFERROR(__xludf.DUMMYFUNCTION("""COMPUTED_VALUE"""),"Gold")</f>
        <v>Gold</v>
      </c>
      <c r="C390" s="5" t="str">
        <f>IFERROR(__xludf.DUMMYFUNCTION("""COMPUTED_VALUE"""),"ETFS Physical Gold")</f>
        <v>ETFS Physical Gold</v>
      </c>
      <c r="D390" s="21" t="str">
        <f>IFERROR(__xludf.DUMMYFUNCTION("""COMPUTED_VALUE"""),"SELL")</f>
        <v>SELL</v>
      </c>
      <c r="E390" s="21">
        <f>IFERROR(__xludf.DUMMYFUNCTION("""COMPUTED_VALUE"""),-10.0)</f>
        <v>-10</v>
      </c>
      <c r="F390" s="25">
        <f>IFERROR(__xludf.DUMMYFUNCTION("""COMPUTED_VALUE"""),121.84)</f>
        <v>121.84</v>
      </c>
      <c r="G390" s="10">
        <f>IFERROR(__xludf.DUMMYFUNCTION("""COMPUTED_VALUE"""),1218.4)</f>
        <v>1218.4</v>
      </c>
    </row>
    <row r="391">
      <c r="A391" s="24">
        <f>IFERROR(__xludf.DUMMYFUNCTION("""COMPUTED_VALUE"""),43664.0)</f>
        <v>43664</v>
      </c>
      <c r="B391" s="5" t="str">
        <f>IFERROR(__xludf.DUMMYFUNCTION("""COMPUTED_VALUE"""),"Commodities")</f>
        <v>Commodities</v>
      </c>
      <c r="C391" s="5" t="str">
        <f>IFERROR(__xludf.DUMMYFUNCTION("""COMPUTED_VALUE"""),"ETFS All Commodities ETC")</f>
        <v>ETFS All Commodities ETC</v>
      </c>
      <c r="D391" s="21" t="str">
        <f>IFERROR(__xludf.DUMMYFUNCTION("""COMPUTED_VALUE"""),"BUY")</f>
        <v>BUY</v>
      </c>
      <c r="E391" s="21">
        <f>IFERROR(__xludf.DUMMYFUNCTION("""COMPUTED_VALUE"""),164.0)</f>
        <v>164</v>
      </c>
      <c r="F391" s="25">
        <f>IFERROR(__xludf.DUMMYFUNCTION("""COMPUTED_VALUE"""),7.2379)</f>
        <v>7.2379</v>
      </c>
      <c r="G391" s="10">
        <f>IFERROR(__xludf.DUMMYFUNCTION("""COMPUTED_VALUE"""),-1187.03)</f>
        <v>-1187.03</v>
      </c>
    </row>
    <row r="392">
      <c r="A392" s="24">
        <f>IFERROR(__xludf.DUMMYFUNCTION("""COMPUTED_VALUE"""),43664.0)</f>
        <v>43664</v>
      </c>
      <c r="B392" s="5" t="str">
        <f>IFERROR(__xludf.DUMMYFUNCTION("""COMPUTED_VALUE"""),"Commodities")</f>
        <v>Commodities</v>
      </c>
      <c r="C392" s="5" t="str">
        <f>IFERROR(__xludf.DUMMYFUNCTION("""COMPUTED_VALUE"""),"ETFS All Commodities ETC")</f>
        <v>ETFS All Commodities ETC</v>
      </c>
      <c r="D392" s="21" t="str">
        <f>IFERROR(__xludf.DUMMYFUNCTION("""COMPUTED_VALUE"""),"COST")</f>
        <v>COST</v>
      </c>
      <c r="E392" s="5"/>
      <c r="F392" s="5"/>
      <c r="G392" s="10">
        <f>IFERROR(__xludf.DUMMYFUNCTION("""COMPUTED_VALUE"""),-2.24)</f>
        <v>-2.24</v>
      </c>
    </row>
    <row r="393">
      <c r="A393" s="24">
        <f>IFERROR(__xludf.DUMMYFUNCTION("""COMPUTED_VALUE"""),43663.0)</f>
        <v>43663</v>
      </c>
      <c r="B393" s="5" t="str">
        <f>IFERROR(__xludf.DUMMYFUNCTION("""COMPUTED_VALUE"""),"Commodities")</f>
        <v>Commodities</v>
      </c>
      <c r="C393" s="5" t="str">
        <f>IFERROR(__xludf.DUMMYFUNCTION("""COMPUTED_VALUE"""),"ETFS All Commodities ETC")</f>
        <v>ETFS All Commodities ETC</v>
      </c>
      <c r="D393" s="21" t="str">
        <f>IFERROR(__xludf.DUMMYFUNCTION("""COMPUTED_VALUE"""),"BUY")</f>
        <v>BUY</v>
      </c>
      <c r="E393" s="21">
        <f>IFERROR(__xludf.DUMMYFUNCTION("""COMPUTED_VALUE"""),189.0)</f>
        <v>189</v>
      </c>
      <c r="F393" s="25">
        <f>IFERROR(__xludf.DUMMYFUNCTION("""COMPUTED_VALUE"""),7.2579)</f>
        <v>7.2579</v>
      </c>
      <c r="G393" s="10">
        <f>IFERROR(__xludf.DUMMYFUNCTION("""COMPUTED_VALUE"""),-1371.76)</f>
        <v>-1371.76</v>
      </c>
    </row>
    <row r="394">
      <c r="A394" s="24">
        <f>IFERROR(__xludf.DUMMYFUNCTION("""COMPUTED_VALUE"""),43663.0)</f>
        <v>43663</v>
      </c>
      <c r="B394" s="5" t="str">
        <f>IFERROR(__xludf.DUMMYFUNCTION("""COMPUTED_VALUE"""),"Commodities")</f>
        <v>Commodities</v>
      </c>
      <c r="C394" s="5" t="str">
        <f>IFERROR(__xludf.DUMMYFUNCTION("""COMPUTED_VALUE"""),"ETFS All Commodities ETC")</f>
        <v>ETFS All Commodities ETC</v>
      </c>
      <c r="D394" s="21" t="str">
        <f>IFERROR(__xludf.DUMMYFUNCTION("""COMPUTED_VALUE"""),"COST")</f>
        <v>COST</v>
      </c>
      <c r="E394" s="5"/>
      <c r="F394" s="5"/>
      <c r="G394" s="10">
        <f>IFERROR(__xludf.DUMMYFUNCTION("""COMPUTED_VALUE"""),-0.27)</f>
        <v>-0.27</v>
      </c>
    </row>
    <row r="395">
      <c r="A395" s="24">
        <f>IFERROR(__xludf.DUMMYFUNCTION("""COMPUTED_VALUE"""),43663.0)</f>
        <v>43663</v>
      </c>
      <c r="B395" s="5" t="str">
        <f>IFERROR(__xludf.DUMMYFUNCTION("""COMPUTED_VALUE"""),"Commodities")</f>
        <v>Commodities</v>
      </c>
      <c r="C395" s="5" t="str">
        <f>IFERROR(__xludf.DUMMYFUNCTION("""COMPUTED_VALUE"""),"ETFS All Commodities ETC")</f>
        <v>ETFS All Commodities ETC</v>
      </c>
      <c r="D395" s="21" t="str">
        <f>IFERROR(__xludf.DUMMYFUNCTION("""COMPUTED_VALUE"""),"BUY")</f>
        <v>BUY</v>
      </c>
      <c r="E395" s="21">
        <f>IFERROR(__xludf.DUMMYFUNCTION("""COMPUTED_VALUE"""),263.0)</f>
        <v>263</v>
      </c>
      <c r="F395" s="25">
        <f>IFERROR(__xludf.DUMMYFUNCTION("""COMPUTED_VALUE"""),7.2579)</f>
        <v>7.2579</v>
      </c>
      <c r="G395" s="10">
        <f>IFERROR(__xludf.DUMMYFUNCTION("""COMPUTED_VALUE"""),-1908.85)</f>
        <v>-1908.85</v>
      </c>
    </row>
    <row r="396">
      <c r="A396" s="24">
        <f>IFERROR(__xludf.DUMMYFUNCTION("""COMPUTED_VALUE"""),43663.0)</f>
        <v>43663</v>
      </c>
      <c r="B396" s="5" t="str">
        <f>IFERROR(__xludf.DUMMYFUNCTION("""COMPUTED_VALUE"""),"Commodities")</f>
        <v>Commodities</v>
      </c>
      <c r="C396" s="5" t="str">
        <f>IFERROR(__xludf.DUMMYFUNCTION("""COMPUTED_VALUE"""),"ETFS All Commodities ETC")</f>
        <v>ETFS All Commodities ETC</v>
      </c>
      <c r="D396" s="21" t="str">
        <f>IFERROR(__xludf.DUMMYFUNCTION("""COMPUTED_VALUE"""),"COST")</f>
        <v>COST</v>
      </c>
      <c r="E396" s="5"/>
      <c r="F396" s="5"/>
      <c r="G396" s="10">
        <f>IFERROR(__xludf.DUMMYFUNCTION("""COMPUTED_VALUE"""),-2.38)</f>
        <v>-2.38</v>
      </c>
    </row>
    <row r="397">
      <c r="A397" s="24">
        <f>IFERROR(__xludf.DUMMYFUNCTION("""COMPUTED_VALUE"""),43661.0)</f>
        <v>43661</v>
      </c>
      <c r="B397" s="5" t="str">
        <f>IFERROR(__xludf.DUMMYFUNCTION("""COMPUTED_VALUE"""),"Commodities")</f>
        <v>Commodities</v>
      </c>
      <c r="C397" s="5" t="str">
        <f>IFERROR(__xludf.DUMMYFUNCTION("""COMPUTED_VALUE"""),"ETFS All Commodities ETC")</f>
        <v>ETFS All Commodities ETC</v>
      </c>
      <c r="D397" s="21" t="str">
        <f>IFERROR(__xludf.DUMMYFUNCTION("""COMPUTED_VALUE"""),"SELL")</f>
        <v>SELL</v>
      </c>
      <c r="E397" s="21">
        <f>IFERROR(__xludf.DUMMYFUNCTION("""COMPUTED_VALUE"""),-339.0)</f>
        <v>-339</v>
      </c>
      <c r="F397" s="25">
        <f>IFERROR(__xludf.DUMMYFUNCTION("""COMPUTED_VALUE"""),7.35)</f>
        <v>7.35</v>
      </c>
      <c r="G397" s="10">
        <f>IFERROR(__xludf.DUMMYFUNCTION("""COMPUTED_VALUE"""),2491.65)</f>
        <v>2491.65</v>
      </c>
    </row>
    <row r="398">
      <c r="A398" s="24">
        <f>IFERROR(__xludf.DUMMYFUNCTION("""COMPUTED_VALUE"""),43658.0)</f>
        <v>43658</v>
      </c>
      <c r="B398" s="5" t="str">
        <f>IFERROR(__xludf.DUMMYFUNCTION("""COMPUTED_VALUE"""),"Stocks")</f>
        <v>Stocks</v>
      </c>
      <c r="C398" s="5" t="str">
        <f>IFERROR(__xludf.DUMMYFUNCTION("""COMPUTED_VALUE"""),"Vanguard S&amp;P 500 UCITS")</f>
        <v>Vanguard S&amp;P 500 UCITS</v>
      </c>
      <c r="D398" s="21" t="str">
        <f>IFERROR(__xludf.DUMMYFUNCTION("""COMPUTED_VALUE"""),"SELL")</f>
        <v>SELL</v>
      </c>
      <c r="E398" s="21">
        <f>IFERROR(__xludf.DUMMYFUNCTION("""COMPUTED_VALUE"""),-77.0)</f>
        <v>-77</v>
      </c>
      <c r="F398" s="25">
        <f>IFERROR(__xludf.DUMMYFUNCTION("""COMPUTED_VALUE"""),50.7)</f>
        <v>50.7</v>
      </c>
      <c r="G398" s="10">
        <f>IFERROR(__xludf.DUMMYFUNCTION("""COMPUTED_VALUE"""),3903.9)</f>
        <v>3903.9</v>
      </c>
    </row>
    <row r="399">
      <c r="A399" s="24">
        <f>IFERROR(__xludf.DUMMYFUNCTION("""COMPUTED_VALUE"""),43657.0)</f>
        <v>43657</v>
      </c>
      <c r="B399" s="5" t="str">
        <f>IFERROR(__xludf.DUMMYFUNCTION("""COMPUTED_VALUE"""),"Stocks")</f>
        <v>Stocks</v>
      </c>
      <c r="C399" s="5" t="str">
        <f>IFERROR(__xludf.DUMMYFUNCTION("""COMPUTED_VALUE"""),"Vanguard S&amp;P 500 UCITS")</f>
        <v>Vanguard S&amp;P 500 UCITS</v>
      </c>
      <c r="D399" s="21" t="str">
        <f>IFERROR(__xludf.DUMMYFUNCTION("""COMPUTED_VALUE"""),"DIVIDEND")</f>
        <v>DIVIDEND</v>
      </c>
      <c r="E399" s="5"/>
      <c r="F399" s="5"/>
      <c r="G399" s="10">
        <f>IFERROR(__xludf.DUMMYFUNCTION("""COMPUTED_VALUE"""),-107.73)</f>
        <v>-107.73</v>
      </c>
    </row>
    <row r="400">
      <c r="A400" s="24">
        <f>IFERROR(__xludf.DUMMYFUNCTION("""COMPUTED_VALUE"""),43656.0)</f>
        <v>43656</v>
      </c>
      <c r="B400" s="5" t="str">
        <f>IFERROR(__xludf.DUMMYFUNCTION("""COMPUTED_VALUE"""),"Stocks")</f>
        <v>Stocks</v>
      </c>
      <c r="C400" s="5" t="str">
        <f>IFERROR(__xludf.DUMMYFUNCTION("""COMPUTED_VALUE"""),"Vanguard S&amp;P 500 UCITS")</f>
        <v>Vanguard S&amp;P 500 UCITS</v>
      </c>
      <c r="D400" s="21" t="str">
        <f>IFERROR(__xludf.DUMMYFUNCTION("""COMPUTED_VALUE"""),"DIVIDEND")</f>
        <v>DIVIDEND</v>
      </c>
      <c r="E400" s="5"/>
      <c r="F400" s="5"/>
      <c r="G400" s="10">
        <f>IFERROR(__xludf.DUMMYFUNCTION("""COMPUTED_VALUE"""),959.36)</f>
        <v>959.36</v>
      </c>
    </row>
    <row r="401">
      <c r="A401" s="24">
        <f>IFERROR(__xludf.DUMMYFUNCTION("""COMPUTED_VALUE"""),43651.0)</f>
        <v>43651</v>
      </c>
      <c r="B401" s="5" t="str">
        <f>IFERROR(__xludf.DUMMYFUNCTION("""COMPUTED_VALUE"""),"Stocks")</f>
        <v>Stocks</v>
      </c>
      <c r="C401" s="5" t="str">
        <f>IFERROR(__xludf.DUMMYFUNCTION("""COMPUTED_VALUE"""),"Vanguard S&amp;P 500 UCITS")</f>
        <v>Vanguard S&amp;P 500 UCITS</v>
      </c>
      <c r="D401" s="21" t="str">
        <f>IFERROR(__xludf.DUMMYFUNCTION("""COMPUTED_VALUE"""),"SELL")</f>
        <v>SELL</v>
      </c>
      <c r="E401" s="21">
        <f>IFERROR(__xludf.DUMMYFUNCTION("""COMPUTED_VALUE"""),-38.0)</f>
        <v>-38</v>
      </c>
      <c r="F401" s="25">
        <f>IFERROR(__xludf.DUMMYFUNCTION("""COMPUTED_VALUE"""),50.37)</f>
        <v>50.37</v>
      </c>
      <c r="G401" s="10">
        <f>IFERROR(__xludf.DUMMYFUNCTION("""COMPUTED_VALUE"""),1914.06)</f>
        <v>1914.06</v>
      </c>
    </row>
    <row r="402">
      <c r="A402" s="24">
        <f>IFERROR(__xludf.DUMMYFUNCTION("""COMPUTED_VALUE"""),43648.0)</f>
        <v>43648</v>
      </c>
      <c r="B402" s="5"/>
      <c r="C402" s="5"/>
      <c r="D402" s="21" t="str">
        <f>IFERROR(__xludf.DUMMYFUNCTION("""COMPUTED_VALUE"""),"APPROVISIONNEMENT")</f>
        <v>APPROVISIONNEMENT</v>
      </c>
      <c r="E402" s="5"/>
      <c r="F402" s="5"/>
      <c r="G402" s="10">
        <f>IFERROR(__xludf.DUMMYFUNCTION("""COMPUTED_VALUE"""),-500.0)</f>
        <v>-500</v>
      </c>
    </row>
    <row r="403">
      <c r="A403" s="24">
        <f>IFERROR(__xludf.DUMMYFUNCTION("""COMPUTED_VALUE"""),43646.0)</f>
        <v>43646</v>
      </c>
      <c r="B403" s="5"/>
      <c r="C403" s="5"/>
      <c r="D403" s="21" t="str">
        <f>IFERROR(__xludf.DUMMYFUNCTION("""COMPUTED_VALUE"""),"COST")</f>
        <v>COST</v>
      </c>
      <c r="E403" s="5"/>
      <c r="F403" s="5"/>
      <c r="G403" s="10">
        <f>IFERROR(__xludf.DUMMYFUNCTION("""COMPUTED_VALUE"""),-495.83)</f>
        <v>-495.83</v>
      </c>
    </row>
    <row r="404">
      <c r="A404" s="24">
        <f>IFERROR(__xludf.DUMMYFUNCTION("""COMPUTED_VALUE"""),43642.0)</f>
        <v>43642</v>
      </c>
      <c r="B404" s="5" t="str">
        <f>IFERROR(__xludf.DUMMYFUNCTION("""COMPUTED_VALUE"""),"Long term US bonds (20-25 year)")</f>
        <v>Long term US bonds (20-25 year)</v>
      </c>
      <c r="C404" s="5" t="str">
        <f>IFERROR(__xludf.DUMMYFUNCTION("""COMPUTED_VALUE"""),"iShares Treasury Bond 20+ UCITS")</f>
        <v>iShares Treasury Bond 20+ UCITS</v>
      </c>
      <c r="D404" s="5" t="str">
        <f>IFERROR(__xludf.DUMMYFUNCTION("""COMPUTED_VALUE"""),"DIVIDEND")</f>
        <v>DIVIDEND</v>
      </c>
      <c r="E404" s="5"/>
      <c r="F404" s="5"/>
      <c r="G404" s="10">
        <f>IFERROR(__xludf.DUMMYFUNCTION("""COMPUTED_VALUE"""),-487.06)</f>
        <v>-487.06</v>
      </c>
    </row>
    <row r="405">
      <c r="A405" s="24">
        <f>IFERROR(__xludf.DUMMYFUNCTION("""COMPUTED_VALUE"""),43642.0)</f>
        <v>43642</v>
      </c>
      <c r="B405" s="5" t="str">
        <f>IFERROR(__xludf.DUMMYFUNCTION("""COMPUTED_VALUE"""),"Long term US bonds (20-25 year)")</f>
        <v>Long term US bonds (20-25 year)</v>
      </c>
      <c r="C405" s="5" t="str">
        <f>IFERROR(__xludf.DUMMYFUNCTION("""COMPUTED_VALUE"""),"iShares Treasury Bond 20+ UCITS")</f>
        <v>iShares Treasury Bond 20+ UCITS</v>
      </c>
      <c r="D405" s="5" t="str">
        <f>IFERROR(__xludf.DUMMYFUNCTION("""COMPUTED_VALUE"""),"DIVIDEND")</f>
        <v>DIVIDEND</v>
      </c>
      <c r="E405" s="5"/>
      <c r="F405" s="5"/>
      <c r="G405" s="10">
        <f>IFERROR(__xludf.DUMMYFUNCTION("""COMPUTED_VALUE"""),4012.65)</f>
        <v>4012.65</v>
      </c>
    </row>
    <row r="406">
      <c r="A406" s="24">
        <f>IFERROR(__xludf.DUMMYFUNCTION("""COMPUTED_VALUE"""),43642.0)</f>
        <v>43642</v>
      </c>
      <c r="B406" s="5"/>
      <c r="C406" s="5"/>
      <c r="D406" s="5" t="str">
        <f>IFERROR(__xludf.DUMMYFUNCTION("""COMPUTED_VALUE"""),"APPROVISIONNEMENT")</f>
        <v>APPROVISIONNEMENT</v>
      </c>
      <c r="E406" s="5"/>
      <c r="F406" s="5"/>
      <c r="G406" s="10">
        <f>IFERROR(__xludf.DUMMYFUNCTION("""COMPUTED_VALUE"""),2000.0)</f>
        <v>2000</v>
      </c>
    </row>
    <row r="407">
      <c r="A407" s="24">
        <f>IFERROR(__xludf.DUMMYFUNCTION("""COMPUTED_VALUE"""),43641.0)</f>
        <v>43641</v>
      </c>
      <c r="B407" s="5" t="str">
        <f>IFERROR(__xludf.DUMMYFUNCTION("""COMPUTED_VALUE"""),"Gold")</f>
        <v>Gold</v>
      </c>
      <c r="C407" s="5" t="str">
        <f>IFERROR(__xludf.DUMMYFUNCTION("""COMPUTED_VALUE"""),"ETFS Physical Gold")</f>
        <v>ETFS Physical Gold</v>
      </c>
      <c r="D407" s="5" t="str">
        <f>IFERROR(__xludf.DUMMYFUNCTION("""COMPUTED_VALUE"""),"SELL")</f>
        <v>SELL</v>
      </c>
      <c r="E407" s="21">
        <f>IFERROR(__xludf.DUMMYFUNCTION("""COMPUTED_VALUE"""),-9.0)</f>
        <v>-9</v>
      </c>
      <c r="F407" s="25">
        <f>IFERROR(__xludf.DUMMYFUNCTION("""COMPUTED_VALUE"""),119.82)</f>
        <v>119.82</v>
      </c>
      <c r="G407" s="10">
        <f>IFERROR(__xludf.DUMMYFUNCTION("""COMPUTED_VALUE"""),1078.38)</f>
        <v>1078.38</v>
      </c>
    </row>
    <row r="408">
      <c r="A408" s="24">
        <f>IFERROR(__xludf.DUMMYFUNCTION("""COMPUTED_VALUE"""),43640.0)</f>
        <v>43640</v>
      </c>
      <c r="B408" s="5" t="str">
        <f>IFERROR(__xludf.DUMMYFUNCTION("""COMPUTED_VALUE"""),"Gold")</f>
        <v>Gold</v>
      </c>
      <c r="C408" s="5" t="str">
        <f>IFERROR(__xludf.DUMMYFUNCTION("""COMPUTED_VALUE"""),"ETFS Physical Gold")</f>
        <v>ETFS Physical Gold</v>
      </c>
      <c r="D408" s="5" t="str">
        <f>IFERROR(__xludf.DUMMYFUNCTION("""COMPUTED_VALUE"""),"SELL")</f>
        <v>SELL</v>
      </c>
      <c r="E408" s="21">
        <f>IFERROR(__xludf.DUMMYFUNCTION("""COMPUTED_VALUE"""),-9.0)</f>
        <v>-9</v>
      </c>
      <c r="F408" s="25">
        <f>IFERROR(__xludf.DUMMYFUNCTION("""COMPUTED_VALUE"""),117.66)</f>
        <v>117.66</v>
      </c>
      <c r="G408" s="10">
        <f>IFERROR(__xludf.DUMMYFUNCTION("""COMPUTED_VALUE"""),1058.94)</f>
        <v>1058.94</v>
      </c>
    </row>
    <row r="409">
      <c r="A409" s="24">
        <f>IFERROR(__xludf.DUMMYFUNCTION("""COMPUTED_VALUE"""),43640.0)</f>
        <v>43640</v>
      </c>
      <c r="B409" s="5" t="str">
        <f>IFERROR(__xludf.DUMMYFUNCTION("""COMPUTED_VALUE"""),"Gold")</f>
        <v>Gold</v>
      </c>
      <c r="C409" s="5" t="str">
        <f>IFERROR(__xludf.DUMMYFUNCTION("""COMPUTED_VALUE"""),"ETFS Physical Gold")</f>
        <v>ETFS Physical Gold</v>
      </c>
      <c r="D409" s="5" t="str">
        <f>IFERROR(__xludf.DUMMYFUNCTION("""COMPUTED_VALUE"""),"SELL")</f>
        <v>SELL</v>
      </c>
      <c r="E409" s="21">
        <f>IFERROR(__xludf.DUMMYFUNCTION("""COMPUTED_VALUE"""),-16.0)</f>
        <v>-16</v>
      </c>
      <c r="F409" s="25">
        <f>IFERROR(__xludf.DUMMYFUNCTION("""COMPUTED_VALUE"""),117.66)</f>
        <v>117.66</v>
      </c>
      <c r="G409" s="10">
        <f>IFERROR(__xludf.DUMMYFUNCTION("""COMPUTED_VALUE"""),1882.56)</f>
        <v>1882.56</v>
      </c>
    </row>
    <row r="410">
      <c r="A410" s="24">
        <f>IFERROR(__xludf.DUMMYFUNCTION("""COMPUTED_VALUE"""),43640.0)</f>
        <v>43640</v>
      </c>
      <c r="B410" s="5" t="str">
        <f>IFERROR(__xludf.DUMMYFUNCTION("""COMPUTED_VALUE"""),"Commodities")</f>
        <v>Commodities</v>
      </c>
      <c r="C410" s="5" t="str">
        <f>IFERROR(__xludf.DUMMYFUNCTION("""COMPUTED_VALUE"""),"ETFS All Commodities ETC")</f>
        <v>ETFS All Commodities ETC</v>
      </c>
      <c r="D410" s="5" t="str">
        <f>IFERROR(__xludf.DUMMYFUNCTION("""COMPUTED_VALUE"""),"BUY")</f>
        <v>BUY</v>
      </c>
      <c r="E410" s="21">
        <f>IFERROR(__xludf.DUMMYFUNCTION("""COMPUTED_VALUE"""),1013.0)</f>
        <v>1013</v>
      </c>
      <c r="F410" s="25">
        <f>IFERROR(__xludf.DUMMYFUNCTION("""COMPUTED_VALUE"""),7.103)</f>
        <v>7.103</v>
      </c>
      <c r="G410" s="10">
        <f>IFERROR(__xludf.DUMMYFUNCTION("""COMPUTED_VALUE"""),-7195.34)</f>
        <v>-7195.34</v>
      </c>
    </row>
    <row r="411">
      <c r="A411" s="24">
        <f>IFERROR(__xludf.DUMMYFUNCTION("""COMPUTED_VALUE"""),43627.0)</f>
        <v>43627</v>
      </c>
      <c r="B411" s="5" t="str">
        <f>IFERROR(__xludf.DUMMYFUNCTION("""COMPUTED_VALUE"""),"Commodities")</f>
        <v>Commodities</v>
      </c>
      <c r="C411" s="5" t="str">
        <f>IFERROR(__xludf.DUMMYFUNCTION("""COMPUTED_VALUE"""),"ETFS All Commodities ETC")</f>
        <v>ETFS All Commodities ETC</v>
      </c>
      <c r="D411" s="5" t="str">
        <f>IFERROR(__xludf.DUMMYFUNCTION("""COMPUTED_VALUE"""),"BUY")</f>
        <v>BUY</v>
      </c>
      <c r="E411" s="21">
        <f>IFERROR(__xludf.DUMMYFUNCTION("""COMPUTED_VALUE"""),518.0)</f>
        <v>518</v>
      </c>
      <c r="F411" s="25">
        <f>IFERROR(__xludf.DUMMYFUNCTION("""COMPUTED_VALUE"""),6.962)</f>
        <v>6.962</v>
      </c>
      <c r="G411" s="10">
        <f>IFERROR(__xludf.DUMMYFUNCTION("""COMPUTED_VALUE"""),-3606.32)</f>
        <v>-3606.32</v>
      </c>
    </row>
    <row r="412">
      <c r="A412" s="24">
        <f>IFERROR(__xludf.DUMMYFUNCTION("""COMPUTED_VALUE"""),43627.0)</f>
        <v>43627</v>
      </c>
      <c r="B412" s="5" t="str">
        <f>IFERROR(__xludf.DUMMYFUNCTION("""COMPUTED_VALUE"""),"Commodities")</f>
        <v>Commodities</v>
      </c>
      <c r="C412" s="5" t="str">
        <f>IFERROR(__xludf.DUMMYFUNCTION("""COMPUTED_VALUE"""),"ETFS All Commodities ETC")</f>
        <v>ETFS All Commodities ETC</v>
      </c>
      <c r="D412" s="5" t="str">
        <f>IFERROR(__xludf.DUMMYFUNCTION("""COMPUTED_VALUE"""),"BUY")</f>
        <v>BUY</v>
      </c>
      <c r="E412" s="21">
        <f>IFERROR(__xludf.DUMMYFUNCTION("""COMPUTED_VALUE"""),1762.0)</f>
        <v>1762</v>
      </c>
      <c r="F412" s="25">
        <f>IFERROR(__xludf.DUMMYFUNCTION("""COMPUTED_VALUE"""),6.9619)</f>
        <v>6.9619</v>
      </c>
      <c r="G412" s="10">
        <f>IFERROR(__xludf.DUMMYFUNCTION("""COMPUTED_VALUE"""),-12267.04)</f>
        <v>-12267.04</v>
      </c>
    </row>
    <row r="413">
      <c r="A413" s="24">
        <f>IFERROR(__xludf.DUMMYFUNCTION("""COMPUTED_VALUE"""),43627.0)</f>
        <v>43627</v>
      </c>
      <c r="B413" s="5" t="str">
        <f>IFERROR(__xludf.DUMMYFUNCTION("""COMPUTED_VALUE"""),"Stocks")</f>
        <v>Stocks</v>
      </c>
      <c r="C413" s="5" t="str">
        <f>IFERROR(__xludf.DUMMYFUNCTION("""COMPUTED_VALUE"""),"Vanguard S&amp;P 500 UCITS")</f>
        <v>Vanguard S&amp;P 500 UCITS</v>
      </c>
      <c r="D413" s="5" t="str">
        <f>IFERROR(__xludf.DUMMYFUNCTION("""COMPUTED_VALUE"""),"SELL")</f>
        <v>SELL</v>
      </c>
      <c r="E413" s="21">
        <f>IFERROR(__xludf.DUMMYFUNCTION("""COMPUTED_VALUE"""),-26.0)</f>
        <v>-26</v>
      </c>
      <c r="F413" s="25">
        <f>IFERROR(__xludf.DUMMYFUNCTION("""COMPUTED_VALUE"""),48.6538)</f>
        <v>48.6538</v>
      </c>
      <c r="G413" s="10">
        <f>IFERROR(__xludf.DUMMYFUNCTION("""COMPUTED_VALUE"""),1265.0)</f>
        <v>1265</v>
      </c>
    </row>
    <row r="414">
      <c r="A414" s="24">
        <f>IFERROR(__xludf.DUMMYFUNCTION("""COMPUTED_VALUE"""),43626.0)</f>
        <v>43626</v>
      </c>
      <c r="B414" s="5" t="str">
        <f>IFERROR(__xludf.DUMMYFUNCTION("""COMPUTED_VALUE"""),"Stocks")</f>
        <v>Stocks</v>
      </c>
      <c r="C414" s="5" t="str">
        <f>IFERROR(__xludf.DUMMYFUNCTION("""COMPUTED_VALUE"""),"Vanguard S&amp;P 500 UCITS")</f>
        <v>Vanguard S&amp;P 500 UCITS</v>
      </c>
      <c r="D414" s="5" t="str">
        <f>IFERROR(__xludf.DUMMYFUNCTION("""COMPUTED_VALUE"""),"SELL")</f>
        <v>SELL</v>
      </c>
      <c r="E414" s="21">
        <f>IFERROR(__xludf.DUMMYFUNCTION("""COMPUTED_VALUE"""),-29.0)</f>
        <v>-29</v>
      </c>
      <c r="F414" s="25">
        <f>IFERROR(__xludf.DUMMYFUNCTION("""COMPUTED_VALUE"""),48.562)</f>
        <v>48.562</v>
      </c>
      <c r="G414" s="10">
        <f>IFERROR(__xludf.DUMMYFUNCTION("""COMPUTED_VALUE"""),1408.3)</f>
        <v>1408.3</v>
      </c>
    </row>
    <row r="415">
      <c r="A415" s="24">
        <f>IFERROR(__xludf.DUMMYFUNCTION("""COMPUTED_VALUE"""),43623.0)</f>
        <v>43623</v>
      </c>
      <c r="B415" s="5" t="str">
        <f>IFERROR(__xludf.DUMMYFUNCTION("""COMPUTED_VALUE"""),"Stocks")</f>
        <v>Stocks</v>
      </c>
      <c r="C415" s="5" t="str">
        <f>IFERROR(__xludf.DUMMYFUNCTION("""COMPUTED_VALUE"""),"Vanguard S&amp;P 500 UCITS")</f>
        <v>Vanguard S&amp;P 500 UCITS</v>
      </c>
      <c r="D415" s="5" t="str">
        <f>IFERROR(__xludf.DUMMYFUNCTION("""COMPUTED_VALUE"""),"SELL")</f>
        <v>SELL</v>
      </c>
      <c r="E415" s="21">
        <f>IFERROR(__xludf.DUMMYFUNCTION("""COMPUTED_VALUE"""),-23.0)</f>
        <v>-23</v>
      </c>
      <c r="F415" s="25">
        <f>IFERROR(__xludf.DUMMYFUNCTION("""COMPUTED_VALUE"""),48.3591)</f>
        <v>48.3591</v>
      </c>
      <c r="G415" s="10">
        <f>IFERROR(__xludf.DUMMYFUNCTION("""COMPUTED_VALUE"""),1112.26)</f>
        <v>1112.26</v>
      </c>
    </row>
    <row r="416">
      <c r="A416" s="24">
        <f>IFERROR(__xludf.DUMMYFUNCTION("""COMPUTED_VALUE"""),43622.0)</f>
        <v>43622</v>
      </c>
      <c r="B416" s="5" t="str">
        <f>IFERROR(__xludf.DUMMYFUNCTION("""COMPUTED_VALUE"""),"Stocks")</f>
        <v>Stocks</v>
      </c>
      <c r="C416" s="5" t="str">
        <f>IFERROR(__xludf.DUMMYFUNCTION("""COMPUTED_VALUE"""),"Vanguard S&amp;P 500 UCITS")</f>
        <v>Vanguard S&amp;P 500 UCITS</v>
      </c>
      <c r="D416" s="5" t="str">
        <f>IFERROR(__xludf.DUMMYFUNCTION("""COMPUTED_VALUE"""),"SELL")</f>
        <v>SELL</v>
      </c>
      <c r="E416" s="21">
        <f>IFERROR(__xludf.DUMMYFUNCTION("""COMPUTED_VALUE"""),-58.0)</f>
        <v>-58</v>
      </c>
      <c r="F416" s="25">
        <f>IFERROR(__xludf.DUMMYFUNCTION("""COMPUTED_VALUE"""),48.0199)</f>
        <v>48.0199</v>
      </c>
      <c r="G416" s="10">
        <f>IFERROR(__xludf.DUMMYFUNCTION("""COMPUTED_VALUE"""),2785.16)</f>
        <v>2785.16</v>
      </c>
    </row>
    <row r="417">
      <c r="A417" s="24">
        <f>IFERROR(__xludf.DUMMYFUNCTION("""COMPUTED_VALUE"""),43620.0)</f>
        <v>43620</v>
      </c>
      <c r="B417" s="5"/>
      <c r="C417" s="5"/>
      <c r="D417" s="5" t="str">
        <f>IFERROR(__xludf.DUMMYFUNCTION("""COMPUTED_VALUE"""),"APPROVISIONNEMENT")</f>
        <v>APPROVISIONNEMENT</v>
      </c>
      <c r="E417" s="5"/>
      <c r="F417" s="5"/>
      <c r="G417" s="10">
        <f>IFERROR(__xludf.DUMMYFUNCTION("""COMPUTED_VALUE"""),-100.0)</f>
        <v>-100</v>
      </c>
    </row>
    <row r="418">
      <c r="A418" s="24">
        <f>IFERROR(__xludf.DUMMYFUNCTION("""COMPUTED_VALUE"""),43620.0)</f>
        <v>43620</v>
      </c>
      <c r="B418" s="5" t="str">
        <f>IFERROR(__xludf.DUMMYFUNCTION("""COMPUTED_VALUE"""),"Gold")</f>
        <v>Gold</v>
      </c>
      <c r="C418" s="5" t="str">
        <f>IFERROR(__xludf.DUMMYFUNCTION("""COMPUTED_VALUE"""),"ETFS Physical Gold")</f>
        <v>ETFS Physical Gold</v>
      </c>
      <c r="D418" s="5" t="str">
        <f>IFERROR(__xludf.DUMMYFUNCTION("""COMPUTED_VALUE"""),"SELL")</f>
        <v>SELL</v>
      </c>
      <c r="E418" s="21">
        <f>IFERROR(__xludf.DUMMYFUNCTION("""COMPUTED_VALUE"""),-9.0)</f>
        <v>-9</v>
      </c>
      <c r="F418" s="25">
        <f>IFERROR(__xludf.DUMMYFUNCTION("""COMPUTED_VALUE"""),112.4)</f>
        <v>112.4</v>
      </c>
      <c r="G418" s="10">
        <f>IFERROR(__xludf.DUMMYFUNCTION("""COMPUTED_VALUE"""),1011.6)</f>
        <v>1011.6</v>
      </c>
    </row>
    <row r="419">
      <c r="A419" s="24">
        <f>IFERROR(__xludf.DUMMYFUNCTION("""COMPUTED_VALUE"""),43619.0)</f>
        <v>43619</v>
      </c>
      <c r="B419" s="5" t="str">
        <f>IFERROR(__xludf.DUMMYFUNCTION("""COMPUTED_VALUE"""),"Intermediate US bonds (7-10 year)")</f>
        <v>Intermediate US bonds (7-10 year)</v>
      </c>
      <c r="C419" s="5" t="str">
        <f>IFERROR(__xludf.DUMMYFUNCTION("""COMPUTED_VALUE"""),"iShares Treasury Bond 7-10 UCITS")</f>
        <v>iShares Treasury Bond 7-10 UCITS</v>
      </c>
      <c r="D419" s="5" t="str">
        <f>IFERROR(__xludf.DUMMYFUNCTION("""COMPUTED_VALUE"""),"DIVIDEND")</f>
        <v>DIVIDEND</v>
      </c>
      <c r="E419" s="5"/>
      <c r="F419" s="5"/>
      <c r="G419" s="10">
        <f>IFERROR(__xludf.DUMMYFUNCTION("""COMPUTED_VALUE"""),-173.19)</f>
        <v>-173.19</v>
      </c>
    </row>
    <row r="420">
      <c r="A420" s="24">
        <f>IFERROR(__xludf.DUMMYFUNCTION("""COMPUTED_VALUE"""),43619.0)</f>
        <v>43619</v>
      </c>
      <c r="B420" s="5" t="str">
        <f>IFERROR(__xludf.DUMMYFUNCTION("""COMPUTED_VALUE"""),"Long term US bonds (20-25 year)")</f>
        <v>Long term US bonds (20-25 year)</v>
      </c>
      <c r="C420" s="5" t="str">
        <f>IFERROR(__xludf.DUMMYFUNCTION("""COMPUTED_VALUE"""),"iShares Treasury Bond 20+ UCITS")</f>
        <v>iShares Treasury Bond 20+ UCITS</v>
      </c>
      <c r="D420" s="5" t="str">
        <f>IFERROR(__xludf.DUMMYFUNCTION("""COMPUTED_VALUE"""),"SELL")</f>
        <v>SELL</v>
      </c>
      <c r="E420" s="21">
        <f>IFERROR(__xludf.DUMMYFUNCTION("""COMPUTED_VALUE"""),-512.0)</f>
        <v>-512</v>
      </c>
      <c r="F420" s="25">
        <f>IFERROR(__xludf.DUMMYFUNCTION("""COMPUTED_VALUE"""),4.4825)</f>
        <v>4.4825</v>
      </c>
      <c r="G420" s="10">
        <f>IFERROR(__xludf.DUMMYFUNCTION("""COMPUTED_VALUE"""),2295.04)</f>
        <v>2295.04</v>
      </c>
    </row>
    <row r="421">
      <c r="A421" s="24">
        <f>IFERROR(__xludf.DUMMYFUNCTION("""COMPUTED_VALUE"""),43619.0)</f>
        <v>43619</v>
      </c>
      <c r="B421" s="5" t="str">
        <f>IFERROR(__xludf.DUMMYFUNCTION("""COMPUTED_VALUE"""),"Long term US bonds (20-25 year)")</f>
        <v>Long term US bonds (20-25 year)</v>
      </c>
      <c r="C421" s="5" t="str">
        <f>IFERROR(__xludf.DUMMYFUNCTION("""COMPUTED_VALUE"""),"iShares Treasury Bond 20+ UCITS")</f>
        <v>iShares Treasury Bond 20+ UCITS</v>
      </c>
      <c r="D421" s="5" t="str">
        <f>IFERROR(__xludf.DUMMYFUNCTION("""COMPUTED_VALUE"""),"COST")</f>
        <v>COST</v>
      </c>
      <c r="E421" s="5"/>
      <c r="F421" s="5"/>
      <c r="G421" s="10">
        <f>IFERROR(__xludf.DUMMYFUNCTION("""COMPUTED_VALUE"""),-2.46)</f>
        <v>-2.46</v>
      </c>
    </row>
    <row r="422">
      <c r="A422" s="24">
        <f>IFERROR(__xludf.DUMMYFUNCTION("""COMPUTED_VALUE"""),43619.0)</f>
        <v>43619</v>
      </c>
      <c r="B422" s="5" t="str">
        <f>IFERROR(__xludf.DUMMYFUNCTION("""COMPUTED_VALUE"""),"Intermediate US bonds (7-10 year)")</f>
        <v>Intermediate US bonds (7-10 year)</v>
      </c>
      <c r="C422" s="5" t="str">
        <f>IFERROR(__xludf.DUMMYFUNCTION("""COMPUTED_VALUE"""),"iShares Treasury Bond 7-10 UCITS")</f>
        <v>iShares Treasury Bond 7-10 UCITS</v>
      </c>
      <c r="D422" s="5" t="str">
        <f>IFERROR(__xludf.DUMMYFUNCTION("""COMPUTED_VALUE"""),"SELL")</f>
        <v>SELL</v>
      </c>
      <c r="E422" s="21">
        <f>IFERROR(__xludf.DUMMYFUNCTION("""COMPUTED_VALUE"""),-7.0)</f>
        <v>-7</v>
      </c>
      <c r="F422" s="25">
        <f>IFERROR(__xludf.DUMMYFUNCTION("""COMPUTED_VALUE"""),179.42)</f>
        <v>179.42</v>
      </c>
      <c r="G422" s="10">
        <f>IFERROR(__xludf.DUMMYFUNCTION("""COMPUTED_VALUE"""),1255.94)</f>
        <v>1255.94</v>
      </c>
    </row>
    <row r="423">
      <c r="A423" s="24">
        <f>IFERROR(__xludf.DUMMYFUNCTION("""COMPUTED_VALUE"""),43619.0)</f>
        <v>43619</v>
      </c>
      <c r="B423" s="5" t="str">
        <f>IFERROR(__xludf.DUMMYFUNCTION("""COMPUTED_VALUE"""),"Gold")</f>
        <v>Gold</v>
      </c>
      <c r="C423" s="5" t="str">
        <f>IFERROR(__xludf.DUMMYFUNCTION("""COMPUTED_VALUE"""),"ETFS Physical Gold")</f>
        <v>ETFS Physical Gold</v>
      </c>
      <c r="D423" s="5" t="str">
        <f>IFERROR(__xludf.DUMMYFUNCTION("""COMPUTED_VALUE"""),"SELL")</f>
        <v>SELL</v>
      </c>
      <c r="E423" s="21">
        <f>IFERROR(__xludf.DUMMYFUNCTION("""COMPUTED_VALUE"""),-10.0)</f>
        <v>-10</v>
      </c>
      <c r="F423" s="25">
        <f>IFERROR(__xludf.DUMMYFUNCTION("""COMPUTED_VALUE"""),112.29)</f>
        <v>112.29</v>
      </c>
      <c r="G423" s="10">
        <f>IFERROR(__xludf.DUMMYFUNCTION("""COMPUTED_VALUE"""),1122.9)</f>
        <v>1122.9</v>
      </c>
    </row>
    <row r="424">
      <c r="A424" s="24">
        <f>IFERROR(__xludf.DUMMYFUNCTION("""COMPUTED_VALUE"""),43619.0)</f>
        <v>43619</v>
      </c>
      <c r="B424" s="5" t="str">
        <f>IFERROR(__xludf.DUMMYFUNCTION("""COMPUTED_VALUE"""),"Long term US bonds (20-25 year)")</f>
        <v>Long term US bonds (20-25 year)</v>
      </c>
      <c r="C424" s="5" t="str">
        <f>IFERROR(__xludf.DUMMYFUNCTION("""COMPUTED_VALUE"""),"iShares Treasury Bond 20+ UCITS")</f>
        <v>iShares Treasury Bond 20+ UCITS</v>
      </c>
      <c r="D424" s="5" t="str">
        <f>IFERROR(__xludf.DUMMYFUNCTION("""COMPUTED_VALUE"""),"SELL")</f>
        <v>SELL</v>
      </c>
      <c r="E424" s="21">
        <f>IFERROR(__xludf.DUMMYFUNCTION("""COMPUTED_VALUE"""),-871.0)</f>
        <v>-871</v>
      </c>
      <c r="F424" s="25">
        <f>IFERROR(__xludf.DUMMYFUNCTION("""COMPUTED_VALUE"""),4.4625)</f>
        <v>4.4625</v>
      </c>
      <c r="G424" s="10">
        <f>IFERROR(__xludf.DUMMYFUNCTION("""COMPUTED_VALUE"""),3886.84)</f>
        <v>3886.84</v>
      </c>
    </row>
    <row r="425">
      <c r="A425" s="24">
        <f>IFERROR(__xludf.DUMMYFUNCTION("""COMPUTED_VALUE"""),43619.0)</f>
        <v>43619</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IFERROR(__xludf.DUMMYFUNCTION("""COMPUTED_VALUE"""),"COST")</f>
        <v>COST</v>
      </c>
      <c r="E425" s="5"/>
      <c r="F425" s="5"/>
      <c r="G425" s="10">
        <f>IFERROR(__xludf.DUMMYFUNCTION("""COMPUTED_VALUE"""),-2.78)</f>
        <v>-2.78</v>
      </c>
    </row>
    <row r="426">
      <c r="A426" s="24">
        <f>IFERROR(__xludf.DUMMYFUNCTION("""COMPUTED_VALUE"""),43616.0)</f>
        <v>43616</v>
      </c>
      <c r="B426" s="5" t="str">
        <f>IFERROR(__xludf.DUMMYFUNCTION("""COMPUTED_VALUE"""),"Intermediate US bonds (7-10 year)")</f>
        <v>Intermediate US bonds (7-10 year)</v>
      </c>
      <c r="C426" s="5" t="str">
        <f>IFERROR(__xludf.DUMMYFUNCTION("""COMPUTED_VALUE"""),"iShares Treasury Bond 7-10 UCITS")</f>
        <v>iShares Treasury Bond 7-10 UCITS</v>
      </c>
      <c r="D426" s="5" t="str">
        <f>IFERROR(__xludf.DUMMYFUNCTION("""COMPUTED_VALUE"""),"DIVIDEND")</f>
        <v>DIVIDEND</v>
      </c>
      <c r="E426" s="5"/>
      <c r="F426" s="5"/>
      <c r="G426" s="10">
        <f>IFERROR(__xludf.DUMMYFUNCTION("""COMPUTED_VALUE"""),1556.2)</f>
        <v>1556.2</v>
      </c>
    </row>
    <row r="427">
      <c r="A427" s="24">
        <f>IFERROR(__xludf.DUMMYFUNCTION("""COMPUTED_VALUE"""),43616.0)</f>
        <v>43616</v>
      </c>
      <c r="B427" s="5"/>
      <c r="C427" s="5"/>
      <c r="D427" s="5" t="str">
        <f>IFERROR(__xludf.DUMMYFUNCTION("""COMPUTED_VALUE"""),"COST")</f>
        <v>COST</v>
      </c>
      <c r="E427" s="5"/>
      <c r="F427" s="5"/>
      <c r="G427" s="10">
        <f>IFERROR(__xludf.DUMMYFUNCTION("""COMPUTED_VALUE"""),-569.48)</f>
        <v>-569.48</v>
      </c>
    </row>
    <row r="428">
      <c r="A428" s="24">
        <f>IFERROR(__xludf.DUMMYFUNCTION("""COMPUTED_VALUE"""),43616.0)</f>
        <v>43616</v>
      </c>
      <c r="B428" s="5" t="str">
        <f>IFERROR(__xludf.DUMMYFUNCTION("""COMPUTED_VALUE"""),"Long term US bonds (20-25 year)")</f>
        <v>Long term US bonds (20-25 year)</v>
      </c>
      <c r="C428" s="5" t="str">
        <f>IFERROR(__xludf.DUMMYFUNCTION("""COMPUTED_VALUE"""),"iShares Treasury Bond 20+ UCITS")</f>
        <v>iShares Treasury Bond 20+ UCITS</v>
      </c>
      <c r="D428" s="5" t="str">
        <f>IFERROR(__xludf.DUMMYFUNCTION("""COMPUTED_VALUE"""),"SELL")</f>
        <v>SELL</v>
      </c>
      <c r="E428" s="21">
        <f>IFERROR(__xludf.DUMMYFUNCTION("""COMPUTED_VALUE"""),-298.0)</f>
        <v>-298</v>
      </c>
      <c r="F428" s="25">
        <f>IFERROR(__xludf.DUMMYFUNCTION("""COMPUTED_VALUE"""),4.4304)</f>
        <v>4.4304</v>
      </c>
      <c r="G428" s="10">
        <f>IFERROR(__xludf.DUMMYFUNCTION("""COMPUTED_VALUE"""),1320.26)</f>
        <v>1320.26</v>
      </c>
    </row>
    <row r="429">
      <c r="A429" s="24">
        <f>IFERROR(__xludf.DUMMYFUNCTION("""COMPUTED_VALUE"""),43616.0)</f>
        <v>43616</v>
      </c>
      <c r="B429" s="5" t="str">
        <f>IFERROR(__xludf.DUMMYFUNCTION("""COMPUTED_VALUE"""),"Long term US bonds (20-25 year)")</f>
        <v>Long term US bonds (20-25 year)</v>
      </c>
      <c r="C429" s="5" t="str">
        <f>IFERROR(__xludf.DUMMYFUNCTION("""COMPUTED_VALUE"""),"iShares Treasury Bond 20+ UCITS")</f>
        <v>iShares Treasury Bond 20+ UCITS</v>
      </c>
      <c r="D429" s="5" t="str">
        <f>IFERROR(__xludf.DUMMYFUNCTION("""COMPUTED_VALUE"""),"COST")</f>
        <v>COST</v>
      </c>
      <c r="E429" s="5"/>
      <c r="F429" s="5"/>
      <c r="G429" s="10">
        <f>IFERROR(__xludf.DUMMYFUNCTION("""COMPUTED_VALUE"""),-2.26)</f>
        <v>-2.26</v>
      </c>
    </row>
    <row r="430">
      <c r="A430" s="24">
        <f>IFERROR(__xludf.DUMMYFUNCTION("""COMPUTED_VALUE"""),43616.0)</f>
        <v>43616</v>
      </c>
      <c r="B430" s="5" t="str">
        <f>IFERROR(__xludf.DUMMYFUNCTION("""COMPUTED_VALUE"""),"Intermediate US bonds (7-10 year)")</f>
        <v>Intermediate US bonds (7-10 year)</v>
      </c>
      <c r="C430" s="5" t="str">
        <f>IFERROR(__xludf.DUMMYFUNCTION("""COMPUTED_VALUE"""),"iShares Treasury Bond 7-10 UCITS")</f>
        <v>iShares Treasury Bond 7-10 UCITS</v>
      </c>
      <c r="D430" s="5" t="str">
        <f>IFERROR(__xludf.DUMMYFUNCTION("""COMPUTED_VALUE"""),"SELL")</f>
        <v>SELL</v>
      </c>
      <c r="E430" s="21">
        <f>IFERROR(__xludf.DUMMYFUNCTION("""COMPUTED_VALUE"""),-6.0)</f>
        <v>-6</v>
      </c>
      <c r="F430" s="25">
        <f>IFERROR(__xludf.DUMMYFUNCTION("""COMPUTED_VALUE"""),178.2999)</f>
        <v>178.2999</v>
      </c>
      <c r="G430" s="10">
        <f>IFERROR(__xludf.DUMMYFUNCTION("""COMPUTED_VALUE"""),1069.8)</f>
        <v>1069.8</v>
      </c>
    </row>
    <row r="431">
      <c r="A431" s="24">
        <f>IFERROR(__xludf.DUMMYFUNCTION("""COMPUTED_VALUE"""),43616.0)</f>
        <v>43616</v>
      </c>
      <c r="B431" s="5" t="str">
        <f>IFERROR(__xludf.DUMMYFUNCTION("""COMPUTED_VALUE"""),"Gold")</f>
        <v>Gold</v>
      </c>
      <c r="C431" s="5" t="str">
        <f>IFERROR(__xludf.DUMMYFUNCTION("""COMPUTED_VALUE"""),"ETFS Physical Gold")</f>
        <v>ETFS Physical Gold</v>
      </c>
      <c r="D431" s="5" t="str">
        <f>IFERROR(__xludf.DUMMYFUNCTION("""COMPUTED_VALUE"""),"SELL")</f>
        <v>SELL</v>
      </c>
      <c r="E431" s="21">
        <f>IFERROR(__xludf.DUMMYFUNCTION("""COMPUTED_VALUE"""),-10.0)</f>
        <v>-10</v>
      </c>
      <c r="F431" s="25">
        <f>IFERROR(__xludf.DUMMYFUNCTION("""COMPUTED_VALUE"""),110.96)</f>
        <v>110.96</v>
      </c>
      <c r="G431" s="10">
        <f>IFERROR(__xludf.DUMMYFUNCTION("""COMPUTED_VALUE"""),1109.6)</f>
        <v>1109.6</v>
      </c>
    </row>
    <row r="432">
      <c r="A432" s="24">
        <f>IFERROR(__xludf.DUMMYFUNCTION("""COMPUTED_VALUE"""),43616.0)</f>
        <v>43616</v>
      </c>
      <c r="B432" s="5" t="str">
        <f>IFERROR(__xludf.DUMMYFUNCTION("""COMPUTED_VALUE"""),"Intermediate US bonds (7-10 year)")</f>
        <v>Intermediate US bonds (7-10 year)</v>
      </c>
      <c r="C432" s="5" t="str">
        <f>IFERROR(__xludf.DUMMYFUNCTION("""COMPUTED_VALUE"""),"iShares Treasury Bond 7-10 UCITS")</f>
        <v>iShares Treasury Bond 7-10 UCITS</v>
      </c>
      <c r="D432" s="5" t="str">
        <f>IFERROR(__xludf.DUMMYFUNCTION("""COMPUTED_VALUE"""),"SELL")</f>
        <v>SELL</v>
      </c>
      <c r="E432" s="21">
        <f>IFERROR(__xludf.DUMMYFUNCTION("""COMPUTED_VALUE"""),-6.0)</f>
        <v>-6</v>
      </c>
      <c r="F432" s="25">
        <f>IFERROR(__xludf.DUMMYFUNCTION("""COMPUTED_VALUE"""),178.73)</f>
        <v>178.73</v>
      </c>
      <c r="G432" s="10">
        <f>IFERROR(__xludf.DUMMYFUNCTION("""COMPUTED_VALUE"""),1072.38)</f>
        <v>1072.38</v>
      </c>
    </row>
    <row r="433">
      <c r="A433" s="24">
        <f>IFERROR(__xludf.DUMMYFUNCTION("""COMPUTED_VALUE"""),43616.0)</f>
        <v>43616</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1">
        <f>IFERROR(__xludf.DUMMYFUNCTION("""COMPUTED_VALUE"""),-1131.0)</f>
        <v>-1131</v>
      </c>
      <c r="F433" s="25">
        <f>IFERROR(__xludf.DUMMYFUNCTION("""COMPUTED_VALUE"""),4.4368)</f>
        <v>4.4368</v>
      </c>
      <c r="G433" s="10">
        <f>IFERROR(__xludf.DUMMYFUNCTION("""COMPUTED_VALUE"""),5018.13)</f>
        <v>5018.13</v>
      </c>
    </row>
    <row r="434">
      <c r="A434" s="24">
        <f>IFERROR(__xludf.DUMMYFUNCTION("""COMPUTED_VALUE"""),43616.0)</f>
        <v>43616</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0">
        <f>IFERROR(__xludf.DUMMYFUNCTION("""COMPUTED_VALUE"""),-3.0)</f>
        <v>-3</v>
      </c>
    </row>
    <row r="435">
      <c r="A435" s="24">
        <f>IFERROR(__xludf.DUMMYFUNCTION("""COMPUTED_VALUE"""),43614.0)</f>
        <v>43614</v>
      </c>
      <c r="B435" s="5" t="str">
        <f>IFERROR(__xludf.DUMMYFUNCTION("""COMPUTED_VALUE"""),"Long term US bonds (20-25 year)")</f>
        <v>Long term US bonds (20-25 year)</v>
      </c>
      <c r="C435" s="5" t="str">
        <f>IFERROR(__xludf.DUMMYFUNCTION("""COMPUTED_VALUE"""),"iShares Treasury Bond 20+ UCITS")</f>
        <v>iShares Treasury Bond 20+ UCITS</v>
      </c>
      <c r="D435" s="5" t="str">
        <f>IFERROR(__xludf.DUMMYFUNCTION("""COMPUTED_VALUE"""),"SELL")</f>
        <v>SELL</v>
      </c>
      <c r="E435" s="21">
        <f>IFERROR(__xludf.DUMMYFUNCTION("""COMPUTED_VALUE"""),-1016.0)</f>
        <v>-1016</v>
      </c>
      <c r="F435" s="25">
        <f>IFERROR(__xludf.DUMMYFUNCTION("""COMPUTED_VALUE"""),4.3762)</f>
        <v>4.3762</v>
      </c>
      <c r="G435" s="10">
        <f>IFERROR(__xludf.DUMMYFUNCTION("""COMPUTED_VALUE"""),4446.32)</f>
        <v>4446.32</v>
      </c>
    </row>
    <row r="436">
      <c r="A436" s="24">
        <f>IFERROR(__xludf.DUMMYFUNCTION("""COMPUTED_VALUE"""),43614.0)</f>
        <v>43614</v>
      </c>
      <c r="B436" s="5" t="str">
        <f>IFERROR(__xludf.DUMMYFUNCTION("""COMPUTED_VALUE"""),"Long term US bonds (20-25 year)")</f>
        <v>Long term US bonds (20-25 year)</v>
      </c>
      <c r="C436" s="5" t="str">
        <f>IFERROR(__xludf.DUMMYFUNCTION("""COMPUTED_VALUE"""),"iShares Treasury Bond 20+ UCITS")</f>
        <v>iShares Treasury Bond 20+ UCITS</v>
      </c>
      <c r="D436" s="5" t="str">
        <f>IFERROR(__xludf.DUMMYFUNCTION("""COMPUTED_VALUE"""),"COST")</f>
        <v>COST</v>
      </c>
      <c r="E436" s="5"/>
      <c r="F436" s="5"/>
      <c r="G436" s="10">
        <f>IFERROR(__xludf.DUMMYFUNCTION("""COMPUTED_VALUE"""),-2.89)</f>
        <v>-2.89</v>
      </c>
    </row>
    <row r="437">
      <c r="A437" s="24">
        <f>IFERROR(__xludf.DUMMYFUNCTION("""COMPUTED_VALUE"""),43613.0)</f>
        <v>43613</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1">
        <f>IFERROR(__xludf.DUMMYFUNCTION("""COMPUTED_VALUE"""),-258.0)</f>
        <v>-258</v>
      </c>
      <c r="F437" s="25">
        <f>IFERROR(__xludf.DUMMYFUNCTION("""COMPUTED_VALUE"""),4.3348)</f>
        <v>4.3348</v>
      </c>
      <c r="G437" s="10">
        <f>IFERROR(__xludf.DUMMYFUNCTION("""COMPUTED_VALUE"""),1118.4)</f>
        <v>1118.4</v>
      </c>
    </row>
    <row r="438">
      <c r="A438" s="24">
        <f>IFERROR(__xludf.DUMMYFUNCTION("""COMPUTED_VALUE"""),43613.0)</f>
        <v>43613</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0">
        <f>IFERROR(__xludf.DUMMYFUNCTION("""COMPUTED_VALUE"""),-2.22)</f>
        <v>-2.22</v>
      </c>
    </row>
    <row r="439">
      <c r="A439" s="24">
        <f>IFERROR(__xludf.DUMMYFUNCTION("""COMPUTED_VALUE"""),43609.0)</f>
        <v>43609</v>
      </c>
      <c r="B439" s="5" t="str">
        <f>IFERROR(__xludf.DUMMYFUNCTION("""COMPUTED_VALUE"""),"Long term US bonds (20-25 year)")</f>
        <v>Long term US bonds (20-25 year)</v>
      </c>
      <c r="C439" s="5" t="str">
        <f>IFERROR(__xludf.DUMMYFUNCTION("""COMPUTED_VALUE"""),"iShares Treasury Bond 20+ UCITS")</f>
        <v>iShares Treasury Bond 20+ UCITS</v>
      </c>
      <c r="D439" s="5" t="str">
        <f>IFERROR(__xludf.DUMMYFUNCTION("""COMPUTED_VALUE"""),"SELL")</f>
        <v>SELL</v>
      </c>
      <c r="E439" s="21">
        <f>IFERROR(__xludf.DUMMYFUNCTION("""COMPUTED_VALUE"""),-249.0)</f>
        <v>-249</v>
      </c>
      <c r="F439" s="25">
        <f>IFERROR(__xludf.DUMMYFUNCTION("""COMPUTED_VALUE"""),4.2953)</f>
        <v>4.2953</v>
      </c>
      <c r="G439" s="10">
        <f>IFERROR(__xludf.DUMMYFUNCTION("""COMPUTED_VALUE"""),1069.53)</f>
        <v>1069.53</v>
      </c>
    </row>
    <row r="440">
      <c r="A440" s="24">
        <f>IFERROR(__xludf.DUMMYFUNCTION("""COMPUTED_VALUE"""),43609.0)</f>
        <v>43609</v>
      </c>
      <c r="B440" s="5" t="str">
        <f>IFERROR(__xludf.DUMMYFUNCTION("""COMPUTED_VALUE"""),"Long term US bonds (20-25 year)")</f>
        <v>Long term US bonds (20-25 year)</v>
      </c>
      <c r="C440" s="5" t="str">
        <f>IFERROR(__xludf.DUMMYFUNCTION("""COMPUTED_VALUE"""),"iShares Treasury Bond 20+ UCITS")</f>
        <v>iShares Treasury Bond 20+ UCITS</v>
      </c>
      <c r="D440" s="5" t="str">
        <f>IFERROR(__xludf.DUMMYFUNCTION("""COMPUTED_VALUE"""),"COST")</f>
        <v>COST</v>
      </c>
      <c r="E440" s="5"/>
      <c r="F440" s="5"/>
      <c r="G440" s="10">
        <f>IFERROR(__xludf.DUMMYFUNCTION("""COMPUTED_VALUE"""),-2.21)</f>
        <v>-2.21</v>
      </c>
    </row>
    <row r="441">
      <c r="A441" s="24">
        <f>IFERROR(__xludf.DUMMYFUNCTION("""COMPUTED_VALUE"""),43608.0)</f>
        <v>43608</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1">
        <f>IFERROR(__xludf.DUMMYFUNCTION("""COMPUTED_VALUE"""),-277.0)</f>
        <v>-277</v>
      </c>
      <c r="F441" s="25">
        <f>IFERROR(__xludf.DUMMYFUNCTION("""COMPUTED_VALUE"""),4.3067)</f>
        <v>4.3067</v>
      </c>
      <c r="G441" s="10">
        <f>IFERROR(__xludf.DUMMYFUNCTION("""COMPUTED_VALUE"""),1192.96)</f>
        <v>1192.96</v>
      </c>
    </row>
    <row r="442">
      <c r="A442" s="24">
        <f>IFERROR(__xludf.DUMMYFUNCTION("""COMPUTED_VALUE"""),43608.0)</f>
        <v>43608</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0">
        <f>IFERROR(__xludf.DUMMYFUNCTION("""COMPUTED_VALUE"""),-2.24)</f>
        <v>-2.24</v>
      </c>
    </row>
    <row r="443">
      <c r="A443" s="24">
        <f>IFERROR(__xludf.DUMMYFUNCTION("""COMPUTED_VALUE"""),43608.0)</f>
        <v>43608</v>
      </c>
      <c r="B443" s="5" t="str">
        <f>IFERROR(__xludf.DUMMYFUNCTION("""COMPUTED_VALUE"""),"Long term US bonds (20-25 year)")</f>
        <v>Long term US bonds (20-25 year)</v>
      </c>
      <c r="C443" s="5" t="str">
        <f>IFERROR(__xludf.DUMMYFUNCTION("""COMPUTED_VALUE"""),"iShares Treasury Bond 20+ UCITS")</f>
        <v>iShares Treasury Bond 20+ UCITS</v>
      </c>
      <c r="D443" s="5" t="str">
        <f>IFERROR(__xludf.DUMMYFUNCTION("""COMPUTED_VALUE"""),"SELL")</f>
        <v>SELL</v>
      </c>
      <c r="E443" s="21">
        <f>IFERROR(__xludf.DUMMYFUNCTION("""COMPUTED_VALUE"""),-292.0)</f>
        <v>-292</v>
      </c>
      <c r="F443" s="25">
        <f>IFERROR(__xludf.DUMMYFUNCTION("""COMPUTED_VALUE"""),4.2938)</f>
        <v>4.2938</v>
      </c>
      <c r="G443" s="10">
        <f>IFERROR(__xludf.DUMMYFUNCTION("""COMPUTED_VALUE"""),1253.79)</f>
        <v>1253.79</v>
      </c>
    </row>
    <row r="444">
      <c r="A444" s="24">
        <f>IFERROR(__xludf.DUMMYFUNCTION("""COMPUTED_VALUE"""),43608.0)</f>
        <v>43608</v>
      </c>
      <c r="B444" s="5" t="str">
        <f>IFERROR(__xludf.DUMMYFUNCTION("""COMPUTED_VALUE"""),"Long term US bonds (20-25 year)")</f>
        <v>Long term US bonds (20-25 year)</v>
      </c>
      <c r="C444" s="5" t="str">
        <f>IFERROR(__xludf.DUMMYFUNCTION("""COMPUTED_VALUE"""),"iShares Treasury Bond 20+ UCITS")</f>
        <v>iShares Treasury Bond 20+ UCITS</v>
      </c>
      <c r="D444" s="5" t="str">
        <f>IFERROR(__xludf.DUMMYFUNCTION("""COMPUTED_VALUE"""),"COST")</f>
        <v>COST</v>
      </c>
      <c r="E444" s="5"/>
      <c r="F444" s="5"/>
      <c r="G444" s="10">
        <f>IFERROR(__xludf.DUMMYFUNCTION("""COMPUTED_VALUE"""),-2.25)</f>
        <v>-2.25</v>
      </c>
    </row>
    <row r="445">
      <c r="A445" s="24">
        <f>IFERROR(__xludf.DUMMYFUNCTION("""COMPUTED_VALUE"""),43608.0)</f>
        <v>43608</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IFERROR(__xludf.DUMMYFUNCTION("""COMPUTED_VALUE"""),"SELL")</f>
        <v>SELL</v>
      </c>
      <c r="E445" s="21">
        <f>IFERROR(__xludf.DUMMYFUNCTION("""COMPUTED_VALUE"""),-251.0)</f>
        <v>-251</v>
      </c>
      <c r="F445" s="25">
        <f>IFERROR(__xludf.DUMMYFUNCTION("""COMPUTED_VALUE"""),4.278)</f>
        <v>4.278</v>
      </c>
      <c r="G445" s="10">
        <f>IFERROR(__xludf.DUMMYFUNCTION("""COMPUTED_VALUE"""),1073.78)</f>
        <v>1073.78</v>
      </c>
    </row>
    <row r="446">
      <c r="A446" s="24">
        <f>IFERROR(__xludf.DUMMYFUNCTION("""COMPUTED_VALUE"""),43608.0)</f>
        <v>43608</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IFERROR(__xludf.DUMMYFUNCTION("""COMPUTED_VALUE"""),"COST")</f>
        <v>COST</v>
      </c>
      <c r="E446" s="5"/>
      <c r="F446" s="5"/>
      <c r="G446" s="10">
        <f>IFERROR(__xludf.DUMMYFUNCTION("""COMPUTED_VALUE"""),-2.21)</f>
        <v>-2.21</v>
      </c>
    </row>
    <row r="447">
      <c r="A447" s="24">
        <f>IFERROR(__xludf.DUMMYFUNCTION("""COMPUTED_VALUE"""),43600.0)</f>
        <v>43600</v>
      </c>
      <c r="B447" s="5" t="str">
        <f>IFERROR(__xludf.DUMMYFUNCTION("""COMPUTED_VALUE"""),"Intermediate US bonds (7-10 year)")</f>
        <v>Intermediate US bonds (7-10 year)</v>
      </c>
      <c r="C447" s="5" t="str">
        <f>IFERROR(__xludf.DUMMYFUNCTION("""COMPUTED_VALUE"""),"iShares Treasury Bond 7-10 UCITS")</f>
        <v>iShares Treasury Bond 7-10 UCITS</v>
      </c>
      <c r="D447" s="5" t="str">
        <f>IFERROR(__xludf.DUMMYFUNCTION("""COMPUTED_VALUE"""),"SELL")</f>
        <v>SELL</v>
      </c>
      <c r="E447" s="21">
        <f>IFERROR(__xludf.DUMMYFUNCTION("""COMPUTED_VALUE"""),-6.0)</f>
        <v>-6</v>
      </c>
      <c r="F447" s="25">
        <f>IFERROR(__xludf.DUMMYFUNCTION("""COMPUTED_VALUE"""),177.46)</f>
        <v>177.46</v>
      </c>
      <c r="G447" s="10">
        <f>IFERROR(__xludf.DUMMYFUNCTION("""COMPUTED_VALUE"""),1064.76)</f>
        <v>1064.76</v>
      </c>
    </row>
    <row r="448">
      <c r="A448" s="24">
        <f>IFERROR(__xludf.DUMMYFUNCTION("""COMPUTED_VALUE"""),43599.0)</f>
        <v>43599</v>
      </c>
      <c r="B448" s="5" t="str">
        <f>IFERROR(__xludf.DUMMYFUNCTION("""COMPUTED_VALUE"""),"Commodities")</f>
        <v>Commodities</v>
      </c>
      <c r="C448" s="5" t="str">
        <f>IFERROR(__xludf.DUMMYFUNCTION("""COMPUTED_VALUE"""),"ETFS All Commodities ETC")</f>
        <v>ETFS All Commodities ETC</v>
      </c>
      <c r="D448" s="5" t="str">
        <f>IFERROR(__xludf.DUMMYFUNCTION("""COMPUTED_VALUE"""),"BUY")</f>
        <v>BUY</v>
      </c>
      <c r="E448" s="21">
        <f>IFERROR(__xludf.DUMMYFUNCTION("""COMPUTED_VALUE"""),461.0)</f>
        <v>461</v>
      </c>
      <c r="F448" s="25">
        <f>IFERROR(__xludf.DUMMYFUNCTION("""COMPUTED_VALUE"""),7.13)</f>
        <v>7.13</v>
      </c>
      <c r="G448" s="10">
        <f>IFERROR(__xludf.DUMMYFUNCTION("""COMPUTED_VALUE"""),-3286.93)</f>
        <v>-3286.93</v>
      </c>
    </row>
    <row r="449">
      <c r="A449" s="24">
        <f>IFERROR(__xludf.DUMMYFUNCTION("""COMPUTED_VALUE"""),43598.0)</f>
        <v>43598</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IFERROR(__xludf.DUMMYFUNCTION("""COMPUTED_VALUE"""),"SELL")</f>
        <v>SELL</v>
      </c>
      <c r="E449" s="21">
        <f>IFERROR(__xludf.DUMMYFUNCTION("""COMPUTED_VALUE"""),-552.0)</f>
        <v>-552</v>
      </c>
      <c r="F449" s="25">
        <f>IFERROR(__xludf.DUMMYFUNCTION("""COMPUTED_VALUE"""),4.2044)</f>
        <v>4.2044</v>
      </c>
      <c r="G449" s="10">
        <f>IFERROR(__xludf.DUMMYFUNCTION("""COMPUTED_VALUE"""),2320.83)</f>
        <v>2320.83</v>
      </c>
    </row>
    <row r="450">
      <c r="A450" s="24">
        <f>IFERROR(__xludf.DUMMYFUNCTION("""COMPUTED_VALUE"""),43598.0)</f>
        <v>43598</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IFERROR(__xludf.DUMMYFUNCTION("""COMPUTED_VALUE"""),"COST")</f>
        <v>COST</v>
      </c>
      <c r="E450" s="5"/>
      <c r="F450" s="5"/>
      <c r="G450" s="10">
        <f>IFERROR(__xludf.DUMMYFUNCTION("""COMPUTED_VALUE"""),-2.46)</f>
        <v>-2.46</v>
      </c>
    </row>
    <row r="451">
      <c r="A451" s="24">
        <f>IFERROR(__xludf.DUMMYFUNCTION("""COMPUTED_VALUE"""),43596.0)</f>
        <v>43596</v>
      </c>
      <c r="B451" s="5"/>
      <c r="C451" s="5"/>
      <c r="D451" s="5" t="str">
        <f>IFERROR(__xludf.DUMMYFUNCTION("""COMPUTED_VALUE"""),"APPROVISIONNEMENT")</f>
        <v>APPROVISIONNEMENT</v>
      </c>
      <c r="E451" s="5"/>
      <c r="F451" s="5"/>
      <c r="G451" s="10">
        <f>IFERROR(__xludf.DUMMYFUNCTION("""COMPUTED_VALUE"""),-500.0)</f>
        <v>-500</v>
      </c>
    </row>
    <row r="452">
      <c r="A452" s="24">
        <f>IFERROR(__xludf.DUMMYFUNCTION("""COMPUTED_VALUE"""),43593.0)</f>
        <v>43593</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IFERROR(__xludf.DUMMYFUNCTION("""COMPUTED_VALUE"""),"SELL")</f>
        <v>SELL</v>
      </c>
      <c r="E452" s="21">
        <f>IFERROR(__xludf.DUMMYFUNCTION("""COMPUTED_VALUE"""),-412.0)</f>
        <v>-412</v>
      </c>
      <c r="F452" s="25">
        <f>IFERROR(__xludf.DUMMYFUNCTION("""COMPUTED_VALUE"""),4.2208)</f>
        <v>4.2208</v>
      </c>
      <c r="G452" s="10">
        <f>IFERROR(__xludf.DUMMYFUNCTION("""COMPUTED_VALUE"""),1738.97)</f>
        <v>1738.97</v>
      </c>
    </row>
    <row r="453">
      <c r="A453" s="24">
        <f>IFERROR(__xludf.DUMMYFUNCTION("""COMPUTED_VALUE"""),43593.0)</f>
        <v>43593</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IFERROR(__xludf.DUMMYFUNCTION("""COMPUTED_VALUE"""),"COST")</f>
        <v>COST</v>
      </c>
      <c r="E453" s="5"/>
      <c r="F453" s="5"/>
      <c r="G453" s="10">
        <f>IFERROR(__xludf.DUMMYFUNCTION("""COMPUTED_VALUE"""),-2.35)</f>
        <v>-2.35</v>
      </c>
    </row>
    <row r="454">
      <c r="A454" s="24">
        <f>IFERROR(__xludf.DUMMYFUNCTION("""COMPUTED_VALUE"""),43593.0)</f>
        <v>43593</v>
      </c>
      <c r="B454" s="5" t="str">
        <f>IFERROR(__xludf.DUMMYFUNCTION("""COMPUTED_VALUE"""),"Intermediate US bonds (7-10 year)")</f>
        <v>Intermediate US bonds (7-10 year)</v>
      </c>
      <c r="C454" s="5" t="str">
        <f>IFERROR(__xludf.DUMMYFUNCTION("""COMPUTED_VALUE"""),"iShares Treasury Bond 7-10 UCITS")</f>
        <v>iShares Treasury Bond 7-10 UCITS</v>
      </c>
      <c r="D454" s="5" t="str">
        <f>IFERROR(__xludf.DUMMYFUNCTION("""COMPUTED_VALUE"""),"SELL")</f>
        <v>SELL</v>
      </c>
      <c r="E454" s="21">
        <f>IFERROR(__xludf.DUMMYFUNCTION("""COMPUTED_VALUE"""),-7.0)</f>
        <v>-7</v>
      </c>
      <c r="F454" s="25">
        <f>IFERROR(__xludf.DUMMYFUNCTION("""COMPUTED_VALUE"""),176.2)</f>
        <v>176.2</v>
      </c>
      <c r="G454" s="10">
        <f>IFERROR(__xludf.DUMMYFUNCTION("""COMPUTED_VALUE"""),1233.4)</f>
        <v>1233.4</v>
      </c>
    </row>
    <row r="455">
      <c r="A455" s="24">
        <f>IFERROR(__xludf.DUMMYFUNCTION("""COMPUTED_VALUE"""),43593.0)</f>
        <v>43593</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IFERROR(__xludf.DUMMYFUNCTION("""COMPUTED_VALUE"""),"SELL")</f>
        <v>SELL</v>
      </c>
      <c r="E455" s="21">
        <f>IFERROR(__xludf.DUMMYFUNCTION("""COMPUTED_VALUE"""),-388.0)</f>
        <v>-388</v>
      </c>
      <c r="F455" s="25">
        <f>IFERROR(__xludf.DUMMYFUNCTION("""COMPUTED_VALUE"""),4.211)</f>
        <v>4.211</v>
      </c>
      <c r="G455" s="10">
        <f>IFERROR(__xludf.DUMMYFUNCTION("""COMPUTED_VALUE"""),1633.87)</f>
        <v>1633.87</v>
      </c>
    </row>
    <row r="456">
      <c r="A456" s="24">
        <f>IFERROR(__xludf.DUMMYFUNCTION("""COMPUTED_VALUE"""),43593.0)</f>
        <v>43593</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IFERROR(__xludf.DUMMYFUNCTION("""COMPUTED_VALUE"""),"COST")</f>
        <v>COST</v>
      </c>
      <c r="E456" s="5"/>
      <c r="F456" s="5"/>
      <c r="G456" s="10">
        <f>IFERROR(__xludf.DUMMYFUNCTION("""COMPUTED_VALUE"""),-2.33)</f>
        <v>-2.33</v>
      </c>
    </row>
    <row r="457">
      <c r="A457" s="24">
        <f>IFERROR(__xludf.DUMMYFUNCTION("""COMPUTED_VALUE"""),43592.0)</f>
        <v>43592</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IFERROR(__xludf.DUMMYFUNCTION("""COMPUTED_VALUE"""),"SELL")</f>
        <v>SELL</v>
      </c>
      <c r="E457" s="21">
        <f>IFERROR(__xludf.DUMMYFUNCTION("""COMPUTED_VALUE"""),-277.0)</f>
        <v>-277</v>
      </c>
      <c r="F457" s="25">
        <f>IFERROR(__xludf.DUMMYFUNCTION("""COMPUTED_VALUE"""),4.198)</f>
        <v>4.198</v>
      </c>
      <c r="G457" s="10">
        <f>IFERROR(__xludf.DUMMYFUNCTION("""COMPUTED_VALUE"""),1162.85)</f>
        <v>1162.85</v>
      </c>
    </row>
    <row r="458">
      <c r="A458" s="24">
        <f>IFERROR(__xludf.DUMMYFUNCTION("""COMPUTED_VALUE"""),43592.0)</f>
        <v>43592</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IFERROR(__xludf.DUMMYFUNCTION("""COMPUTED_VALUE"""),"COST")</f>
        <v>COST</v>
      </c>
      <c r="E458" s="5"/>
      <c r="F458" s="5"/>
      <c r="G458" s="10">
        <f>IFERROR(__xludf.DUMMYFUNCTION("""COMPUTED_VALUE"""),-2.23)</f>
        <v>-2.23</v>
      </c>
    </row>
    <row r="459">
      <c r="A459" s="24">
        <f>IFERROR(__xludf.DUMMYFUNCTION("""COMPUTED_VALUE"""),43591.0)</f>
        <v>43591</v>
      </c>
      <c r="B459" s="5" t="str">
        <f>IFERROR(__xludf.DUMMYFUNCTION("""COMPUTED_VALUE"""),"Intermediate US bonds (7-10 year)")</f>
        <v>Intermediate US bonds (7-10 year)</v>
      </c>
      <c r="C459" s="5" t="str">
        <f>IFERROR(__xludf.DUMMYFUNCTION("""COMPUTED_VALUE"""),"iShares Treasury Bond 7-10 UCITS")</f>
        <v>iShares Treasury Bond 7-10 UCITS</v>
      </c>
      <c r="D459" s="5" t="str">
        <f>IFERROR(__xludf.DUMMYFUNCTION("""COMPUTED_VALUE"""),"SELL")</f>
        <v>SELL</v>
      </c>
      <c r="E459" s="21">
        <f>IFERROR(__xludf.DUMMYFUNCTION("""COMPUTED_VALUE"""),-6.0)</f>
        <v>-6</v>
      </c>
      <c r="F459" s="25">
        <f>IFERROR(__xludf.DUMMYFUNCTION("""COMPUTED_VALUE"""),175.51)</f>
        <v>175.51</v>
      </c>
      <c r="G459" s="10">
        <f>IFERROR(__xludf.DUMMYFUNCTION("""COMPUTED_VALUE"""),1053.06)</f>
        <v>1053.06</v>
      </c>
    </row>
    <row r="460">
      <c r="A460" s="24">
        <f>IFERROR(__xludf.DUMMYFUNCTION("""COMPUTED_VALUE"""),43591.0)</f>
        <v>43591</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IFERROR(__xludf.DUMMYFUNCTION("""COMPUTED_VALUE"""),"SELL")</f>
        <v>SELL</v>
      </c>
      <c r="E460" s="21">
        <f>IFERROR(__xludf.DUMMYFUNCTION("""COMPUTED_VALUE"""),-925.0)</f>
        <v>-925</v>
      </c>
      <c r="F460" s="25">
        <f>IFERROR(__xludf.DUMMYFUNCTION("""COMPUTED_VALUE"""),4.1872)</f>
        <v>4.1872</v>
      </c>
      <c r="G460" s="10">
        <f>IFERROR(__xludf.DUMMYFUNCTION("""COMPUTED_VALUE"""),3873.16)</f>
        <v>3873.16</v>
      </c>
    </row>
    <row r="461">
      <c r="A461" s="24">
        <f>IFERROR(__xludf.DUMMYFUNCTION("""COMPUTED_VALUE"""),43591.0)</f>
        <v>43591</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IFERROR(__xludf.DUMMYFUNCTION("""COMPUTED_VALUE"""),"COST")</f>
        <v>COST</v>
      </c>
      <c r="E461" s="5"/>
      <c r="F461" s="5"/>
      <c r="G461" s="10">
        <f>IFERROR(__xludf.DUMMYFUNCTION("""COMPUTED_VALUE"""),-2.77)</f>
        <v>-2.77</v>
      </c>
    </row>
    <row r="462">
      <c r="A462" s="24">
        <f>IFERROR(__xludf.DUMMYFUNCTION("""COMPUTED_VALUE"""),43588.0)</f>
        <v>43588</v>
      </c>
      <c r="B462" s="5"/>
      <c r="C462" s="5"/>
      <c r="D462" s="5" t="str">
        <f>IFERROR(__xludf.DUMMYFUNCTION("""COMPUTED_VALUE"""),"APPROVISIONNEMENT")</f>
        <v>APPROVISIONNEMENT</v>
      </c>
      <c r="E462" s="5"/>
      <c r="F462" s="5"/>
      <c r="G462" s="10">
        <f>IFERROR(__xludf.DUMMYFUNCTION("""COMPUTED_VALUE"""),-500.0)</f>
        <v>-500</v>
      </c>
    </row>
    <row r="463">
      <c r="A463" s="24">
        <f>IFERROR(__xludf.DUMMYFUNCTION("""COMPUTED_VALUE"""),43588.0)</f>
        <v>43588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IFERROR(__xludf.DUMMYFUNCTION("""COMPUTED_VALUE"""),"SELL")</f>
        <v>SELL</v>
      </c>
      <c r="E463" s="21">
        <f>IFERROR(__xludf.DUMMYFUNCTION("""COMPUTED_VALUE"""),-295.0)</f>
        <v>-295</v>
      </c>
      <c r="F463" s="25">
        <f>IFERROR(__xludf.DUMMYFUNCTION("""COMPUTED_VALUE"""),4.1686)</f>
        <v>4.1686</v>
      </c>
      <c r="G463" s="10">
        <f>IFERROR(__xludf.DUMMYFUNCTION("""COMPUTED_VALUE"""),1229.74)</f>
        <v>1229.74</v>
      </c>
    </row>
    <row r="464">
      <c r="A464" s="24">
        <f>IFERROR(__xludf.DUMMYFUNCTION("""COMPUTED_VALUE"""),43588.0)</f>
        <v>43588</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IFERROR(__xludf.DUMMYFUNCTION("""COMPUTED_VALUE"""),"COST")</f>
        <v>COST</v>
      </c>
      <c r="E464" s="5"/>
      <c r="F464" s="5"/>
      <c r="G464" s="10">
        <f>IFERROR(__xludf.DUMMYFUNCTION("""COMPUTED_VALUE"""),-2.25)</f>
        <v>-2.25</v>
      </c>
    </row>
    <row r="465">
      <c r="A465" s="24">
        <f>IFERROR(__xludf.DUMMYFUNCTION("""COMPUTED_VALUE"""),43585.0)</f>
        <v>43585</v>
      </c>
      <c r="B465" s="5"/>
      <c r="C465" s="5"/>
      <c r="D465" s="5" t="str">
        <f>IFERROR(__xludf.DUMMYFUNCTION("""COMPUTED_VALUE"""),"COST")</f>
        <v>COST</v>
      </c>
      <c r="E465" s="5"/>
      <c r="F465" s="5"/>
      <c r="G465" s="10">
        <f>IFERROR(__xludf.DUMMYFUNCTION("""COMPUTED_VALUE"""),-547.92)</f>
        <v>-547.92</v>
      </c>
    </row>
    <row r="466">
      <c r="A466" s="24">
        <f>IFERROR(__xludf.DUMMYFUNCTION("""COMPUTED_VALUE"""),43585.0)</f>
        <v>43585</v>
      </c>
      <c r="B466" s="5"/>
      <c r="C466" s="5"/>
      <c r="D466" s="5" t="str">
        <f>IFERROR(__xludf.DUMMYFUNCTION("""COMPUTED_VALUE"""),"COST")</f>
        <v>COST</v>
      </c>
      <c r="E466" s="5"/>
      <c r="F466" s="5"/>
      <c r="G466" s="10">
        <f>IFERROR(__xludf.DUMMYFUNCTION("""COMPUTED_VALUE"""),-2.5)</f>
        <v>-2.5</v>
      </c>
    </row>
    <row r="467">
      <c r="A467" s="24">
        <f>IFERROR(__xludf.DUMMYFUNCTION("""COMPUTED_VALUE"""),43584.0)</f>
        <v>43584</v>
      </c>
      <c r="B467" s="5" t="str">
        <f>IFERROR(__xludf.DUMMYFUNCTION("""COMPUTED_VALUE"""),"Stocks")</f>
        <v>Stocks</v>
      </c>
      <c r="C467" s="5" t="str">
        <f>IFERROR(__xludf.DUMMYFUNCTION("""COMPUTED_VALUE"""),"Vanguard S&amp;P 500 UCITS")</f>
        <v>Vanguard S&amp;P 500 UCITS</v>
      </c>
      <c r="D467" s="5" t="str">
        <f>IFERROR(__xludf.DUMMYFUNCTION("""COMPUTED_VALUE"""),"SELL")</f>
        <v>SELL</v>
      </c>
      <c r="E467" s="21">
        <f>IFERROR(__xludf.DUMMYFUNCTION("""COMPUTED_VALUE"""),-25.0)</f>
        <v>-25</v>
      </c>
      <c r="F467" s="25">
        <f>IFERROR(__xludf.DUMMYFUNCTION("""COMPUTED_VALUE"""),50.092)</f>
        <v>50.092</v>
      </c>
      <c r="G467" s="10">
        <f>IFERROR(__xludf.DUMMYFUNCTION("""COMPUTED_VALUE"""),1252.3)</f>
        <v>1252.3</v>
      </c>
    </row>
    <row r="468">
      <c r="A468" s="24">
        <f>IFERROR(__xludf.DUMMYFUNCTION("""COMPUTED_VALUE"""),43580.0)</f>
        <v>43580</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1">
        <f>IFERROR(__xludf.DUMMYFUNCTION("""COMPUTED_VALUE"""),-544.0)</f>
        <v>-544</v>
      </c>
      <c r="F468" s="25">
        <f>IFERROR(__xludf.DUMMYFUNCTION("""COMPUTED_VALUE"""),4.1629)</f>
        <v>4.1629</v>
      </c>
      <c r="G468" s="10">
        <f>IFERROR(__xludf.DUMMYFUNCTION("""COMPUTED_VALUE"""),2264.67)</f>
        <v>2264.67</v>
      </c>
    </row>
    <row r="469">
      <c r="A469" s="24">
        <f>IFERROR(__xludf.DUMMYFUNCTION("""COMPUTED_VALUE"""),43580.0)</f>
        <v>43580</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0">
        <f>IFERROR(__xludf.DUMMYFUNCTION("""COMPUTED_VALUE"""),-2.45)</f>
        <v>-2.45</v>
      </c>
    </row>
    <row r="470">
      <c r="A470" s="24">
        <f>IFERROR(__xludf.DUMMYFUNCTION("""COMPUTED_VALUE"""),43579.0)</f>
        <v>43579</v>
      </c>
      <c r="B470" s="5" t="str">
        <f>IFERROR(__xludf.DUMMYFUNCTION("""COMPUTED_VALUE"""),"Intermediate US bonds (7-10 year)")</f>
        <v>Intermediate US bonds (7-10 year)</v>
      </c>
      <c r="C470" s="5" t="str">
        <f>IFERROR(__xludf.DUMMYFUNCTION("""COMPUTED_VALUE"""),"iShares Treasury Bond 7-10 UCITS")</f>
        <v>iShares Treasury Bond 7-10 UCITS</v>
      </c>
      <c r="D470" s="5" t="str">
        <f>IFERROR(__xludf.DUMMYFUNCTION("""COMPUTED_VALUE"""),"SELL")</f>
        <v>SELL</v>
      </c>
      <c r="E470" s="21">
        <f>IFERROR(__xludf.DUMMYFUNCTION("""COMPUTED_VALUE"""),-6.0)</f>
        <v>-6</v>
      </c>
      <c r="F470" s="25">
        <f>IFERROR(__xludf.DUMMYFUNCTION("""COMPUTED_VALUE"""),175.0)</f>
        <v>175</v>
      </c>
      <c r="G470" s="10">
        <f>IFERROR(__xludf.DUMMYFUNCTION("""COMPUTED_VALUE"""),1050.0)</f>
        <v>1050</v>
      </c>
    </row>
    <row r="471">
      <c r="A471" s="24">
        <f>IFERROR(__xludf.DUMMYFUNCTION("""COMPUTED_VALUE"""),43579.0)</f>
        <v>43579</v>
      </c>
      <c r="B471" s="5" t="str">
        <f>IFERROR(__xludf.DUMMYFUNCTION("""COMPUTED_VALUE"""),"Stocks")</f>
        <v>Stocks</v>
      </c>
      <c r="C471" s="5" t="str">
        <f>IFERROR(__xludf.DUMMYFUNCTION("""COMPUTED_VALUE"""),"Vanguard S&amp;P 500 UCITS")</f>
        <v>Vanguard S&amp;P 500 UCITS</v>
      </c>
      <c r="D471" s="5" t="str">
        <f>IFERROR(__xludf.DUMMYFUNCTION("""COMPUTED_VALUE"""),"SELL")</f>
        <v>SELL</v>
      </c>
      <c r="E471" s="21">
        <f>IFERROR(__xludf.DUMMYFUNCTION("""COMPUTED_VALUE"""),-21.0)</f>
        <v>-21</v>
      </c>
      <c r="F471" s="25">
        <f>IFERROR(__xludf.DUMMYFUNCTION("""COMPUTED_VALUE"""),49.729)</f>
        <v>49.729</v>
      </c>
      <c r="G471" s="10">
        <f>IFERROR(__xludf.DUMMYFUNCTION("""COMPUTED_VALUE"""),1044.31)</f>
        <v>1044.31</v>
      </c>
    </row>
    <row r="472">
      <c r="A472" s="24">
        <f>IFERROR(__xludf.DUMMYFUNCTION("""COMPUTED_VALUE"""),43579.0)</f>
        <v>43579</v>
      </c>
      <c r="B472" s="5" t="str">
        <f>IFERROR(__xludf.DUMMYFUNCTION("""COMPUTED_VALUE"""),"Long term US bonds (20-25 year)")</f>
        <v>Long term US bonds (20-25 year)</v>
      </c>
      <c r="C472" s="5" t="str">
        <f>IFERROR(__xludf.DUMMYFUNCTION("""COMPUTED_VALUE"""),"iShares Treasury Bond 20+ UCITS")</f>
        <v>iShares Treasury Bond 20+ UCITS</v>
      </c>
      <c r="D472" s="5" t="str">
        <f>IFERROR(__xludf.DUMMYFUNCTION("""COMPUTED_VALUE"""),"SELL")</f>
        <v>SELL</v>
      </c>
      <c r="E472" s="21">
        <f>IFERROR(__xludf.DUMMYFUNCTION("""COMPUTED_VALUE"""),-330.0)</f>
        <v>-330</v>
      </c>
      <c r="F472" s="25">
        <f>IFERROR(__xludf.DUMMYFUNCTION("""COMPUTED_VALUE"""),4.141)</f>
        <v>4.141</v>
      </c>
      <c r="G472" s="10">
        <f>IFERROR(__xludf.DUMMYFUNCTION("""COMPUTED_VALUE"""),1366.53)</f>
        <v>1366.53</v>
      </c>
    </row>
    <row r="473">
      <c r="A473" s="24">
        <f>IFERROR(__xludf.DUMMYFUNCTION("""COMPUTED_VALUE"""),43579.0)</f>
        <v>43579</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IFERROR(__xludf.DUMMYFUNCTION("""COMPUTED_VALUE"""),"COST")</f>
        <v>COST</v>
      </c>
      <c r="E473" s="5"/>
      <c r="F473" s="5"/>
      <c r="G473" s="10">
        <f>IFERROR(__xludf.DUMMYFUNCTION("""COMPUTED_VALUE"""),-2.27)</f>
        <v>-2.27</v>
      </c>
    </row>
    <row r="474">
      <c r="A474" s="24">
        <f>IFERROR(__xludf.DUMMYFUNCTION("""COMPUTED_VALUE"""),43579.0)</f>
        <v>43579</v>
      </c>
      <c r="B474" s="5" t="str">
        <f>IFERROR(__xludf.DUMMYFUNCTION("""COMPUTED_VALUE"""),"Stocks")</f>
        <v>Stocks</v>
      </c>
      <c r="C474" s="5" t="str">
        <f>IFERROR(__xludf.DUMMYFUNCTION("""COMPUTED_VALUE"""),"Vanguard S&amp;P 500 UCITS")</f>
        <v>Vanguard S&amp;P 500 UCITS</v>
      </c>
      <c r="D474" s="5" t="str">
        <f>IFERROR(__xludf.DUMMYFUNCTION("""COMPUTED_VALUE"""),"SELL")</f>
        <v>SELL</v>
      </c>
      <c r="E474" s="21">
        <f>IFERROR(__xludf.DUMMYFUNCTION("""COMPUTED_VALUE"""),-23.0)</f>
        <v>-23</v>
      </c>
      <c r="F474" s="25">
        <f>IFERROR(__xludf.DUMMYFUNCTION("""COMPUTED_VALUE"""),49.6999)</f>
        <v>49.6999</v>
      </c>
      <c r="G474" s="10">
        <f>IFERROR(__xludf.DUMMYFUNCTION("""COMPUTED_VALUE"""),1143.1)</f>
        <v>1143.1</v>
      </c>
    </row>
    <row r="475">
      <c r="A475" s="24">
        <f>IFERROR(__xludf.DUMMYFUNCTION("""COMPUTED_VALUE"""),43579.0)</f>
        <v>43579</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IFERROR(__xludf.DUMMYFUNCTION("""COMPUTED_VALUE"""),"SELL")</f>
        <v>SELL</v>
      </c>
      <c r="E475" s="21">
        <f>IFERROR(__xludf.DUMMYFUNCTION("""COMPUTED_VALUE"""),-320.0)</f>
        <v>-320</v>
      </c>
      <c r="F475" s="25">
        <f>IFERROR(__xludf.DUMMYFUNCTION("""COMPUTED_VALUE"""),4.1356)</f>
        <v>4.1356</v>
      </c>
      <c r="G475" s="10">
        <f>IFERROR(__xludf.DUMMYFUNCTION("""COMPUTED_VALUE"""),1323.42)</f>
        <v>1323.42</v>
      </c>
    </row>
    <row r="476">
      <c r="A476" s="24">
        <f>IFERROR(__xludf.DUMMYFUNCTION("""COMPUTED_VALUE"""),43579.0)</f>
        <v>43579</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IFERROR(__xludf.DUMMYFUNCTION("""COMPUTED_VALUE"""),"COST")</f>
        <v>COST</v>
      </c>
      <c r="E476" s="5"/>
      <c r="F476" s="5"/>
      <c r="G476" s="10">
        <f>IFERROR(__xludf.DUMMYFUNCTION("""COMPUTED_VALUE"""),-2.26)</f>
        <v>-2.26</v>
      </c>
    </row>
    <row r="477">
      <c r="A477" s="24">
        <f>IFERROR(__xludf.DUMMYFUNCTION("""COMPUTED_VALUE"""),43579.0)</f>
        <v>43579</v>
      </c>
      <c r="B477" s="5" t="str">
        <f>IFERROR(__xludf.DUMMYFUNCTION("""COMPUTED_VALUE"""),"Intermediate US bonds (7-10 year)")</f>
        <v>Intermediate US bonds (7-10 year)</v>
      </c>
      <c r="C477" s="5" t="str">
        <f>IFERROR(__xludf.DUMMYFUNCTION("""COMPUTED_VALUE"""),"iShares Treasury Bond 7-10 UCITS")</f>
        <v>iShares Treasury Bond 7-10 UCITS</v>
      </c>
      <c r="D477" s="5" t="str">
        <f>IFERROR(__xludf.DUMMYFUNCTION("""COMPUTED_VALUE"""),"SELL")</f>
        <v>SELL</v>
      </c>
      <c r="E477" s="21">
        <f>IFERROR(__xludf.DUMMYFUNCTION("""COMPUTED_VALUE"""),-6.0)</f>
        <v>-6</v>
      </c>
      <c r="F477" s="25">
        <f>IFERROR(__xludf.DUMMYFUNCTION("""COMPUTED_VALUE"""),174.67)</f>
        <v>174.67</v>
      </c>
      <c r="G477" s="10">
        <f>IFERROR(__xludf.DUMMYFUNCTION("""COMPUTED_VALUE"""),1048.02)</f>
        <v>1048.02</v>
      </c>
    </row>
    <row r="478">
      <c r="A478" s="24">
        <f>IFERROR(__xludf.DUMMYFUNCTION("""COMPUTED_VALUE"""),43579.0)</f>
        <v>43579</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IFERROR(__xludf.DUMMYFUNCTION("""COMPUTED_VALUE"""),"SELL")</f>
        <v>SELL</v>
      </c>
      <c r="E478" s="21">
        <f>IFERROR(__xludf.DUMMYFUNCTION("""COMPUTED_VALUE"""),-285.0)</f>
        <v>-285</v>
      </c>
      <c r="F478" s="25">
        <f>IFERROR(__xludf.DUMMYFUNCTION("""COMPUTED_VALUE"""),4.1217)</f>
        <v>4.1217</v>
      </c>
      <c r="G478" s="10">
        <f>IFERROR(__xludf.DUMMYFUNCTION("""COMPUTED_VALUE"""),1174.71)</f>
        <v>1174.71</v>
      </c>
    </row>
    <row r="479">
      <c r="A479" s="24">
        <f>IFERROR(__xludf.DUMMYFUNCTION("""COMPUTED_VALUE"""),43579.0)</f>
        <v>43579</v>
      </c>
      <c r="B479" s="5" t="str">
        <f>IFERROR(__xludf.DUMMYFUNCTION("""COMPUTED_VALUE"""),"Long term US bonds (20-25 year)")</f>
        <v>Long term US bonds (20-25 year)</v>
      </c>
      <c r="C479" s="5" t="str">
        <f>IFERROR(__xludf.DUMMYFUNCTION("""COMPUTED_VALUE"""),"iShares Treasury Bond 20+ UCITS")</f>
        <v>iShares Treasury Bond 20+ UCITS</v>
      </c>
      <c r="D479" s="5" t="str">
        <f>IFERROR(__xludf.DUMMYFUNCTION("""COMPUTED_VALUE"""),"COST")</f>
        <v>COST</v>
      </c>
      <c r="E479" s="5"/>
      <c r="F479" s="5"/>
      <c r="G479" s="10">
        <f>IFERROR(__xludf.DUMMYFUNCTION("""COMPUTED_VALUE"""),-2.23)</f>
        <v>-2.23</v>
      </c>
    </row>
    <row r="480">
      <c r="A480" s="24">
        <f>IFERROR(__xludf.DUMMYFUNCTION("""COMPUTED_VALUE"""),43579.0)</f>
        <v>43579</v>
      </c>
      <c r="B480" s="5" t="str">
        <f>IFERROR(__xludf.DUMMYFUNCTION("""COMPUTED_VALUE"""),"Stocks")</f>
        <v>Stocks</v>
      </c>
      <c r="C480" s="5" t="str">
        <f>IFERROR(__xludf.DUMMYFUNCTION("""COMPUTED_VALUE"""),"Vanguard S&amp;P 500 UCITS")</f>
        <v>Vanguard S&amp;P 500 UCITS</v>
      </c>
      <c r="D480" s="5" t="str">
        <f>IFERROR(__xludf.DUMMYFUNCTION("""COMPUTED_VALUE"""),"SELL")</f>
        <v>SELL</v>
      </c>
      <c r="E480" s="21">
        <f>IFERROR(__xludf.DUMMYFUNCTION("""COMPUTED_VALUE"""),-25.0)</f>
        <v>-25</v>
      </c>
      <c r="F480" s="25">
        <f>IFERROR(__xludf.DUMMYFUNCTION("""COMPUTED_VALUE"""),49.62)</f>
        <v>49.62</v>
      </c>
      <c r="G480" s="10">
        <f>IFERROR(__xludf.DUMMYFUNCTION("""COMPUTED_VALUE"""),1240.5)</f>
        <v>1240.5</v>
      </c>
    </row>
    <row r="481">
      <c r="A481" s="24">
        <f>IFERROR(__xludf.DUMMYFUNCTION("""COMPUTED_VALUE"""),43578.0)</f>
        <v>43578</v>
      </c>
      <c r="B481" s="5" t="str">
        <f>IFERROR(__xludf.DUMMYFUNCTION("""COMPUTED_VALUE"""),"Stocks")</f>
        <v>Stocks</v>
      </c>
      <c r="C481" s="5" t="str">
        <f>IFERROR(__xludf.DUMMYFUNCTION("""COMPUTED_VALUE"""),"Vanguard S&amp;P 500 UCITS")</f>
        <v>Vanguard S&amp;P 500 UCITS</v>
      </c>
      <c r="D481" s="5" t="str">
        <f>IFERROR(__xludf.DUMMYFUNCTION("""COMPUTED_VALUE"""),"SELL")</f>
        <v>SELL</v>
      </c>
      <c r="E481" s="21">
        <f>IFERROR(__xludf.DUMMYFUNCTION("""COMPUTED_VALUE"""),-25.0)</f>
        <v>-25</v>
      </c>
      <c r="F481" s="25">
        <f>IFERROR(__xludf.DUMMYFUNCTION("""COMPUTED_VALUE"""),49.2048)</f>
        <v>49.2048</v>
      </c>
      <c r="G481" s="10">
        <f>IFERROR(__xludf.DUMMYFUNCTION("""COMPUTED_VALUE"""),1230.12)</f>
        <v>1230.12</v>
      </c>
    </row>
    <row r="482">
      <c r="A482" s="24">
        <f>IFERROR(__xludf.DUMMYFUNCTION("""COMPUTED_VALUE"""),43578.0)</f>
        <v>43578</v>
      </c>
      <c r="B482" s="5" t="str">
        <f>IFERROR(__xludf.DUMMYFUNCTION("""COMPUTED_VALUE"""),"Commodities")</f>
        <v>Commodities</v>
      </c>
      <c r="C482" s="5" t="str">
        <f>IFERROR(__xludf.DUMMYFUNCTION("""COMPUTED_VALUE"""),"ETFS All Commodities ETC")</f>
        <v>ETFS All Commodities ETC</v>
      </c>
      <c r="D482" s="5" t="str">
        <f>IFERROR(__xludf.DUMMYFUNCTION("""COMPUTED_VALUE"""),"SELL")</f>
        <v>SELL</v>
      </c>
      <c r="E482" s="21">
        <f>IFERROR(__xludf.DUMMYFUNCTION("""COMPUTED_VALUE"""),-150.0)</f>
        <v>-150</v>
      </c>
      <c r="F482" s="25">
        <f>IFERROR(__xludf.DUMMYFUNCTION("""COMPUTED_VALUE"""),7.43)</f>
        <v>7.43</v>
      </c>
      <c r="G482" s="10">
        <f>IFERROR(__xludf.DUMMYFUNCTION("""COMPUTED_VALUE"""),1114.5)</f>
        <v>1114.5</v>
      </c>
    </row>
    <row r="483">
      <c r="A483" s="24">
        <f>IFERROR(__xludf.DUMMYFUNCTION("""COMPUTED_VALUE"""),43573.0)</f>
        <v>43573</v>
      </c>
      <c r="B483" s="5" t="str">
        <f>IFERROR(__xludf.DUMMYFUNCTION("""COMPUTED_VALUE"""),"Stocks")</f>
        <v>Stocks</v>
      </c>
      <c r="C483" s="5" t="str">
        <f>IFERROR(__xludf.DUMMYFUNCTION("""COMPUTED_VALUE"""),"Vanguard S&amp;P 500 UCITS")</f>
        <v>Vanguard S&amp;P 500 UCITS</v>
      </c>
      <c r="D483" s="5" t="str">
        <f>IFERROR(__xludf.DUMMYFUNCTION("""COMPUTED_VALUE"""),"SELL")</f>
        <v>SELL</v>
      </c>
      <c r="E483" s="21">
        <f>IFERROR(__xludf.DUMMYFUNCTION("""COMPUTED_VALUE"""),-25.0)</f>
        <v>-25</v>
      </c>
      <c r="F483" s="25">
        <f>IFERROR(__xludf.DUMMYFUNCTION("""COMPUTED_VALUE"""),49.03)</f>
        <v>49.03</v>
      </c>
      <c r="G483" s="10">
        <f>IFERROR(__xludf.DUMMYFUNCTION("""COMPUTED_VALUE"""),1225.75)</f>
        <v>1225.75</v>
      </c>
    </row>
    <row r="484">
      <c r="A484" s="24">
        <f>IFERROR(__xludf.DUMMYFUNCTION("""COMPUTED_VALUE"""),43573.0)</f>
        <v>43573</v>
      </c>
      <c r="B484" s="5" t="str">
        <f>IFERROR(__xludf.DUMMYFUNCTION("""COMPUTED_VALUE"""),"Long term US bonds (20-25 year)")</f>
        <v>Long term US bonds (20-25 year)</v>
      </c>
      <c r="C484" s="5" t="str">
        <f>IFERROR(__xludf.DUMMYFUNCTION("""COMPUTED_VALUE"""),"iShares Treasury Bond 20+ UCITS")</f>
        <v>iShares Treasury Bond 20+ UCITS</v>
      </c>
      <c r="D484" s="5" t="str">
        <f>IFERROR(__xludf.DUMMYFUNCTION("""COMPUTED_VALUE"""),"SELL")</f>
        <v>SELL</v>
      </c>
      <c r="E484" s="21">
        <f>IFERROR(__xludf.DUMMYFUNCTION("""COMPUTED_VALUE"""),-879.0)</f>
        <v>-879</v>
      </c>
      <c r="F484" s="25">
        <f>IFERROR(__xludf.DUMMYFUNCTION("""COMPUTED_VALUE"""),4.0992)</f>
        <v>4.0992</v>
      </c>
      <c r="G484" s="10">
        <f>IFERROR(__xludf.DUMMYFUNCTION("""COMPUTED_VALUE"""),3603.2)</f>
        <v>3603.2</v>
      </c>
    </row>
    <row r="485">
      <c r="A485" s="24">
        <f>IFERROR(__xludf.DUMMYFUNCTION("""COMPUTED_VALUE"""),43573.0)</f>
        <v>43573</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IFERROR(__xludf.DUMMYFUNCTION("""COMPUTED_VALUE"""),"COST")</f>
        <v>COST</v>
      </c>
      <c r="E485" s="5"/>
      <c r="F485" s="5"/>
      <c r="G485" s="10">
        <f>IFERROR(__xludf.DUMMYFUNCTION("""COMPUTED_VALUE"""),-2.72)</f>
        <v>-2.72</v>
      </c>
    </row>
    <row r="486">
      <c r="A486" s="24">
        <f>IFERROR(__xludf.DUMMYFUNCTION("""COMPUTED_VALUE"""),43571.0)</f>
        <v>43571</v>
      </c>
      <c r="B486" s="5" t="str">
        <f>IFERROR(__xludf.DUMMYFUNCTION("""COMPUTED_VALUE"""),"Stocks")</f>
        <v>Stocks</v>
      </c>
      <c r="C486" s="5" t="str">
        <f>IFERROR(__xludf.DUMMYFUNCTION("""COMPUTED_VALUE"""),"Vanguard S&amp;P 500 UCITS")</f>
        <v>Vanguard S&amp;P 500 UCITS</v>
      </c>
      <c r="D486" s="5" t="str">
        <f>IFERROR(__xludf.DUMMYFUNCTION("""COMPUTED_VALUE"""),"SELL")</f>
        <v>SELL</v>
      </c>
      <c r="E486" s="21">
        <f>IFERROR(__xludf.DUMMYFUNCTION("""COMPUTED_VALUE"""),-25.0)</f>
        <v>-25</v>
      </c>
      <c r="F486" s="25">
        <f>IFERROR(__xludf.DUMMYFUNCTION("""COMPUTED_VALUE"""),48.99)</f>
        <v>48.99</v>
      </c>
      <c r="G486" s="10">
        <f>IFERROR(__xludf.DUMMYFUNCTION("""COMPUTED_VALUE"""),1224.75)</f>
        <v>1224.75</v>
      </c>
    </row>
    <row r="487">
      <c r="A487" s="24">
        <f>IFERROR(__xludf.DUMMYFUNCTION("""COMPUTED_VALUE"""),43570.0)</f>
        <v>43570</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IFERROR(__xludf.DUMMYFUNCTION("""COMPUTED_VALUE"""),-25.0)</f>
        <v>-25</v>
      </c>
      <c r="F487" s="25">
        <f>IFERROR(__xludf.DUMMYFUNCTION("""COMPUTED_VALUE"""),48.7952)</f>
        <v>48.7952</v>
      </c>
      <c r="G487" s="10">
        <f>IFERROR(__xludf.DUMMYFUNCTION("""COMPUTED_VALUE"""),1219.88)</f>
        <v>1219.88</v>
      </c>
    </row>
    <row r="488">
      <c r="A488" s="24">
        <f>IFERROR(__xludf.DUMMYFUNCTION("""COMPUTED_VALUE"""),43567.0)</f>
        <v>43567</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IFERROR(__xludf.DUMMYFUNCTION("""COMPUTED_VALUE"""),"BUY")</f>
        <v>BUY</v>
      </c>
      <c r="E488" s="21">
        <f>IFERROR(__xludf.DUMMYFUNCTION("""COMPUTED_VALUE"""),60580.0)</f>
        <v>60580</v>
      </c>
      <c r="F488" s="25">
        <f>IFERROR(__xludf.DUMMYFUNCTION("""COMPUTED_VALUE"""),4.098)</f>
        <v>4.098</v>
      </c>
      <c r="G488" s="10">
        <f>IFERROR(__xludf.DUMMYFUNCTION("""COMPUTED_VALUE"""),-248256.84)</f>
        <v>-248256.84</v>
      </c>
    </row>
    <row r="489">
      <c r="A489" s="24">
        <f>IFERROR(__xludf.DUMMYFUNCTION("""COMPUTED_VALUE"""),43567.0)</f>
        <v>43567</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IFERROR(__xludf.DUMMYFUNCTION("""COMPUTED_VALUE"""),-51.65)</f>
        <v>-51.65</v>
      </c>
    </row>
    <row r="490">
      <c r="A490" s="24">
        <f>IFERROR(__xludf.DUMMYFUNCTION("""COMPUTED_VALUE"""),43567.0)</f>
        <v>43567</v>
      </c>
      <c r="B490" s="5" t="str">
        <f>IFERROR(__xludf.DUMMYFUNCTION("""COMPUTED_VALUE"""),"Long term US bonds (20-25 year)")</f>
        <v>Long term US bonds (20-25 year)</v>
      </c>
      <c r="C490" s="5" t="str">
        <f>IFERROR(__xludf.DUMMYFUNCTION("""COMPUTED_VALUE"""),"iShares Treasury Bond 20+ UCITS")</f>
        <v>iShares Treasury Bond 20+ UCITS</v>
      </c>
      <c r="D490" s="5" t="str">
        <f>IFERROR(__xludf.DUMMYFUNCTION("""COMPUTED_VALUE"""),"BUY")</f>
        <v>BUY</v>
      </c>
      <c r="E490" s="21">
        <f>IFERROR(__xludf.DUMMYFUNCTION("""COMPUTED_VALUE"""),12775.0)</f>
        <v>12775</v>
      </c>
      <c r="F490" s="25">
        <f>IFERROR(__xludf.DUMMYFUNCTION("""COMPUTED_VALUE"""),4.098)</f>
        <v>4.098</v>
      </c>
      <c r="G490" s="10">
        <f>IFERROR(__xludf.DUMMYFUNCTION("""COMPUTED_VALUE"""),-52351.56)</f>
        <v>-52351.56</v>
      </c>
    </row>
    <row r="491">
      <c r="A491" s="24">
        <f>IFERROR(__xludf.DUMMYFUNCTION("""COMPUTED_VALUE"""),43567.0)</f>
        <v>43567</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IFERROR(__xludf.DUMMYFUNCTION("""COMPUTED_VALUE"""),"COST")</f>
        <v>COST</v>
      </c>
      <c r="E491" s="5"/>
      <c r="F491" s="5"/>
      <c r="G491" s="10">
        <f>IFERROR(__xludf.DUMMYFUNCTION("""COMPUTED_VALUE"""),-12.47)</f>
        <v>-12.47</v>
      </c>
    </row>
    <row r="492">
      <c r="A492" s="24">
        <f>IFERROR(__xludf.DUMMYFUNCTION("""COMPUTED_VALUE"""),43567.0)</f>
        <v>43567</v>
      </c>
      <c r="B492" s="5" t="str">
        <f>IFERROR(__xludf.DUMMYFUNCTION("""COMPUTED_VALUE"""),"Stocks")</f>
        <v>Stocks</v>
      </c>
      <c r="C492" s="5" t="str">
        <f>IFERROR(__xludf.DUMMYFUNCTION("""COMPUTED_VALUE"""),"Vanguard S&amp;P 500 UCITS")</f>
        <v>Vanguard S&amp;P 500 UCITS</v>
      </c>
      <c r="D492" s="5" t="str">
        <f>IFERROR(__xludf.DUMMYFUNCTION("""COMPUTED_VALUE"""),"SELL")</f>
        <v>SELL</v>
      </c>
      <c r="E492" s="21">
        <f>IFERROR(__xludf.DUMMYFUNCTION("""COMPUTED_VALUE"""),-26.0)</f>
        <v>-26</v>
      </c>
      <c r="F492" s="25">
        <f>IFERROR(__xludf.DUMMYFUNCTION("""COMPUTED_VALUE"""),48.69)</f>
        <v>48.69</v>
      </c>
      <c r="G492" s="10">
        <f>IFERROR(__xludf.DUMMYFUNCTION("""COMPUTED_VALUE"""),1265.94)</f>
        <v>1265.94</v>
      </c>
    </row>
    <row r="493">
      <c r="A493" s="24">
        <f>IFERROR(__xludf.DUMMYFUNCTION("""COMPUTED_VALUE"""),43565.0)</f>
        <v>43565</v>
      </c>
      <c r="B493" s="5" t="str">
        <f>IFERROR(__xludf.DUMMYFUNCTION("""COMPUTED_VALUE"""),"Stocks")</f>
        <v>Stocks</v>
      </c>
      <c r="C493" s="5" t="str">
        <f>IFERROR(__xludf.DUMMYFUNCTION("""COMPUTED_VALUE"""),"Vanguard S&amp;P 500 UCITS")</f>
        <v>Vanguard S&amp;P 500 UCITS</v>
      </c>
      <c r="D493" s="5" t="str">
        <f>IFERROR(__xludf.DUMMYFUNCTION("""COMPUTED_VALUE"""),"DIVIDEND")</f>
        <v>DIVIDEND</v>
      </c>
      <c r="E493" s="5"/>
      <c r="F493" s="5"/>
      <c r="G493" s="10">
        <f>IFERROR(__xludf.DUMMYFUNCTION("""COMPUTED_VALUE"""),-125.08)</f>
        <v>-125.08</v>
      </c>
    </row>
    <row r="494">
      <c r="A494" s="24">
        <f>IFERROR(__xludf.DUMMYFUNCTION("""COMPUTED_VALUE"""),43565.0)</f>
        <v>43565</v>
      </c>
      <c r="B494" s="5" t="str">
        <f>IFERROR(__xludf.DUMMYFUNCTION("""COMPUTED_VALUE"""),"Stocks")</f>
        <v>Stocks</v>
      </c>
      <c r="C494" s="5" t="str">
        <f>IFERROR(__xludf.DUMMYFUNCTION("""COMPUTED_VALUE"""),"Vanguard S&amp;P 500 UCITS")</f>
        <v>Vanguard S&amp;P 500 UCITS</v>
      </c>
      <c r="D494" s="5" t="str">
        <f>IFERROR(__xludf.DUMMYFUNCTION("""COMPUTED_VALUE"""),"DIVIDEND")</f>
        <v>DIVIDEND</v>
      </c>
      <c r="E494" s="5"/>
      <c r="F494" s="5"/>
      <c r="G494" s="10">
        <f>IFERROR(__xludf.DUMMYFUNCTION("""COMPUTED_VALUE"""),1098.21)</f>
        <v>1098.21</v>
      </c>
    </row>
    <row r="495">
      <c r="A495" s="24">
        <f>IFERROR(__xludf.DUMMYFUNCTION("""COMPUTED_VALUE"""),43560.0)</f>
        <v>43560</v>
      </c>
      <c r="B495" s="5" t="str">
        <f>IFERROR(__xludf.DUMMYFUNCTION("""COMPUTED_VALUE"""),"Stocks")</f>
        <v>Stocks</v>
      </c>
      <c r="C495" s="5" t="str">
        <f>IFERROR(__xludf.DUMMYFUNCTION("""COMPUTED_VALUE"""),"Vanguard S&amp;P 500 UCITS")</f>
        <v>Vanguard S&amp;P 500 UCITS</v>
      </c>
      <c r="D495" s="5" t="str">
        <f>IFERROR(__xludf.DUMMYFUNCTION("""COMPUTED_VALUE"""),"SELL")</f>
        <v>SELL</v>
      </c>
      <c r="E495" s="21">
        <f>IFERROR(__xludf.DUMMYFUNCTION("""COMPUTED_VALUE"""),-30.0)</f>
        <v>-30</v>
      </c>
      <c r="F495" s="25">
        <f>IFERROR(__xludf.DUMMYFUNCTION("""COMPUTED_VALUE"""),48.75)</f>
        <v>48.75</v>
      </c>
      <c r="G495" s="10">
        <f>IFERROR(__xludf.DUMMYFUNCTION("""COMPUTED_VALUE"""),1462.5)</f>
        <v>1462.5</v>
      </c>
    </row>
    <row r="496">
      <c r="A496" s="24">
        <f>IFERROR(__xludf.DUMMYFUNCTION("""COMPUTED_VALUE"""),43560.0)</f>
        <v>43560</v>
      </c>
      <c r="B496" s="5" t="str">
        <f>IFERROR(__xludf.DUMMYFUNCTION("""COMPUTED_VALUE"""),"Commodities")</f>
        <v>Commodities</v>
      </c>
      <c r="C496" s="5" t="str">
        <f>IFERROR(__xludf.DUMMYFUNCTION("""COMPUTED_VALUE"""),"ETFS All Commodities ETC")</f>
        <v>ETFS All Commodities ETC</v>
      </c>
      <c r="D496" s="5" t="str">
        <f>IFERROR(__xludf.DUMMYFUNCTION("""COMPUTED_VALUE"""),"SELL")</f>
        <v>SELL</v>
      </c>
      <c r="E496" s="21">
        <f>IFERROR(__xludf.DUMMYFUNCTION("""COMPUTED_VALUE"""),-155.0)</f>
        <v>-155</v>
      </c>
      <c r="F496" s="25">
        <f>IFERROR(__xludf.DUMMYFUNCTION("""COMPUTED_VALUE"""),7.44)</f>
        <v>7.44</v>
      </c>
      <c r="G496" s="10">
        <f>IFERROR(__xludf.DUMMYFUNCTION("""COMPUTED_VALUE"""),1153.2)</f>
        <v>1153.2</v>
      </c>
    </row>
    <row r="497">
      <c r="A497" s="24">
        <f>IFERROR(__xludf.DUMMYFUNCTION("""COMPUTED_VALUE"""),43557.0)</f>
        <v>43557</v>
      </c>
      <c r="B497" s="5" t="str">
        <f>IFERROR(__xludf.DUMMYFUNCTION("""COMPUTED_VALUE"""),"Commodities")</f>
        <v>Commodities</v>
      </c>
      <c r="C497" s="5" t="str">
        <f>IFERROR(__xludf.DUMMYFUNCTION("""COMPUTED_VALUE"""),"ETFS All Commodities ETC")</f>
        <v>ETFS All Commodities ETC</v>
      </c>
      <c r="D497" s="5" t="str">
        <f>IFERROR(__xludf.DUMMYFUNCTION("""COMPUTED_VALUE"""),"SELL")</f>
        <v>SELL</v>
      </c>
      <c r="E497" s="21">
        <f>IFERROR(__xludf.DUMMYFUNCTION("""COMPUTED_VALUE"""),-145.0)</f>
        <v>-145</v>
      </c>
      <c r="F497" s="25">
        <f>IFERROR(__xludf.DUMMYFUNCTION("""COMPUTED_VALUE"""),7.432)</f>
        <v>7.432</v>
      </c>
      <c r="G497" s="10">
        <f>IFERROR(__xludf.DUMMYFUNCTION("""COMPUTED_VALUE"""),1077.64)</f>
        <v>1077.64</v>
      </c>
    </row>
    <row r="498">
      <c r="A498" s="24">
        <f>IFERROR(__xludf.DUMMYFUNCTION("""COMPUTED_VALUE"""),43557.0)</f>
        <v>43557</v>
      </c>
      <c r="B498" s="5" t="str">
        <f>IFERROR(__xludf.DUMMYFUNCTION("""COMPUTED_VALUE"""),"Commodities")</f>
        <v>Commodities</v>
      </c>
      <c r="C498" s="5" t="str">
        <f>IFERROR(__xludf.DUMMYFUNCTION("""COMPUTED_VALUE"""),"ETFS All Commodities ETC")</f>
        <v>ETFS All Commodities ETC</v>
      </c>
      <c r="D498" s="5" t="str">
        <f>IFERROR(__xludf.DUMMYFUNCTION("""COMPUTED_VALUE"""),"SELL")</f>
        <v>SELL</v>
      </c>
      <c r="E498" s="21">
        <f>IFERROR(__xludf.DUMMYFUNCTION("""COMPUTED_VALUE"""),-220.0)</f>
        <v>-220</v>
      </c>
      <c r="F498" s="25">
        <f>IFERROR(__xludf.DUMMYFUNCTION("""COMPUTED_VALUE"""),7.42)</f>
        <v>7.42</v>
      </c>
      <c r="G498" s="10">
        <f>IFERROR(__xludf.DUMMYFUNCTION("""COMPUTED_VALUE"""),1632.4)</f>
        <v>1632.4</v>
      </c>
    </row>
    <row r="499">
      <c r="A499" s="24">
        <f>IFERROR(__xludf.DUMMYFUNCTION("""COMPUTED_VALUE"""),43557.0)</f>
        <v>43557</v>
      </c>
      <c r="B499" s="5" t="str">
        <f>IFERROR(__xludf.DUMMYFUNCTION("""COMPUTED_VALUE"""),"Commodities")</f>
        <v>Commodities</v>
      </c>
      <c r="C499" s="5" t="str">
        <f>IFERROR(__xludf.DUMMYFUNCTION("""COMPUTED_VALUE"""),"ETFS All Commodities ETC")</f>
        <v>ETFS All Commodities ETC</v>
      </c>
      <c r="D499" s="5" t="str">
        <f>IFERROR(__xludf.DUMMYFUNCTION("""COMPUTED_VALUE"""),"SELL")</f>
        <v>SELL</v>
      </c>
      <c r="E499" s="21">
        <f>IFERROR(__xludf.DUMMYFUNCTION("""COMPUTED_VALUE"""),-200.0)</f>
        <v>-200</v>
      </c>
      <c r="F499" s="25">
        <f>IFERROR(__xludf.DUMMYFUNCTION("""COMPUTED_VALUE"""),7.42)</f>
        <v>7.42</v>
      </c>
      <c r="G499" s="10">
        <f>IFERROR(__xludf.DUMMYFUNCTION("""COMPUTED_VALUE"""),1484.0)</f>
        <v>1484</v>
      </c>
    </row>
    <row r="500">
      <c r="A500" s="24">
        <f>IFERROR(__xludf.DUMMYFUNCTION("""COMPUTED_VALUE"""),43556.0)</f>
        <v>43556</v>
      </c>
      <c r="B500" s="5"/>
      <c r="C500" s="5"/>
      <c r="D500" s="5" t="str">
        <f>IFERROR(__xludf.DUMMYFUNCTION("""COMPUTED_VALUE"""),"APPROVISIONNEMENT")</f>
        <v>APPROVISIONNEMENT</v>
      </c>
      <c r="E500" s="5"/>
      <c r="F500" s="5"/>
      <c r="G500" s="10">
        <f>IFERROR(__xludf.DUMMYFUNCTION("""COMPUTED_VALUE"""),-500.0)</f>
        <v>-500</v>
      </c>
    </row>
    <row r="501">
      <c r="A501" s="24">
        <f>IFERROR(__xludf.DUMMYFUNCTION("""COMPUTED_VALUE"""),43555.0)</f>
        <v>43555</v>
      </c>
      <c r="B501" s="5"/>
      <c r="C501" s="5"/>
      <c r="D501" s="5" t="str">
        <f>IFERROR(__xludf.DUMMYFUNCTION("""COMPUTED_VALUE"""),"COST")</f>
        <v>COST</v>
      </c>
      <c r="E501" s="5"/>
      <c r="F501" s="5"/>
      <c r="G501" s="10">
        <f>IFERROR(__xludf.DUMMYFUNCTION("""COMPUTED_VALUE"""),-618.92)</f>
        <v>-618.92</v>
      </c>
    </row>
    <row r="502">
      <c r="A502" s="24">
        <f>IFERROR(__xludf.DUMMYFUNCTION("""COMPUTED_VALUE"""),43549.0)</f>
        <v>43549</v>
      </c>
      <c r="B502" s="5" t="str">
        <f>IFERROR(__xludf.DUMMYFUNCTION("""COMPUTED_VALUE"""),"Long term US bonds (20-25 year)")</f>
        <v>Long term US bonds (20-25 year)</v>
      </c>
      <c r="C502" s="5" t="str">
        <f>IFERROR(__xludf.DUMMYFUNCTION("""COMPUTED_VALUE"""),"iShares Treasury Bond 20+ UCITS USD Dist")</f>
        <v>iShares Treasury Bond 20+ UCITS USD Dist</v>
      </c>
      <c r="D502" s="5" t="str">
        <f>IFERROR(__xludf.DUMMYFUNCTION("""COMPUTED_VALUE"""),"COST")</f>
        <v>COST</v>
      </c>
      <c r="E502" s="5"/>
      <c r="F502" s="5"/>
      <c r="G502" s="10">
        <f>IFERROR(__xludf.DUMMYFUNCTION("""COMPUTED_VALUE"""),-51.46)</f>
        <v>-51.46</v>
      </c>
    </row>
    <row r="503">
      <c r="A503" s="24">
        <f>IFERROR(__xludf.DUMMYFUNCTION("""COMPUTED_VALUE"""),43549.0)</f>
        <v>43549</v>
      </c>
      <c r="B503" s="5" t="str">
        <f>IFERROR(__xludf.DUMMYFUNCTION("""COMPUTED_VALUE"""),"Long term US bonds (20-25 year)")</f>
        <v>Long term US bonds (20-25 year)</v>
      </c>
      <c r="C503" s="5" t="str">
        <f>IFERROR(__xludf.DUMMYFUNCTION("""COMPUTED_VALUE"""),"iShares Treasury Bond 20+ UCITS USD Dist")</f>
        <v>iShares Treasury Bond 20+ UCITS USD Dist</v>
      </c>
      <c r="D503" s="5" t="str">
        <f>IFERROR(__xludf.DUMMYFUNCTION("""COMPUTED_VALUE"""),"SELL")</f>
        <v>SELL</v>
      </c>
      <c r="E503" s="21">
        <f>IFERROR(__xludf.DUMMYFUNCTION("""COMPUTED_VALUE"""),-60000.0)</f>
        <v>-60000</v>
      </c>
      <c r="F503" s="25">
        <f>IFERROR(__xludf.DUMMYFUNCTION("""COMPUTED_VALUE"""),4.113)</f>
        <v>4.113</v>
      </c>
      <c r="G503" s="10">
        <f>IFERROR(__xludf.DUMMYFUNCTION("""COMPUTED_VALUE"""),246774.25)</f>
        <v>246774.25</v>
      </c>
    </row>
    <row r="504">
      <c r="A504" s="24">
        <f>IFERROR(__xludf.DUMMYFUNCTION("""COMPUTED_VALUE"""),43549.0)</f>
        <v>43549</v>
      </c>
      <c r="B504" s="5" t="str">
        <f>IFERROR(__xludf.DUMMYFUNCTION("""COMPUTED_VALUE"""),"Long term US bonds (20-25 year)")</f>
        <v>Long term US bonds (20-25 year)</v>
      </c>
      <c r="C504" s="5" t="str">
        <f>IFERROR(__xludf.DUMMYFUNCTION("""COMPUTED_VALUE"""),"iShares Treasury Bond 20+ UCITS USD Dist")</f>
        <v>iShares Treasury Bond 20+ UCITS USD Dist</v>
      </c>
      <c r="D504" s="5" t="str">
        <f>IFERROR(__xludf.DUMMYFUNCTION("""COMPUTED_VALUE"""),"COST")</f>
        <v>COST</v>
      </c>
      <c r="E504" s="5"/>
      <c r="F504" s="5"/>
      <c r="G504" s="10">
        <f>IFERROR(__xludf.DUMMYFUNCTION("""COMPUTED_VALUE"""),-12.88)</f>
        <v>-12.88</v>
      </c>
    </row>
    <row r="505">
      <c r="A505" s="24">
        <f>IFERROR(__xludf.DUMMYFUNCTION("""COMPUTED_VALUE"""),43549.0)</f>
        <v>43549</v>
      </c>
      <c r="B505" s="5" t="str">
        <f>IFERROR(__xludf.DUMMYFUNCTION("""COMPUTED_VALUE"""),"Long term US bonds (20-25 year)")</f>
        <v>Long term US bonds (20-25 year)</v>
      </c>
      <c r="C505" s="5" t="str">
        <f>IFERROR(__xludf.DUMMYFUNCTION("""COMPUTED_VALUE"""),"iShares Treasury Bond 20+ UCITS USD Dist")</f>
        <v>iShares Treasury Bond 20+ UCITS USD Dist</v>
      </c>
      <c r="D505" s="5" t="str">
        <f>IFERROR(__xludf.DUMMYFUNCTION("""COMPUTED_VALUE"""),"SELL")</f>
        <v>SELL</v>
      </c>
      <c r="E505" s="21">
        <f>IFERROR(__xludf.DUMMYFUNCTION("""COMPUTED_VALUE"""),-13195.0)</f>
        <v>-13195</v>
      </c>
      <c r="F505" s="25">
        <f>IFERROR(__xludf.DUMMYFUNCTION("""COMPUTED_VALUE"""),4.113)</f>
        <v>4.113</v>
      </c>
      <c r="G505" s="10">
        <f>IFERROR(__xludf.DUMMYFUNCTION("""COMPUTED_VALUE"""),54273.96)</f>
        <v>54273.96</v>
      </c>
    </row>
    <row r="506">
      <c r="A506" s="24">
        <f>IFERROR(__xludf.DUMMYFUNCTION("""COMPUTED_VALUE"""),43543.0)</f>
        <v>43543</v>
      </c>
      <c r="B506" s="5" t="str">
        <f>IFERROR(__xludf.DUMMYFUNCTION("""COMPUTED_VALUE"""),"Stocks")</f>
        <v>Stocks</v>
      </c>
      <c r="C506" s="5" t="str">
        <f>IFERROR(__xludf.DUMMYFUNCTION("""COMPUTED_VALUE"""),"Vanguard S&amp;P 500 UCITS")</f>
        <v>Vanguard S&amp;P 500 UCITS</v>
      </c>
      <c r="D506" s="5" t="str">
        <f>IFERROR(__xludf.DUMMYFUNCTION("""COMPUTED_VALUE"""),"SELL")</f>
        <v>SELL</v>
      </c>
      <c r="E506" s="21">
        <f>IFERROR(__xludf.DUMMYFUNCTION("""COMPUTED_VALUE"""),-22.0)</f>
        <v>-22</v>
      </c>
      <c r="F506" s="25">
        <f>IFERROR(__xludf.DUMMYFUNCTION("""COMPUTED_VALUE"""),47.68)</f>
        <v>47.68</v>
      </c>
      <c r="G506" s="10">
        <f>IFERROR(__xludf.DUMMYFUNCTION("""COMPUTED_VALUE"""),1048.96)</f>
        <v>1048.96</v>
      </c>
    </row>
    <row r="507">
      <c r="A507" s="24">
        <f>IFERROR(__xludf.DUMMYFUNCTION("""COMPUTED_VALUE"""),43532.0)</f>
        <v>43532</v>
      </c>
      <c r="B507" s="5" t="str">
        <f>IFERROR(__xludf.DUMMYFUNCTION("""COMPUTED_VALUE"""),"Long term US bonds (20-25 year)")</f>
        <v>Long term US bonds (20-25 year)</v>
      </c>
      <c r="C507" s="5" t="str">
        <f>IFERROR(__xludf.DUMMYFUNCTION("""COMPUTED_VALUE"""),"iShares Treasury Bond 20+ UCITS USD Dist")</f>
        <v>iShares Treasury Bond 20+ UCITS USD Dist</v>
      </c>
      <c r="D507" s="5" t="str">
        <f>IFERROR(__xludf.DUMMYFUNCTION("""COMPUTED_VALUE"""),"COST")</f>
        <v>COST</v>
      </c>
      <c r="E507" s="5"/>
      <c r="F507" s="5"/>
      <c r="G507" s="10">
        <f>IFERROR(__xludf.DUMMYFUNCTION("""COMPUTED_VALUE"""),-2.73)</f>
        <v>-2.73</v>
      </c>
    </row>
    <row r="508">
      <c r="A508" s="24">
        <f>IFERROR(__xludf.DUMMYFUNCTION("""COMPUTED_VALUE"""),43532.0)</f>
        <v>43532</v>
      </c>
      <c r="B508" s="5" t="str">
        <f>IFERROR(__xludf.DUMMYFUNCTION("""COMPUTED_VALUE"""),"Long term US bonds (20-25 year)")</f>
        <v>Long term US bonds (20-25 year)</v>
      </c>
      <c r="C508" s="5" t="str">
        <f>IFERROR(__xludf.DUMMYFUNCTION("""COMPUTED_VALUE"""),"iShares Treasury Bond 20+ UCITS USD Dist")</f>
        <v>iShares Treasury Bond 20+ UCITS USD Dist</v>
      </c>
      <c r="D508" s="5" t="str">
        <f>IFERROR(__xludf.DUMMYFUNCTION("""COMPUTED_VALUE"""),"SELL")</f>
        <v>SELL</v>
      </c>
      <c r="E508" s="21">
        <f>IFERROR(__xludf.DUMMYFUNCTION("""COMPUTED_VALUE"""),-900.0)</f>
        <v>-900</v>
      </c>
      <c r="F508" s="25">
        <f>IFERROR(__xludf.DUMMYFUNCTION("""COMPUTED_VALUE"""),4.054)</f>
        <v>4.054</v>
      </c>
      <c r="G508" s="10">
        <f>IFERROR(__xludf.DUMMYFUNCTION("""COMPUTED_VALUE"""),3649.01)</f>
        <v>3649.01</v>
      </c>
    </row>
    <row r="509">
      <c r="A509" s="24">
        <f>IFERROR(__xludf.DUMMYFUNCTION("""COMPUTED_VALUE"""),43532.0)</f>
        <v>43532</v>
      </c>
      <c r="B509" s="5" t="str">
        <f>IFERROR(__xludf.DUMMYFUNCTION("""COMPUTED_VALUE"""),"Commodities")</f>
        <v>Commodities</v>
      </c>
      <c r="C509" s="5" t="str">
        <f>IFERROR(__xludf.DUMMYFUNCTION("""COMPUTED_VALUE"""),"ETFS All Commodities ETC")</f>
        <v>ETFS All Commodities ETC</v>
      </c>
      <c r="D509" s="5" t="str">
        <f>IFERROR(__xludf.DUMMYFUNCTION("""COMPUTED_VALUE"""),"BUY")</f>
        <v>BUY</v>
      </c>
      <c r="E509" s="21">
        <f>IFERROR(__xludf.DUMMYFUNCTION("""COMPUTED_VALUE"""),185.0)</f>
        <v>185</v>
      </c>
      <c r="F509" s="25">
        <f>IFERROR(__xludf.DUMMYFUNCTION("""COMPUTED_VALUE"""),7.298)</f>
        <v>7.298</v>
      </c>
      <c r="G509" s="10">
        <f>IFERROR(__xludf.DUMMYFUNCTION("""COMPUTED_VALUE"""),-1350.13)</f>
        <v>-1350.13</v>
      </c>
    </row>
    <row r="510">
      <c r="A510" s="24">
        <f>IFERROR(__xludf.DUMMYFUNCTION("""COMPUTED_VALUE"""),43532.0)</f>
        <v>43532</v>
      </c>
      <c r="B510" s="5" t="str">
        <f>IFERROR(__xludf.DUMMYFUNCTION("""COMPUTED_VALUE"""),"Intermediate US bonds (7-10 year)")</f>
        <v>Intermediate US bonds (7-10 year)</v>
      </c>
      <c r="C510" s="5" t="str">
        <f>IFERROR(__xludf.DUMMYFUNCTION("""COMPUTED_VALUE"""),"iShares Treasury Bond 7-10 UCITS")</f>
        <v>iShares Treasury Bond 7-10 UCITS</v>
      </c>
      <c r="D510" s="5" t="str">
        <f>IFERROR(__xludf.DUMMYFUNCTION("""COMPUTED_VALUE"""),"SELL")</f>
        <v>SELL</v>
      </c>
      <c r="E510" s="21">
        <f>IFERROR(__xludf.DUMMYFUNCTION("""COMPUTED_VALUE"""),-8.0)</f>
        <v>-8</v>
      </c>
      <c r="F510" s="25">
        <f>IFERROR(__xludf.DUMMYFUNCTION("""COMPUTED_VALUE"""),172.6)</f>
        <v>172.6</v>
      </c>
      <c r="G510" s="10">
        <f>IFERROR(__xludf.DUMMYFUNCTION("""COMPUTED_VALUE"""),1380.8)</f>
        <v>1380.8</v>
      </c>
    </row>
    <row r="511">
      <c r="A511" s="24">
        <f>IFERROR(__xludf.DUMMYFUNCTION("""COMPUTED_VALUE"""),43531.0)</f>
        <v>43531</v>
      </c>
      <c r="B511" s="5" t="str">
        <f>IFERROR(__xludf.DUMMYFUNCTION("""COMPUTED_VALUE"""),"Long term US bonds (20-25 year)")</f>
        <v>Long term US bonds (20-25 year)</v>
      </c>
      <c r="C511" s="5" t="str">
        <f>IFERROR(__xludf.DUMMYFUNCTION("""COMPUTED_VALUE"""),"iShares Treasury Bond 20+ UCITS USD Dist")</f>
        <v>iShares Treasury Bond 20+ UCITS USD Dist</v>
      </c>
      <c r="D511" s="5" t="str">
        <f>IFERROR(__xludf.DUMMYFUNCTION("""COMPUTED_VALUE"""),"SELL")</f>
        <v>SELL</v>
      </c>
      <c r="E511" s="21">
        <f>IFERROR(__xludf.DUMMYFUNCTION("""COMPUTED_VALUE"""),-10.0)</f>
        <v>-10</v>
      </c>
      <c r="F511" s="25">
        <f>IFERROR(__xludf.DUMMYFUNCTION("""COMPUTED_VALUE"""),4.041)</f>
        <v>4.041</v>
      </c>
      <c r="G511" s="10">
        <f>IFERROR(__xludf.DUMMYFUNCTION("""COMPUTED_VALUE"""),40.41)</f>
        <v>40.41</v>
      </c>
    </row>
    <row r="512">
      <c r="A512" s="24">
        <f>IFERROR(__xludf.DUMMYFUNCTION("""COMPUTED_VALUE"""),43531.0)</f>
        <v>43531</v>
      </c>
      <c r="B512" s="5" t="str">
        <f>IFERROR(__xludf.DUMMYFUNCTION("""COMPUTED_VALUE"""),"Long term US bonds (20-25 year)")</f>
        <v>Long term US bonds (20-25 year)</v>
      </c>
      <c r="C512" s="5" t="str">
        <f>IFERROR(__xludf.DUMMYFUNCTION("""COMPUTED_VALUE"""),"iShares Treasury Bond 20+ UCITS USD Dist")</f>
        <v>iShares Treasury Bond 20+ UCITS USD Dist</v>
      </c>
      <c r="D512" s="5" t="str">
        <f>IFERROR(__xludf.DUMMYFUNCTION("""COMPUTED_VALUE"""),"COST")</f>
        <v>COST</v>
      </c>
      <c r="E512" s="5"/>
      <c r="F512" s="5"/>
      <c r="G512" s="10">
        <f>IFERROR(__xludf.DUMMYFUNCTION("""COMPUTED_VALUE"""),-2.01)</f>
        <v>-2.01</v>
      </c>
    </row>
    <row r="513">
      <c r="A513" s="24">
        <f>IFERROR(__xludf.DUMMYFUNCTION("""COMPUTED_VALUE"""),43530.0)</f>
        <v>43530</v>
      </c>
      <c r="B513" s="5" t="str">
        <f>IFERROR(__xludf.DUMMYFUNCTION("""COMPUTED_VALUE"""),"Intermediate US bonds (7-10 year)")</f>
        <v>Intermediate US bonds (7-10 year)</v>
      </c>
      <c r="C513" s="5" t="str">
        <f>IFERROR(__xludf.DUMMYFUNCTION("""COMPUTED_VALUE"""),"iShares Treasury Bond 7-10 UCITS")</f>
        <v>iShares Treasury Bond 7-10 UCITS</v>
      </c>
      <c r="D513" s="5" t="str">
        <f>IFERROR(__xludf.DUMMYFUNCTION("""COMPUTED_VALUE"""),"SELL")</f>
        <v>SELL</v>
      </c>
      <c r="E513" s="21">
        <f>IFERROR(__xludf.DUMMYFUNCTION("""COMPUTED_VALUE"""),-6.0)</f>
        <v>-6</v>
      </c>
      <c r="F513" s="25">
        <f>IFERROR(__xludf.DUMMYFUNCTION("""COMPUTED_VALUE"""),169.9)</f>
        <v>169.9</v>
      </c>
      <c r="G513" s="10">
        <f>IFERROR(__xludf.DUMMYFUNCTION("""COMPUTED_VALUE"""),1019.4)</f>
        <v>1019.4</v>
      </c>
    </row>
    <row r="514">
      <c r="A514" s="24">
        <f>IFERROR(__xludf.DUMMYFUNCTION("""COMPUTED_VALUE"""),43529.0)</f>
        <v>43529</v>
      </c>
      <c r="B514" s="5"/>
      <c r="C514" s="5"/>
      <c r="D514" s="5" t="str">
        <f>IFERROR(__xludf.DUMMYFUNCTION("""COMPUTED_VALUE"""),"APPROVISIONNEMENT")</f>
        <v>APPROVISIONNEMENT</v>
      </c>
      <c r="E514" s="5"/>
      <c r="F514" s="5"/>
      <c r="G514" s="10">
        <f>IFERROR(__xludf.DUMMYFUNCTION("""COMPUTED_VALUE"""),-700.0)</f>
        <v>-700</v>
      </c>
    </row>
    <row r="515">
      <c r="A515" s="24">
        <f>IFERROR(__xludf.DUMMYFUNCTION("""COMPUTED_VALUE"""),43528.0)</f>
        <v>43528</v>
      </c>
      <c r="B515" s="5" t="str">
        <f>IFERROR(__xludf.DUMMYFUNCTION("""COMPUTED_VALUE"""),"Stocks")</f>
        <v>Stocks</v>
      </c>
      <c r="C515" s="5" t="str">
        <f>IFERROR(__xludf.DUMMYFUNCTION("""COMPUTED_VALUE"""),"Vanguard S&amp;P 500 UCITS")</f>
        <v>Vanguard S&amp;P 500 UCITS</v>
      </c>
      <c r="D515" s="5" t="str">
        <f>IFERROR(__xludf.DUMMYFUNCTION("""COMPUTED_VALUE"""),"SELL")</f>
        <v>SELL</v>
      </c>
      <c r="E515" s="21">
        <f>IFERROR(__xludf.DUMMYFUNCTION("""COMPUTED_VALUE"""),-75.0)</f>
        <v>-75</v>
      </c>
      <c r="F515" s="25">
        <f>IFERROR(__xludf.DUMMYFUNCTION("""COMPUTED_VALUE"""),47.18)</f>
        <v>47.18</v>
      </c>
      <c r="G515" s="10">
        <f>IFERROR(__xludf.DUMMYFUNCTION("""COMPUTED_VALUE"""),3538.5)</f>
        <v>3538.5</v>
      </c>
    </row>
    <row r="516">
      <c r="A516" s="24">
        <f>IFERROR(__xludf.DUMMYFUNCTION("""COMPUTED_VALUE"""),43524.0)</f>
        <v>43524</v>
      </c>
      <c r="B516" s="5"/>
      <c r="C516" s="5"/>
      <c r="D516" s="5" t="str">
        <f>IFERROR(__xludf.DUMMYFUNCTION("""COMPUTED_VALUE"""),"COST")</f>
        <v>COST</v>
      </c>
      <c r="E516" s="5"/>
      <c r="F516" s="5"/>
      <c r="G516" s="10">
        <f>IFERROR(__xludf.DUMMYFUNCTION("""COMPUTED_VALUE"""),-534.72)</f>
        <v>-534.72</v>
      </c>
    </row>
    <row r="517">
      <c r="A517" s="24">
        <f>IFERROR(__xludf.DUMMYFUNCTION("""COMPUTED_VALUE"""),43521.0)</f>
        <v>43521</v>
      </c>
      <c r="B517" s="5" t="str">
        <f>IFERROR(__xludf.DUMMYFUNCTION("""COMPUTED_VALUE"""),"Stocks")</f>
        <v>Stocks</v>
      </c>
      <c r="C517" s="5" t="str">
        <f>IFERROR(__xludf.DUMMYFUNCTION("""COMPUTED_VALUE"""),"Vanguard S&amp;P 500 UCITS")</f>
        <v>Vanguard S&amp;P 500 UCITS</v>
      </c>
      <c r="D517" s="5" t="str">
        <f>IFERROR(__xludf.DUMMYFUNCTION("""COMPUTED_VALUE"""),"SELL")</f>
        <v>SELL</v>
      </c>
      <c r="E517" s="21">
        <f>IFERROR(__xludf.DUMMYFUNCTION("""COMPUTED_VALUE"""),-29.0)</f>
        <v>-29</v>
      </c>
      <c r="F517" s="25">
        <f>IFERROR(__xludf.DUMMYFUNCTION("""COMPUTED_VALUE"""),47.0248)</f>
        <v>47.0248</v>
      </c>
      <c r="G517" s="10">
        <f>IFERROR(__xludf.DUMMYFUNCTION("""COMPUTED_VALUE"""),1363.72)</f>
        <v>1363.72</v>
      </c>
    </row>
    <row r="518">
      <c r="A518" s="24">
        <f>IFERROR(__xludf.DUMMYFUNCTION("""COMPUTED_VALUE"""),43521.0)</f>
        <v>43521</v>
      </c>
      <c r="B518" s="5" t="str">
        <f>IFERROR(__xludf.DUMMYFUNCTION("""COMPUTED_VALUE"""),"Stocks")</f>
        <v>Stocks</v>
      </c>
      <c r="C518" s="5" t="str">
        <f>IFERROR(__xludf.DUMMYFUNCTION("""COMPUTED_VALUE"""),"Vanguard S&amp;P 500 UCITS")</f>
        <v>Vanguard S&amp;P 500 UCITS</v>
      </c>
      <c r="D518" s="5" t="str">
        <f>IFERROR(__xludf.DUMMYFUNCTION("""COMPUTED_VALUE"""),"SELL")</f>
        <v>SELL</v>
      </c>
      <c r="E518" s="21">
        <f>IFERROR(__xludf.DUMMYFUNCTION("""COMPUTED_VALUE"""),-1.0)</f>
        <v>-1</v>
      </c>
      <c r="F518" s="25">
        <f>IFERROR(__xludf.DUMMYFUNCTION("""COMPUTED_VALUE"""),47.04)</f>
        <v>47.04</v>
      </c>
      <c r="G518" s="10">
        <f>IFERROR(__xludf.DUMMYFUNCTION("""COMPUTED_VALUE"""),47.04)</f>
        <v>47.04</v>
      </c>
    </row>
    <row r="519">
      <c r="A519" s="24">
        <f>IFERROR(__xludf.DUMMYFUNCTION("""COMPUTED_VALUE"""),43509.0)</f>
        <v>43509</v>
      </c>
      <c r="B519" s="5" t="str">
        <f>IFERROR(__xludf.DUMMYFUNCTION("""COMPUTED_VALUE"""),"Stocks")</f>
        <v>Stocks</v>
      </c>
      <c r="C519" s="5" t="str">
        <f>IFERROR(__xludf.DUMMYFUNCTION("""COMPUTED_VALUE"""),"Vanguard S&amp;P 500 UCITS")</f>
        <v>Vanguard S&amp;P 500 UCITS</v>
      </c>
      <c r="D519" s="5" t="str">
        <f>IFERROR(__xludf.DUMMYFUNCTION("""COMPUTED_VALUE"""),"SELL")</f>
        <v>SELL</v>
      </c>
      <c r="E519" s="21">
        <f>IFERROR(__xludf.DUMMYFUNCTION("""COMPUTED_VALUE"""),-45.0)</f>
        <v>-45</v>
      </c>
      <c r="F519" s="25">
        <f>IFERROR(__xludf.DUMMYFUNCTION("""COMPUTED_VALUE"""),46.45)</f>
        <v>46.45</v>
      </c>
      <c r="G519" s="10">
        <f>IFERROR(__xludf.DUMMYFUNCTION("""COMPUTED_VALUE"""),2090.25)</f>
        <v>2090.25</v>
      </c>
    </row>
    <row r="520">
      <c r="A520" s="24">
        <f>IFERROR(__xludf.DUMMYFUNCTION("""COMPUTED_VALUE"""),43509.0)</f>
        <v>43509</v>
      </c>
      <c r="B520" s="5" t="str">
        <f>IFERROR(__xludf.DUMMYFUNCTION("""COMPUTED_VALUE"""),"Stocks")</f>
        <v>Stocks</v>
      </c>
      <c r="C520" s="5" t="str">
        <f>IFERROR(__xludf.DUMMYFUNCTION("""COMPUTED_VALUE"""),"Vanguard S&amp;P 500 UCITS")</f>
        <v>Vanguard S&amp;P 500 UCITS</v>
      </c>
      <c r="D520" s="5" t="str">
        <f>IFERROR(__xludf.DUMMYFUNCTION("""COMPUTED_VALUE"""),"SELL")</f>
        <v>SELL</v>
      </c>
      <c r="E520" s="21">
        <f>IFERROR(__xludf.DUMMYFUNCTION("""COMPUTED_VALUE"""),-38.0)</f>
        <v>-38</v>
      </c>
      <c r="F520" s="25">
        <f>IFERROR(__xludf.DUMMYFUNCTION("""COMPUTED_VALUE"""),46.135)</f>
        <v>46.135</v>
      </c>
      <c r="G520" s="10">
        <f>IFERROR(__xludf.DUMMYFUNCTION("""COMPUTED_VALUE"""),1753.13)</f>
        <v>1753.13</v>
      </c>
    </row>
    <row r="521">
      <c r="A521" s="24">
        <f>IFERROR(__xludf.DUMMYFUNCTION("""COMPUTED_VALUE"""),43508.0)</f>
        <v>43508</v>
      </c>
      <c r="B521" s="5" t="str">
        <f>IFERROR(__xludf.DUMMYFUNCTION("""COMPUTED_VALUE"""),"Stocks")</f>
        <v>Stocks</v>
      </c>
      <c r="C521" s="5" t="str">
        <f>IFERROR(__xludf.DUMMYFUNCTION("""COMPUTED_VALUE"""),"Vanguard S&amp;P 500 UCITS")</f>
        <v>Vanguard S&amp;P 500 UCITS</v>
      </c>
      <c r="D521" s="5" t="str">
        <f>IFERROR(__xludf.DUMMYFUNCTION("""COMPUTED_VALUE"""),"SELL")</f>
        <v>SELL</v>
      </c>
      <c r="E521" s="21">
        <f>IFERROR(__xludf.DUMMYFUNCTION("""COMPUTED_VALUE"""),-14.0)</f>
        <v>-14</v>
      </c>
      <c r="F521" s="25">
        <f>IFERROR(__xludf.DUMMYFUNCTION("""COMPUTED_VALUE"""),45.916)</f>
        <v>45.916</v>
      </c>
      <c r="G521" s="10">
        <f>IFERROR(__xludf.DUMMYFUNCTION("""COMPUTED_VALUE"""),642.83)</f>
        <v>642.83</v>
      </c>
    </row>
    <row r="522">
      <c r="A522" s="24">
        <f>IFERROR(__xludf.DUMMYFUNCTION("""COMPUTED_VALUE"""),43508.0)</f>
        <v>43508</v>
      </c>
      <c r="B522" s="5" t="str">
        <f>IFERROR(__xludf.DUMMYFUNCTION("""COMPUTED_VALUE"""),"Commodities")</f>
        <v>Commodities</v>
      </c>
      <c r="C522" s="5" t="str">
        <f>IFERROR(__xludf.DUMMYFUNCTION("""COMPUTED_VALUE"""),"ETFS All Commodities ETC")</f>
        <v>ETFS All Commodities ETC</v>
      </c>
      <c r="D522" s="5" t="str">
        <f>IFERROR(__xludf.DUMMYFUNCTION("""COMPUTED_VALUE"""),"BUY")</f>
        <v>BUY</v>
      </c>
      <c r="E522" s="21">
        <f>IFERROR(__xludf.DUMMYFUNCTION("""COMPUTED_VALUE"""),170.0)</f>
        <v>170</v>
      </c>
      <c r="F522" s="25">
        <f>IFERROR(__xludf.DUMMYFUNCTION("""COMPUTED_VALUE"""),7.213)</f>
        <v>7.213</v>
      </c>
      <c r="G522" s="10">
        <f>IFERROR(__xludf.DUMMYFUNCTION("""COMPUTED_VALUE"""),-1226.21)</f>
        <v>-1226.21</v>
      </c>
    </row>
    <row r="523">
      <c r="A523" s="24">
        <f>IFERROR(__xludf.DUMMYFUNCTION("""COMPUTED_VALUE"""),43508.0)</f>
        <v>43508</v>
      </c>
      <c r="B523" s="5" t="str">
        <f>IFERROR(__xludf.DUMMYFUNCTION("""COMPUTED_VALUE"""),"Commodities")</f>
        <v>Commodities</v>
      </c>
      <c r="C523" s="5" t="str">
        <f>IFERROR(__xludf.DUMMYFUNCTION("""COMPUTED_VALUE"""),"ETFS All Commodities ETC")</f>
        <v>ETFS All Commodities ETC</v>
      </c>
      <c r="D523" s="5" t="str">
        <f>IFERROR(__xludf.DUMMYFUNCTION("""COMPUTED_VALUE"""),"BUY")</f>
        <v>BUY</v>
      </c>
      <c r="E523" s="21">
        <f>IFERROR(__xludf.DUMMYFUNCTION("""COMPUTED_VALUE"""),30.0)</f>
        <v>30</v>
      </c>
      <c r="F523" s="25">
        <f>IFERROR(__xludf.DUMMYFUNCTION("""COMPUTED_VALUE"""),7.2139)</f>
        <v>7.2139</v>
      </c>
      <c r="G523" s="10">
        <f>IFERROR(__xludf.DUMMYFUNCTION("""COMPUTED_VALUE"""),-216.42)</f>
        <v>-216.42</v>
      </c>
    </row>
    <row r="524">
      <c r="A524" s="24">
        <f>IFERROR(__xludf.DUMMYFUNCTION("""COMPUTED_VALUE"""),43508.0)</f>
        <v>43508</v>
      </c>
      <c r="B524" s="5" t="str">
        <f>IFERROR(__xludf.DUMMYFUNCTION("""COMPUTED_VALUE"""),"Stocks")</f>
        <v>Stocks</v>
      </c>
      <c r="C524" s="5" t="str">
        <f>IFERROR(__xludf.DUMMYFUNCTION("""COMPUTED_VALUE"""),"Vanguard S&amp;P 500 UCITS")</f>
        <v>Vanguard S&amp;P 500 UCITS</v>
      </c>
      <c r="D524" s="5" t="str">
        <f>IFERROR(__xludf.DUMMYFUNCTION("""COMPUTED_VALUE"""),"SELL")</f>
        <v>SELL</v>
      </c>
      <c r="E524" s="21">
        <f>IFERROR(__xludf.DUMMYFUNCTION("""COMPUTED_VALUE"""),-54.0)</f>
        <v>-54</v>
      </c>
      <c r="F524" s="25">
        <f>IFERROR(__xludf.DUMMYFUNCTION("""COMPUTED_VALUE"""),45.9159)</f>
        <v>45.9159</v>
      </c>
      <c r="G524" s="10">
        <f>IFERROR(__xludf.DUMMYFUNCTION("""COMPUTED_VALUE"""),2479.46)</f>
        <v>2479.46</v>
      </c>
    </row>
    <row r="525">
      <c r="A525" s="24">
        <f>IFERROR(__xludf.DUMMYFUNCTION("""COMPUTED_VALUE"""),43504.0)</f>
        <v>43504</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IFERROR(__xludf.DUMMYFUNCTION("""COMPUTED_VALUE"""),"SELL")</f>
        <v>SELL</v>
      </c>
      <c r="E525" s="21">
        <f>IFERROR(__xludf.DUMMYFUNCTION("""COMPUTED_VALUE"""),-270.0)</f>
        <v>-270</v>
      </c>
      <c r="F525" s="25">
        <f>IFERROR(__xludf.DUMMYFUNCTION("""COMPUTED_VALUE"""),4.038)</f>
        <v>4.038</v>
      </c>
      <c r="G525" s="10">
        <f>IFERROR(__xludf.DUMMYFUNCTION("""COMPUTED_VALUE"""),1090.17)</f>
        <v>1090.17</v>
      </c>
    </row>
    <row r="526">
      <c r="A526" s="24">
        <f>IFERROR(__xludf.DUMMYFUNCTION("""COMPUTED_VALUE"""),43504.0)</f>
        <v>43504</v>
      </c>
      <c r="B526" s="5" t="str">
        <f>IFERROR(__xludf.DUMMYFUNCTION("""COMPUTED_VALUE"""),"Long term US bonds (20-25 year)")</f>
        <v>Long term US bonds (20-25 year)</v>
      </c>
      <c r="C526" s="5" t="str">
        <f>IFERROR(__xludf.DUMMYFUNCTION("""COMPUTED_VALUE"""),"iShares Treasury Bond 20+ UCITS USD Dist")</f>
        <v>iShares Treasury Bond 20+ UCITS USD Dist</v>
      </c>
      <c r="D526" s="5" t="str">
        <f>IFERROR(__xludf.DUMMYFUNCTION("""COMPUTED_VALUE"""),"COST")</f>
        <v>COST</v>
      </c>
      <c r="E526" s="5"/>
      <c r="F526" s="5"/>
      <c r="G526" s="10">
        <f>IFERROR(__xludf.DUMMYFUNCTION("""COMPUTED_VALUE"""),-2.22)</f>
        <v>-2.22</v>
      </c>
    </row>
    <row r="527">
      <c r="A527" s="24">
        <f>IFERROR(__xludf.DUMMYFUNCTION("""COMPUTED_VALUE"""),43504.0)</f>
        <v>43504</v>
      </c>
      <c r="B527" s="5" t="str">
        <f>IFERROR(__xludf.DUMMYFUNCTION("""COMPUTED_VALUE"""),"Intermediate US bonds (7-10 year)")</f>
        <v>Intermediate US bonds (7-10 year)</v>
      </c>
      <c r="C527" s="5" t="str">
        <f>IFERROR(__xludf.DUMMYFUNCTION("""COMPUTED_VALUE"""),"iShares Treasury Bond 7-10 UCITS")</f>
        <v>iShares Treasury Bond 7-10 UCITS</v>
      </c>
      <c r="D527" s="5" t="str">
        <f>IFERROR(__xludf.DUMMYFUNCTION("""COMPUTED_VALUE"""),"SELL")</f>
        <v>SELL</v>
      </c>
      <c r="E527" s="21">
        <f>IFERROR(__xludf.DUMMYFUNCTION("""COMPUTED_VALUE"""),-6.0)</f>
        <v>-6</v>
      </c>
      <c r="F527" s="25">
        <f>IFERROR(__xludf.DUMMYFUNCTION("""COMPUTED_VALUE"""),170.5)</f>
        <v>170.5</v>
      </c>
      <c r="G527" s="10">
        <f>IFERROR(__xludf.DUMMYFUNCTION("""COMPUTED_VALUE"""),1023.0)</f>
        <v>1023</v>
      </c>
    </row>
    <row r="528">
      <c r="A528" s="24">
        <f>IFERROR(__xludf.DUMMYFUNCTION("""COMPUTED_VALUE"""),43504.0)</f>
        <v>43504</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IFERROR(__xludf.DUMMYFUNCTION("""COMPUTED_VALUE"""),"SELL")</f>
        <v>SELL</v>
      </c>
      <c r="E528" s="21">
        <f>IFERROR(__xludf.DUMMYFUNCTION("""COMPUTED_VALUE"""),-816.0)</f>
        <v>-816</v>
      </c>
      <c r="F528" s="25">
        <f>IFERROR(__xludf.DUMMYFUNCTION("""COMPUTED_VALUE"""),4.031)</f>
        <v>4.031</v>
      </c>
      <c r="G528" s="10">
        <f>IFERROR(__xludf.DUMMYFUNCTION("""COMPUTED_VALUE"""),3289.3)</f>
        <v>3289.3</v>
      </c>
    </row>
    <row r="529">
      <c r="A529" s="24">
        <f>IFERROR(__xludf.DUMMYFUNCTION("""COMPUTED_VALUE"""),43504.0)</f>
        <v>43504</v>
      </c>
      <c r="B529" s="5" t="str">
        <f>IFERROR(__xludf.DUMMYFUNCTION("""COMPUTED_VALUE"""),"Long term US bonds (20-25 year)")</f>
        <v>Long term US bonds (20-25 year)</v>
      </c>
      <c r="C529" s="5" t="str">
        <f>IFERROR(__xludf.DUMMYFUNCTION("""COMPUTED_VALUE"""),"iShares Treasury Bond 20+ UCITS USD Dist")</f>
        <v>iShares Treasury Bond 20+ UCITS USD Dist</v>
      </c>
      <c r="D529" s="5" t="str">
        <f>IFERROR(__xludf.DUMMYFUNCTION("""COMPUTED_VALUE"""),"COST")</f>
        <v>COST</v>
      </c>
      <c r="E529" s="5"/>
      <c r="F529" s="5"/>
      <c r="G529" s="10">
        <f>IFERROR(__xludf.DUMMYFUNCTION("""COMPUTED_VALUE"""),-2.66)</f>
        <v>-2.66</v>
      </c>
    </row>
    <row r="530">
      <c r="A530" s="24">
        <f>IFERROR(__xludf.DUMMYFUNCTION("""COMPUTED_VALUE"""),43503.0)</f>
        <v>43503</v>
      </c>
      <c r="B530" s="5" t="str">
        <f>IFERROR(__xludf.DUMMYFUNCTION("""COMPUTED_VALUE"""),"Intermediate US bonds (7-10 year)")</f>
        <v>Intermediate US bonds (7-10 year)</v>
      </c>
      <c r="C530" s="5" t="str">
        <f>IFERROR(__xludf.DUMMYFUNCTION("""COMPUTED_VALUE"""),"iShares Treasury Bond 7-10 UCITS")</f>
        <v>iShares Treasury Bond 7-10 UCITS</v>
      </c>
      <c r="D530" s="5" t="str">
        <f>IFERROR(__xludf.DUMMYFUNCTION("""COMPUTED_VALUE"""),"SELL")</f>
        <v>SELL</v>
      </c>
      <c r="E530" s="21">
        <f>IFERROR(__xludf.DUMMYFUNCTION("""COMPUTED_VALUE"""),-7.0)</f>
        <v>-7</v>
      </c>
      <c r="F530" s="25">
        <f>IFERROR(__xludf.DUMMYFUNCTION("""COMPUTED_VALUE"""),169.97)</f>
        <v>169.97</v>
      </c>
      <c r="G530" s="10">
        <f>IFERROR(__xludf.DUMMYFUNCTION("""COMPUTED_VALUE"""),1189.79)</f>
        <v>1189.79</v>
      </c>
    </row>
    <row r="531">
      <c r="A531" s="24">
        <f>IFERROR(__xludf.DUMMYFUNCTION("""COMPUTED_VALUE"""),43503.0)</f>
        <v>43503</v>
      </c>
      <c r="B531" s="5" t="str">
        <f>IFERROR(__xludf.DUMMYFUNCTION("""COMPUTED_VALUE"""),"Long term US bonds (20-25 year)")</f>
        <v>Long term US bonds (20-25 year)</v>
      </c>
      <c r="C531" s="5" t="str">
        <f>IFERROR(__xludf.DUMMYFUNCTION("""COMPUTED_VALUE"""),"iShares Treasury Bond 20+ UCITS USD Dist")</f>
        <v>iShares Treasury Bond 20+ UCITS USD Dist</v>
      </c>
      <c r="D531" s="5" t="str">
        <f>IFERROR(__xludf.DUMMYFUNCTION("""COMPUTED_VALUE"""),"SELL")</f>
        <v>SELL</v>
      </c>
      <c r="E531" s="21">
        <f>IFERROR(__xludf.DUMMYFUNCTION("""COMPUTED_VALUE"""),-500.0)</f>
        <v>-500</v>
      </c>
      <c r="F531" s="25">
        <f>IFERROR(__xludf.DUMMYFUNCTION("""COMPUTED_VALUE"""),4.006)</f>
        <v>4.006</v>
      </c>
      <c r="G531" s="10">
        <f>IFERROR(__xludf.DUMMYFUNCTION("""COMPUTED_VALUE"""),2003.03)</f>
        <v>2003.03</v>
      </c>
    </row>
    <row r="532">
      <c r="A532" s="24">
        <f>IFERROR(__xludf.DUMMYFUNCTION("""COMPUTED_VALUE"""),43503.0)</f>
        <v>43503</v>
      </c>
      <c r="B532" s="5" t="str">
        <f>IFERROR(__xludf.DUMMYFUNCTION("""COMPUTED_VALUE"""),"Long term US bonds (20-25 year)")</f>
        <v>Long term US bonds (20-25 year)</v>
      </c>
      <c r="C532" s="5" t="str">
        <f>IFERROR(__xludf.DUMMYFUNCTION("""COMPUTED_VALUE"""),"iShares Treasury Bond 20+ UCITS USD Dist")</f>
        <v>iShares Treasury Bond 20+ UCITS USD Dist</v>
      </c>
      <c r="D532" s="5" t="str">
        <f>IFERROR(__xludf.DUMMYFUNCTION("""COMPUTED_VALUE"""),"COST")</f>
        <v>COST</v>
      </c>
      <c r="E532" s="5"/>
      <c r="F532" s="5"/>
      <c r="G532" s="10">
        <f>IFERROR(__xludf.DUMMYFUNCTION("""COMPUTED_VALUE"""),-2.4)</f>
        <v>-2.4</v>
      </c>
    </row>
    <row r="533">
      <c r="A533" s="24">
        <f>IFERROR(__xludf.DUMMYFUNCTION("""COMPUTED_VALUE"""),43503.0)</f>
        <v>43503</v>
      </c>
      <c r="B533" s="5" t="str">
        <f>IFERROR(__xludf.DUMMYFUNCTION("""COMPUTED_VALUE"""),"Long term US bonds (20-25 year)")</f>
        <v>Long term US bonds (20-25 year)</v>
      </c>
      <c r="C533" s="5" t="str">
        <f>IFERROR(__xludf.DUMMYFUNCTION("""COMPUTED_VALUE"""),"iShares Treasury Bond 20+ UCITS USD Dist")</f>
        <v>iShares Treasury Bond 20+ UCITS USD Dist</v>
      </c>
      <c r="D533" s="5" t="str">
        <f>IFERROR(__xludf.DUMMYFUNCTION("""COMPUTED_VALUE"""),"COST")</f>
        <v>COST</v>
      </c>
      <c r="E533" s="5"/>
      <c r="F533" s="5"/>
      <c r="G533" s="10">
        <f>IFERROR(__xludf.DUMMYFUNCTION("""COMPUTED_VALUE"""),-2.2)</f>
        <v>-2.2</v>
      </c>
    </row>
    <row r="534">
      <c r="A534" s="24">
        <f>IFERROR(__xludf.DUMMYFUNCTION("""COMPUTED_VALUE"""),43503.0)</f>
        <v>43503</v>
      </c>
      <c r="B534" s="5" t="str">
        <f>IFERROR(__xludf.DUMMYFUNCTION("""COMPUTED_VALUE"""),"Long term US bonds (20-25 year)")</f>
        <v>Long term US bonds (20-25 year)</v>
      </c>
      <c r="C534" s="5" t="str">
        <f>IFERROR(__xludf.DUMMYFUNCTION("""COMPUTED_VALUE"""),"iShares Treasury Bond 20+ UCITS USD Dist")</f>
        <v>iShares Treasury Bond 20+ UCITS USD Dist</v>
      </c>
      <c r="D534" s="5" t="str">
        <f>IFERROR(__xludf.DUMMYFUNCTION("""COMPUTED_VALUE"""),"SELL")</f>
        <v>SELL</v>
      </c>
      <c r="E534" s="21">
        <f>IFERROR(__xludf.DUMMYFUNCTION("""COMPUTED_VALUE"""),-255.0)</f>
        <v>-255</v>
      </c>
      <c r="F534" s="25">
        <f>IFERROR(__xludf.DUMMYFUNCTION("""COMPUTED_VALUE"""),3.992)</f>
        <v>3.992</v>
      </c>
      <c r="G534" s="10">
        <f>IFERROR(__xludf.DUMMYFUNCTION("""COMPUTED_VALUE"""),1017.88)</f>
        <v>1017.88</v>
      </c>
    </row>
    <row r="535">
      <c r="A535" s="24">
        <f>IFERROR(__xludf.DUMMYFUNCTION("""COMPUTED_VALUE"""),43501.0)</f>
        <v>43501</v>
      </c>
      <c r="B535" s="5" t="str">
        <f>IFERROR(__xludf.DUMMYFUNCTION("""COMPUTED_VALUE"""),"Stocks")</f>
        <v>Stocks</v>
      </c>
      <c r="C535" s="5" t="str">
        <f>IFERROR(__xludf.DUMMYFUNCTION("""COMPUTED_VALUE"""),"Vanguard S&amp;P 500 UCITS")</f>
        <v>Vanguard S&amp;P 500 UCITS</v>
      </c>
      <c r="D535" s="5" t="str">
        <f>IFERROR(__xludf.DUMMYFUNCTION("""COMPUTED_VALUE"""),"SELL")</f>
        <v>SELL</v>
      </c>
      <c r="E535" s="21">
        <f>IFERROR(__xludf.DUMMYFUNCTION("""COMPUTED_VALUE"""),-27.0)</f>
        <v>-27</v>
      </c>
      <c r="F535" s="25">
        <f>IFERROR(__xludf.DUMMYFUNCTION("""COMPUTED_VALUE"""),45.3759)</f>
        <v>45.3759</v>
      </c>
      <c r="G535" s="10">
        <f>IFERROR(__xludf.DUMMYFUNCTION("""COMPUTED_VALUE"""),1225.15)</f>
        <v>1225.15</v>
      </c>
    </row>
    <row r="536">
      <c r="A536" s="24">
        <f>IFERROR(__xludf.DUMMYFUNCTION("""COMPUTED_VALUE"""),43501.0)</f>
        <v>43501</v>
      </c>
      <c r="B536" s="5"/>
      <c r="C536" s="5"/>
      <c r="D536" s="5" t="str">
        <f>IFERROR(__xludf.DUMMYFUNCTION("""COMPUTED_VALUE"""),"APPROVISIONNEMENT")</f>
        <v>APPROVISIONNEMENT</v>
      </c>
      <c r="E536" s="5"/>
      <c r="F536" s="5"/>
      <c r="G536" s="10">
        <f>IFERROR(__xludf.DUMMYFUNCTION("""COMPUTED_VALUE"""),-400.0)</f>
        <v>-400</v>
      </c>
    </row>
    <row r="537">
      <c r="A537" s="24">
        <f>IFERROR(__xludf.DUMMYFUNCTION("""COMPUTED_VALUE"""),43497.0)</f>
        <v>43497</v>
      </c>
      <c r="B537" s="5"/>
      <c r="C537" s="5"/>
      <c r="D537" s="5" t="str">
        <f>IFERROR(__xludf.DUMMYFUNCTION("""COMPUTED_VALUE"""),"COST")</f>
        <v>COST</v>
      </c>
      <c r="E537" s="5"/>
      <c r="F537" s="5"/>
      <c r="G537" s="10">
        <f>IFERROR(__xludf.DUMMYFUNCTION("""COMPUTED_VALUE"""),-5.0)</f>
        <v>-5</v>
      </c>
    </row>
    <row r="538">
      <c r="A538" s="24">
        <f>IFERROR(__xludf.DUMMYFUNCTION("""COMPUTED_VALUE"""),43497.0)</f>
        <v>43497</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IFERROR(__xludf.DUMMYFUNCTION("""COMPUTED_VALUE"""),-45.0)</f>
        <v>-45</v>
      </c>
      <c r="F538" s="25">
        <f>IFERROR(__xludf.DUMMYFUNCTION("""COMPUTED_VALUE"""),45.018)</f>
        <v>45.018</v>
      </c>
      <c r="G538" s="10">
        <f>IFERROR(__xludf.DUMMYFUNCTION("""COMPUTED_VALUE"""),2025.81)</f>
        <v>2025.81</v>
      </c>
    </row>
    <row r="539">
      <c r="A539" s="24">
        <f>IFERROR(__xludf.DUMMYFUNCTION("""COMPUTED_VALUE"""),43497.0)</f>
        <v>43497</v>
      </c>
      <c r="B539" s="5" t="str">
        <f>IFERROR(__xludf.DUMMYFUNCTION("""COMPUTED_VALUE"""),"Stocks")</f>
        <v>Stocks</v>
      </c>
      <c r="C539" s="5" t="str">
        <f>IFERROR(__xludf.DUMMYFUNCTION("""COMPUTED_VALUE"""),"Vanguard S&amp;P 500 UCITS")</f>
        <v>Vanguard S&amp;P 500 UCITS</v>
      </c>
      <c r="D539" s="5" t="str">
        <f>IFERROR(__xludf.DUMMYFUNCTION("""COMPUTED_VALUE"""),"SELL")</f>
        <v>SELL</v>
      </c>
      <c r="E539" s="21">
        <f>IFERROR(__xludf.DUMMYFUNCTION("""COMPUTED_VALUE"""),-10.0)</f>
        <v>-10</v>
      </c>
      <c r="F539" s="25">
        <f>IFERROR(__xludf.DUMMYFUNCTION("""COMPUTED_VALUE"""),44.797)</f>
        <v>44.797</v>
      </c>
      <c r="G539" s="10">
        <f>IFERROR(__xludf.DUMMYFUNCTION("""COMPUTED_VALUE"""),447.97)</f>
        <v>447.97</v>
      </c>
    </row>
    <row r="540">
      <c r="A540" s="24">
        <f>IFERROR(__xludf.DUMMYFUNCTION("""COMPUTED_VALUE"""),43497.0)</f>
        <v>43497</v>
      </c>
      <c r="B540" s="5" t="str">
        <f>IFERROR(__xludf.DUMMYFUNCTION("""COMPUTED_VALUE"""),"Stocks")</f>
        <v>Stocks</v>
      </c>
      <c r="C540" s="5" t="str">
        <f>IFERROR(__xludf.DUMMYFUNCTION("""COMPUTED_VALUE"""),"Vanguard S&amp;P 500 UCITS")</f>
        <v>Vanguard S&amp;P 500 UCITS</v>
      </c>
      <c r="D540" s="5" t="str">
        <f>IFERROR(__xludf.DUMMYFUNCTION("""COMPUTED_VALUE"""),"SELL")</f>
        <v>SELL</v>
      </c>
      <c r="E540" s="21">
        <f>IFERROR(__xludf.DUMMYFUNCTION("""COMPUTED_VALUE"""),-8.0)</f>
        <v>-8</v>
      </c>
      <c r="F540" s="25">
        <f>IFERROR(__xludf.DUMMYFUNCTION("""COMPUTED_VALUE"""),44.7975)</f>
        <v>44.7975</v>
      </c>
      <c r="G540" s="10">
        <f>IFERROR(__xludf.DUMMYFUNCTION("""COMPUTED_VALUE"""),358.38)</f>
        <v>358.38</v>
      </c>
    </row>
    <row r="541">
      <c r="A541" s="24">
        <f>IFERROR(__xludf.DUMMYFUNCTION("""COMPUTED_VALUE"""),43497.0)</f>
        <v>43497</v>
      </c>
      <c r="B541" s="5" t="str">
        <f>IFERROR(__xludf.DUMMYFUNCTION("""COMPUTED_VALUE"""),"Stocks")</f>
        <v>Stocks</v>
      </c>
      <c r="C541" s="5" t="str">
        <f>IFERROR(__xludf.DUMMYFUNCTION("""COMPUTED_VALUE"""),"Vanguard S&amp;P 500 UCITS")</f>
        <v>Vanguard S&amp;P 500 UCITS</v>
      </c>
      <c r="D541" s="5" t="str">
        <f>IFERROR(__xludf.DUMMYFUNCTION("""COMPUTED_VALUE"""),"SELL")</f>
        <v>SELL</v>
      </c>
      <c r="E541" s="21">
        <f>IFERROR(__xludf.DUMMYFUNCTION("""COMPUTED_VALUE"""),-5.0)</f>
        <v>-5</v>
      </c>
      <c r="F541" s="25">
        <f>IFERROR(__xludf.DUMMYFUNCTION("""COMPUTED_VALUE"""),44.796)</f>
        <v>44.796</v>
      </c>
      <c r="G541" s="10">
        <f>IFERROR(__xludf.DUMMYFUNCTION("""COMPUTED_VALUE"""),223.98)</f>
        <v>223.98</v>
      </c>
    </row>
    <row r="542">
      <c r="A542" s="24">
        <f>IFERROR(__xludf.DUMMYFUNCTION("""COMPUTED_VALUE"""),43496.0)</f>
        <v>43496</v>
      </c>
      <c r="B542" s="5"/>
      <c r="C542" s="5"/>
      <c r="D542" s="21" t="str">
        <f>IFERROR(__xludf.DUMMYFUNCTION("""COMPUTED_VALUE"""),"COST")</f>
        <v>COST</v>
      </c>
      <c r="E542" s="5"/>
      <c r="F542" s="5"/>
      <c r="G542" s="10">
        <f>IFERROR(__xludf.DUMMYFUNCTION("""COMPUTED_VALUE"""),-5.0)</f>
        <v>-5</v>
      </c>
    </row>
    <row r="543">
      <c r="A543" s="24">
        <f>IFERROR(__xludf.DUMMYFUNCTION("""COMPUTED_VALUE"""),43496.0)</f>
        <v>43496</v>
      </c>
      <c r="B543" s="5"/>
      <c r="C543" s="5"/>
      <c r="D543" s="21" t="str">
        <f>IFERROR(__xludf.DUMMYFUNCTION("""COMPUTED_VALUE"""),"COST")</f>
        <v>COST</v>
      </c>
      <c r="E543" s="5"/>
      <c r="F543" s="5"/>
      <c r="G543" s="10">
        <f>IFERROR(__xludf.DUMMYFUNCTION("""COMPUTED_VALUE"""),5.0)</f>
        <v>5</v>
      </c>
    </row>
    <row r="544">
      <c r="A544" s="24">
        <f>IFERROR(__xludf.DUMMYFUNCTION("""COMPUTED_VALUE"""),43496.0)</f>
        <v>43496</v>
      </c>
      <c r="B544" s="5"/>
      <c r="C544" s="5"/>
      <c r="D544" s="21" t="str">
        <f>IFERROR(__xludf.DUMMYFUNCTION("""COMPUTED_VALUE"""),"COST")</f>
        <v>COST</v>
      </c>
      <c r="E544" s="5"/>
      <c r="F544" s="5"/>
      <c r="G544" s="10">
        <f>IFERROR(__xludf.DUMMYFUNCTION("""COMPUTED_VALUE"""),-565.1)</f>
        <v>-565.1</v>
      </c>
    </row>
    <row r="545">
      <c r="A545" s="24">
        <f>IFERROR(__xludf.DUMMYFUNCTION("""COMPUTED_VALUE"""),43496.0)</f>
        <v>43496</v>
      </c>
      <c r="B545" s="5" t="str">
        <f>IFERROR(__xludf.DUMMYFUNCTION("""COMPUTED_VALUE"""),"Stocks")</f>
        <v>Stocks</v>
      </c>
      <c r="C545" s="5" t="str">
        <f>IFERROR(__xludf.DUMMYFUNCTION("""COMPUTED_VALUE"""),"Vanguard S&amp;P 500 UCITS")</f>
        <v>Vanguard S&amp;P 500 UCITS</v>
      </c>
      <c r="D545" s="5" t="str">
        <f>IFERROR(__xludf.DUMMYFUNCTION("""COMPUTED_VALUE"""),"COST")</f>
        <v>COST</v>
      </c>
      <c r="E545" s="5"/>
      <c r="F545" s="5"/>
      <c r="G545" s="10">
        <f>IFERROR(__xludf.DUMMYFUNCTION("""COMPUTED_VALUE"""),-3.89)</f>
        <v>-3.89</v>
      </c>
    </row>
    <row r="546">
      <c r="A546" s="24">
        <f>IFERROR(__xludf.DUMMYFUNCTION("""COMPUTED_VALUE"""),43496.0)</f>
        <v>43496</v>
      </c>
      <c r="B546" s="5" t="str">
        <f>IFERROR(__xludf.DUMMYFUNCTION("""COMPUTED_VALUE"""),"Stocks")</f>
        <v>Stocks</v>
      </c>
      <c r="C546" s="5" t="str">
        <f>IFERROR(__xludf.DUMMYFUNCTION("""COMPUTED_VALUE"""),"Vanguard S&amp;P 500 UCITS")</f>
        <v>Vanguard S&amp;P 500 UCITS</v>
      </c>
      <c r="D546" s="5" t="str">
        <f>IFERROR(__xludf.DUMMYFUNCTION("""COMPUTED_VALUE"""),"SELL")</f>
        <v>SELL</v>
      </c>
      <c r="E546" s="21">
        <f>IFERROR(__xludf.DUMMYFUNCTION("""COMPUTED_VALUE"""),-213.0)</f>
        <v>-213</v>
      </c>
      <c r="F546" s="25">
        <f>IFERROR(__xludf.DUMMYFUNCTION("""COMPUTED_VALUE"""),44.455)</f>
        <v>44.455</v>
      </c>
      <c r="G546" s="10">
        <f>IFERROR(__xludf.DUMMYFUNCTION("""COMPUTED_VALUE"""),9468.92)</f>
        <v>9468.92</v>
      </c>
    </row>
    <row r="547">
      <c r="A547" s="24">
        <f>IFERROR(__xludf.DUMMYFUNCTION("""COMPUTED_VALUE"""),43486.0)</f>
        <v>43486</v>
      </c>
      <c r="B547" s="5" t="str">
        <f>IFERROR(__xludf.DUMMYFUNCTION("""COMPUTED_VALUE"""),"Stocks")</f>
        <v>Stocks</v>
      </c>
      <c r="C547" s="5" t="str">
        <f>IFERROR(__xludf.DUMMYFUNCTION("""COMPUTED_VALUE"""),"Vanguard S&amp;P 500 UCITS")</f>
        <v>Vanguard S&amp;P 500 UCITS</v>
      </c>
      <c r="D547" s="5" t="str">
        <f>IFERROR(__xludf.DUMMYFUNCTION("""COMPUTED_VALUE"""),"COST")</f>
        <v>COST</v>
      </c>
      <c r="E547" s="5"/>
      <c r="F547" s="5"/>
      <c r="G547" s="10">
        <f>IFERROR(__xludf.DUMMYFUNCTION("""COMPUTED_VALUE"""),-0.26)</f>
        <v>-0.26</v>
      </c>
    </row>
    <row r="548">
      <c r="A548" s="24">
        <f>IFERROR(__xludf.DUMMYFUNCTION("""COMPUTED_VALUE"""),43486.0)</f>
        <v>43486</v>
      </c>
      <c r="B548" s="5" t="str">
        <f>IFERROR(__xludf.DUMMYFUNCTION("""COMPUTED_VALUE"""),"Stocks")</f>
        <v>Stocks</v>
      </c>
      <c r="C548" s="5" t="str">
        <f>IFERROR(__xludf.DUMMYFUNCTION("""COMPUTED_VALUE"""),"Vanguard S&amp;P 500 UCITS")</f>
        <v>Vanguard S&amp;P 500 UCITS</v>
      </c>
      <c r="D548" s="5" t="str">
        <f>IFERROR(__xludf.DUMMYFUNCTION("""COMPUTED_VALUE"""),"SELL")</f>
        <v>SELL</v>
      </c>
      <c r="E548" s="21">
        <f>IFERROR(__xludf.DUMMYFUNCTION("""COMPUTED_VALUE"""),-29.0)</f>
        <v>-29</v>
      </c>
      <c r="F548" s="25">
        <f>IFERROR(__xludf.DUMMYFUNCTION("""COMPUTED_VALUE"""),44.48586206896552)</f>
        <v>44.48586207</v>
      </c>
      <c r="G548" s="10">
        <f>IFERROR(__xludf.DUMMYFUNCTION("""COMPUTED_VALUE"""),1290.09)</f>
        <v>1290.09</v>
      </c>
    </row>
    <row r="549">
      <c r="A549" s="24">
        <f>IFERROR(__xludf.DUMMYFUNCTION("""COMPUTED_VALUE"""),43486.0)</f>
        <v>43486</v>
      </c>
      <c r="B549" s="5" t="str">
        <f>IFERROR(__xludf.DUMMYFUNCTION("""COMPUTED_VALUE"""),"Stocks")</f>
        <v>Stocks</v>
      </c>
      <c r="C549" s="5" t="str">
        <f>IFERROR(__xludf.DUMMYFUNCTION("""COMPUTED_VALUE"""),"Vanguard S&amp;P 500 UCITS")</f>
        <v>Vanguard S&amp;P 500 UCITS</v>
      </c>
      <c r="D549" s="5" t="str">
        <f>IFERROR(__xludf.DUMMYFUNCTION("""COMPUTED_VALUE"""),"COST")</f>
        <v>COST</v>
      </c>
      <c r="E549" s="5"/>
      <c r="F549" s="25" t="str">
        <f>IFERROR(__xludf.DUMMYFUNCTION("""COMPUTED_VALUE"""),"")</f>
        <v/>
      </c>
      <c r="G549" s="10">
        <f>IFERROR(__xludf.DUMMYFUNCTION("""COMPUTED_VALUE"""),-2.01)</f>
        <v>-2.01</v>
      </c>
    </row>
    <row r="550">
      <c r="A550" s="24">
        <f>IFERROR(__xludf.DUMMYFUNCTION("""COMPUTED_VALUE"""),43486.0)</f>
        <v>43486</v>
      </c>
      <c r="B550" s="5" t="str">
        <f>IFERROR(__xludf.DUMMYFUNCTION("""COMPUTED_VALUE"""),"Stocks")</f>
        <v>Stocks</v>
      </c>
      <c r="C550" s="5" t="str">
        <f>IFERROR(__xludf.DUMMYFUNCTION("""COMPUTED_VALUE"""),"Vanguard S&amp;P 500 UCITS")</f>
        <v>Vanguard S&amp;P 500 UCITS</v>
      </c>
      <c r="D550" s="5" t="str">
        <f>IFERROR(__xludf.DUMMYFUNCTION("""COMPUTED_VALUE"""),"SELL")</f>
        <v>SELL</v>
      </c>
      <c r="E550" s="21">
        <f>IFERROR(__xludf.DUMMYFUNCTION("""COMPUTED_VALUE"""),-1.0)</f>
        <v>-1</v>
      </c>
      <c r="F550" s="25">
        <f>IFERROR(__xludf.DUMMYFUNCTION("""COMPUTED_VALUE"""),44.5)</f>
        <v>44.5</v>
      </c>
      <c r="G550" s="10">
        <f>IFERROR(__xludf.DUMMYFUNCTION("""COMPUTED_VALUE"""),44.5)</f>
        <v>44.5</v>
      </c>
    </row>
    <row r="551">
      <c r="A551" s="24">
        <f>IFERROR(__xludf.DUMMYFUNCTION("""COMPUTED_VALUE"""),43474.0)</f>
        <v>43474</v>
      </c>
      <c r="B551" s="5" t="str">
        <f>IFERROR(__xludf.DUMMYFUNCTION("""COMPUTED_VALUE"""),"Stocks")</f>
        <v>Stocks</v>
      </c>
      <c r="C551" s="5" t="str">
        <f>IFERROR(__xludf.DUMMYFUNCTION("""COMPUTED_VALUE"""),"Vanguard S&amp;P 500 UCITS")</f>
        <v>Vanguard S&amp;P 500 UCITS</v>
      </c>
      <c r="D551" s="21" t="str">
        <f>IFERROR(__xludf.DUMMYFUNCTION("""COMPUTED_VALUE"""),"DIVIDEND")</f>
        <v>DIVIDEND</v>
      </c>
      <c r="E551" s="5"/>
      <c r="F551" s="5"/>
      <c r="G551" s="10">
        <f>IFERROR(__xludf.DUMMYFUNCTION("""COMPUTED_VALUE"""),-154.79)</f>
        <v>-154.79</v>
      </c>
    </row>
    <row r="552">
      <c r="A552" s="24">
        <f>IFERROR(__xludf.DUMMYFUNCTION("""COMPUTED_VALUE"""),43474.0)</f>
        <v>43474</v>
      </c>
      <c r="B552" s="5" t="str">
        <f>IFERROR(__xludf.DUMMYFUNCTION("""COMPUTED_VALUE"""),"Stocks")</f>
        <v>Stocks</v>
      </c>
      <c r="C552" s="5" t="str">
        <f>IFERROR(__xludf.DUMMYFUNCTION("""COMPUTED_VALUE"""),"Vanguard S&amp;P 500 UCITS")</f>
        <v>Vanguard S&amp;P 500 UCITS</v>
      </c>
      <c r="D552" s="5" t="str">
        <f>IFERROR(__xludf.DUMMYFUNCTION("""COMPUTED_VALUE"""),"DIVIDEND")</f>
        <v>DIVIDEND</v>
      </c>
      <c r="E552" s="5"/>
      <c r="F552" s="25" t="str">
        <f>IFERROR(__xludf.DUMMYFUNCTION("""COMPUTED_VALUE"""),"")</f>
        <v/>
      </c>
      <c r="G552" s="10">
        <f>IFERROR(__xludf.DUMMYFUNCTION("""COMPUTED_VALUE"""),1151.07)</f>
        <v>1151.07</v>
      </c>
    </row>
    <row r="553">
      <c r="A553" s="24">
        <f>IFERROR(__xludf.DUMMYFUNCTION("""COMPUTED_VALUE"""),43474.0)</f>
        <v>43474</v>
      </c>
      <c r="B553" s="5" t="str">
        <f>IFERROR(__xludf.DUMMYFUNCTION("""COMPUTED_VALUE"""),"Stocks")</f>
        <v>Stocks</v>
      </c>
      <c r="C553" s="5" t="str">
        <f>IFERROR(__xludf.DUMMYFUNCTION("""COMPUTED_VALUE"""),"Vanguard S&amp;P 500 UCITS")</f>
        <v>Vanguard S&amp;P 500 UCITS</v>
      </c>
      <c r="D553" s="5" t="str">
        <f>IFERROR(__xludf.DUMMYFUNCTION("""COMPUTED_VALUE"""),"COST")</f>
        <v>COST</v>
      </c>
      <c r="E553" s="5"/>
      <c r="F553" s="25" t="str">
        <f>IFERROR(__xludf.DUMMYFUNCTION("""COMPUTED_VALUE"""),"")</f>
        <v/>
      </c>
      <c r="G553" s="10">
        <f>IFERROR(__xludf.DUMMYFUNCTION("""COMPUTED_VALUE"""),-2.29)</f>
        <v>-2.29</v>
      </c>
    </row>
    <row r="554">
      <c r="A554" s="24">
        <f>IFERROR(__xludf.DUMMYFUNCTION("""COMPUTED_VALUE"""),43474.0)</f>
        <v>43474</v>
      </c>
      <c r="B554" s="5" t="str">
        <f>IFERROR(__xludf.DUMMYFUNCTION("""COMPUTED_VALUE"""),"Stocks")</f>
        <v>Stocks</v>
      </c>
      <c r="C554" s="5" t="str">
        <f>IFERROR(__xludf.DUMMYFUNCTION("""COMPUTED_VALUE"""),"Vanguard S&amp;P 500 UCITS")</f>
        <v>Vanguard S&amp;P 500 UCITS</v>
      </c>
      <c r="D554" s="5" t="str">
        <f>IFERROR(__xludf.DUMMYFUNCTION("""COMPUTED_VALUE"""),"SELL")</f>
        <v>SELL</v>
      </c>
      <c r="E554" s="21">
        <f>IFERROR(__xludf.DUMMYFUNCTION("""COMPUTED_VALUE"""),-34.0)</f>
        <v>-34</v>
      </c>
      <c r="F554" s="25">
        <f>IFERROR(__xludf.DUMMYFUNCTION("""COMPUTED_VALUE"""),42.74)</f>
        <v>42.74</v>
      </c>
      <c r="G554" s="10">
        <f>IFERROR(__xludf.DUMMYFUNCTION("""COMPUTED_VALUE"""),1453.16)</f>
        <v>1453.16</v>
      </c>
    </row>
    <row r="555">
      <c r="A555" s="24">
        <f>IFERROR(__xludf.DUMMYFUNCTION("""COMPUTED_VALUE"""),43473.0)</f>
        <v>43473</v>
      </c>
      <c r="B555" s="5" t="str">
        <f>IFERROR(__xludf.DUMMYFUNCTION("""COMPUTED_VALUE"""),"Long term US bonds (20-25 year)")</f>
        <v>Long term US bonds (20-25 year)</v>
      </c>
      <c r="C555" s="5" t="str">
        <f>IFERROR(__xludf.DUMMYFUNCTION("""COMPUTED_VALUE"""),"iShares Treasury Bond 20+ UCITS USD Dist")</f>
        <v>iShares Treasury Bond 20+ UCITS USD Dist</v>
      </c>
      <c r="D555" s="5" t="str">
        <f>IFERROR(__xludf.DUMMYFUNCTION("""COMPUTED_VALUE"""),"COST")</f>
        <v>COST</v>
      </c>
      <c r="E555" s="5"/>
      <c r="F555" s="25" t="str">
        <f>IFERROR(__xludf.DUMMYFUNCTION("""COMPUTED_VALUE"""),"")</f>
        <v/>
      </c>
      <c r="G555" s="10">
        <f>IFERROR(__xludf.DUMMYFUNCTION("""COMPUTED_VALUE"""),-2.53)</f>
        <v>-2.53</v>
      </c>
    </row>
    <row r="556">
      <c r="A556" s="24">
        <f>IFERROR(__xludf.DUMMYFUNCTION("""COMPUTED_VALUE"""),43473.0)</f>
        <v>43473</v>
      </c>
      <c r="B556" s="5" t="str">
        <f>IFERROR(__xludf.DUMMYFUNCTION("""COMPUTED_VALUE"""),"Long term US bonds (20-25 year)")</f>
        <v>Long term US bonds (20-25 year)</v>
      </c>
      <c r="C556" s="5" t="str">
        <f>IFERROR(__xludf.DUMMYFUNCTION("""COMPUTED_VALUE"""),"iShares Treasury Bond 20+ UCITS USD Dist")</f>
        <v>iShares Treasury Bond 20+ UCITS USD Dist</v>
      </c>
      <c r="D556" s="5" t="str">
        <f>IFERROR(__xludf.DUMMYFUNCTION("""COMPUTED_VALUE"""),"BUY")</f>
        <v>BUY</v>
      </c>
      <c r="E556" s="21">
        <f>IFERROR(__xludf.DUMMYFUNCTION("""COMPUTED_VALUE"""),666.0)</f>
        <v>666</v>
      </c>
      <c r="F556" s="25">
        <f>IFERROR(__xludf.DUMMYFUNCTION("""COMPUTED_VALUE"""),3.982507507507507)</f>
        <v>3.982507508</v>
      </c>
      <c r="G556" s="10">
        <f>IFERROR(__xludf.DUMMYFUNCTION("""COMPUTED_VALUE"""),-2652.35)</f>
        <v>-2652.35</v>
      </c>
    </row>
    <row r="557">
      <c r="A557" s="24">
        <f>IFERROR(__xludf.DUMMYFUNCTION("""COMPUTED_VALUE"""),43473.0)</f>
        <v>43473</v>
      </c>
      <c r="B557" s="5" t="str">
        <f>IFERROR(__xludf.DUMMYFUNCTION("""COMPUTED_VALUE"""),"Intermediate US bonds (7-10 year)")</f>
        <v>Intermediate US bonds (7-10 year)</v>
      </c>
      <c r="C557" s="5" t="str">
        <f>IFERROR(__xludf.DUMMYFUNCTION("""COMPUTED_VALUE"""),"iShares Treasury Bond 7-10 UCITS")</f>
        <v>iShares Treasury Bond 7-10 UCITS</v>
      </c>
      <c r="D557" s="5" t="str">
        <f>IFERROR(__xludf.DUMMYFUNCTION("""COMPUTED_VALUE"""),"BUY")</f>
        <v>BUY</v>
      </c>
      <c r="E557" s="21">
        <f>IFERROR(__xludf.DUMMYFUNCTION("""COMPUTED_VALUE"""),14.0)</f>
        <v>14</v>
      </c>
      <c r="F557" s="25">
        <f>IFERROR(__xludf.DUMMYFUNCTION("""COMPUTED_VALUE"""),167.51)</f>
        <v>167.51</v>
      </c>
      <c r="G557" s="10">
        <f>IFERROR(__xludf.DUMMYFUNCTION("""COMPUTED_VALUE"""),-2345.14)</f>
        <v>-2345.14</v>
      </c>
    </row>
    <row r="558">
      <c r="A558" s="24">
        <f>IFERROR(__xludf.DUMMYFUNCTION("""COMPUTED_VALUE"""),43473.0)</f>
        <v>43473</v>
      </c>
      <c r="B558" s="5" t="str">
        <f>IFERROR(__xludf.DUMMYFUNCTION("""COMPUTED_VALUE"""),"Intermediate US bonds (7-10 year)")</f>
        <v>Intermediate US bonds (7-10 year)</v>
      </c>
      <c r="C558" s="5" t="str">
        <f>IFERROR(__xludf.DUMMYFUNCTION("""COMPUTED_VALUE"""),"iShares Treasury Bond 7-10 UCITS")</f>
        <v>iShares Treasury Bond 7-10 UCITS</v>
      </c>
      <c r="D558" s="5" t="str">
        <f>IFERROR(__xludf.DUMMYFUNCTION("""COMPUTED_VALUE"""),"COST")</f>
        <v>COST</v>
      </c>
      <c r="E558" s="5"/>
      <c r="F558" s="25" t="str">
        <f>IFERROR(__xludf.DUMMYFUNCTION("""COMPUTED_VALUE"""),"")</f>
        <v/>
      </c>
      <c r="G558" s="10">
        <f>IFERROR(__xludf.DUMMYFUNCTION("""COMPUTED_VALUE"""),-2.47)</f>
        <v>-2.47</v>
      </c>
    </row>
    <row r="559">
      <c r="A559" s="24">
        <f>IFERROR(__xludf.DUMMYFUNCTION("""COMPUTED_VALUE"""),43473.0)</f>
        <v>43473</v>
      </c>
      <c r="B559" s="5" t="str">
        <f>IFERROR(__xludf.DUMMYFUNCTION("""COMPUTED_VALUE"""),"Intermediate US bonds (7-10 year)")</f>
        <v>Intermediate US bonds (7-10 year)</v>
      </c>
      <c r="C559" s="5" t="str">
        <f>IFERROR(__xludf.DUMMYFUNCTION("""COMPUTED_VALUE"""),"iShares Treasury Bond 7-10 UCITS")</f>
        <v>iShares Treasury Bond 7-10 UCITS</v>
      </c>
      <c r="D559" s="5" t="str">
        <f>IFERROR(__xludf.DUMMYFUNCTION("""COMPUTED_VALUE"""),"BUY")</f>
        <v>BUY</v>
      </c>
      <c r="E559" s="21">
        <f>IFERROR(__xludf.DUMMYFUNCTION("""COMPUTED_VALUE"""),14.0)</f>
        <v>14</v>
      </c>
      <c r="F559" s="25">
        <f>IFERROR(__xludf.DUMMYFUNCTION("""COMPUTED_VALUE"""),167.59)</f>
        <v>167.59</v>
      </c>
      <c r="G559" s="10">
        <f>IFERROR(__xludf.DUMMYFUNCTION("""COMPUTED_VALUE"""),-2346.26)</f>
        <v>-2346.26</v>
      </c>
    </row>
    <row r="560">
      <c r="A560" s="24">
        <f>IFERROR(__xludf.DUMMYFUNCTION("""COMPUTED_VALUE"""),43473.0)</f>
        <v>43473</v>
      </c>
      <c r="B560" s="5" t="str">
        <f>IFERROR(__xludf.DUMMYFUNCTION("""COMPUTED_VALUE"""),"Intermediate US bonds (7-10 year)")</f>
        <v>Intermediate US bonds (7-10 year)</v>
      </c>
      <c r="C560" s="5" t="str">
        <f>IFERROR(__xludf.DUMMYFUNCTION("""COMPUTED_VALUE"""),"iShares Treasury Bond 7-10 UCITS")</f>
        <v>iShares Treasury Bond 7-10 UCITS</v>
      </c>
      <c r="D560" s="5" t="str">
        <f>IFERROR(__xludf.DUMMYFUNCTION("""COMPUTED_VALUE"""),"SELL")</f>
        <v>SELL</v>
      </c>
      <c r="E560" s="21">
        <f>IFERROR(__xludf.DUMMYFUNCTION("""COMPUTED_VALUE"""),-7.0)</f>
        <v>-7</v>
      </c>
      <c r="F560" s="25">
        <f>IFERROR(__xludf.DUMMYFUNCTION("""COMPUTED_VALUE"""),167.39000000000001)</f>
        <v>167.39</v>
      </c>
      <c r="G560" s="10">
        <f>IFERROR(__xludf.DUMMYFUNCTION("""COMPUTED_VALUE"""),1171.73)</f>
        <v>1171.73</v>
      </c>
    </row>
    <row r="561">
      <c r="A561" s="24">
        <f>IFERROR(__xludf.DUMMYFUNCTION("""COMPUTED_VALUE"""),43473.0)</f>
        <v>43473</v>
      </c>
      <c r="B561" s="5" t="str">
        <f>IFERROR(__xludf.DUMMYFUNCTION("""COMPUTED_VALUE"""),"Intermediate US bonds (7-10 year)")</f>
        <v>Intermediate US bonds (7-10 year)</v>
      </c>
      <c r="C561" s="5" t="str">
        <f>IFERROR(__xludf.DUMMYFUNCTION("""COMPUTED_VALUE"""),"iShares Treasury Bond 7-10 UCITS")</f>
        <v>iShares Treasury Bond 7-10 UCITS</v>
      </c>
      <c r="D561" s="5" t="str">
        <f>IFERROR(__xludf.DUMMYFUNCTION("""COMPUTED_VALUE"""),"COST")</f>
        <v>COST</v>
      </c>
      <c r="E561" s="5"/>
      <c r="F561" s="25" t="str">
        <f>IFERROR(__xludf.DUMMYFUNCTION("""COMPUTED_VALUE"""),"")</f>
        <v/>
      </c>
      <c r="G561" s="10">
        <f>IFERROR(__xludf.DUMMYFUNCTION("""COMPUTED_VALUE"""),-2.23)</f>
        <v>-2.23</v>
      </c>
    </row>
    <row r="562">
      <c r="A562" s="24">
        <f>IFERROR(__xludf.DUMMYFUNCTION("""COMPUTED_VALUE"""),43473.0)</f>
        <v>43473</v>
      </c>
      <c r="B562" s="5" t="str">
        <f>IFERROR(__xludf.DUMMYFUNCTION("""COMPUTED_VALUE"""),"Stocks")</f>
        <v>Stocks</v>
      </c>
      <c r="C562" s="5" t="str">
        <f>IFERROR(__xludf.DUMMYFUNCTION("""COMPUTED_VALUE"""),"Vanguard S&amp;P 500 UCITS")</f>
        <v>Vanguard S&amp;P 500 UCITS</v>
      </c>
      <c r="D562" s="5" t="str">
        <f>IFERROR(__xludf.DUMMYFUNCTION("""COMPUTED_VALUE"""),"SELL")</f>
        <v>SELL</v>
      </c>
      <c r="E562" s="21">
        <f>IFERROR(__xludf.DUMMYFUNCTION("""COMPUTED_VALUE"""),-110.0)</f>
        <v>-110</v>
      </c>
      <c r="F562" s="25">
        <f>IFERROR(__xludf.DUMMYFUNCTION("""COMPUTED_VALUE"""),42.536)</f>
        <v>42.536</v>
      </c>
      <c r="G562" s="10">
        <f>IFERROR(__xludf.DUMMYFUNCTION("""COMPUTED_VALUE"""),4678.96)</f>
        <v>4678.96</v>
      </c>
    </row>
    <row r="563">
      <c r="A563" s="24">
        <f>IFERROR(__xludf.DUMMYFUNCTION("""COMPUTED_VALUE"""),43473.0)</f>
        <v>43473</v>
      </c>
      <c r="B563" s="5" t="str">
        <f>IFERROR(__xludf.DUMMYFUNCTION("""COMPUTED_VALUE"""),"Stocks")</f>
        <v>Stocks</v>
      </c>
      <c r="C563" s="5" t="str">
        <f>IFERROR(__xludf.DUMMYFUNCTION("""COMPUTED_VALUE"""),"Vanguard S&amp;P 500 UCITS")</f>
        <v>Vanguard S&amp;P 500 UCITS</v>
      </c>
      <c r="D563" s="5" t="str">
        <f>IFERROR(__xludf.DUMMYFUNCTION("""COMPUTED_VALUE"""),"COST")</f>
        <v>COST</v>
      </c>
      <c r="E563" s="5"/>
      <c r="F563" s="25" t="str">
        <f>IFERROR(__xludf.DUMMYFUNCTION("""COMPUTED_VALUE"""),"")</f>
        <v/>
      </c>
      <c r="G563" s="10">
        <f>IFERROR(__xludf.DUMMYFUNCTION("""COMPUTED_VALUE"""),-2.94)</f>
        <v>-2.94</v>
      </c>
    </row>
    <row r="564">
      <c r="A564" s="24">
        <f>IFERROR(__xludf.DUMMYFUNCTION("""COMPUTED_VALUE"""),43473.0)</f>
        <v>43473</v>
      </c>
      <c r="B564" s="5" t="str">
        <f>IFERROR(__xludf.DUMMYFUNCTION("""COMPUTED_VALUE"""),"Long term US bonds (20-25 year)")</f>
        <v>Long term US bonds (20-25 year)</v>
      </c>
      <c r="C564" s="5" t="str">
        <f>IFERROR(__xludf.DUMMYFUNCTION("""COMPUTED_VALUE"""),"iShares Treasury Bond 20+ UCITS USD Dist")</f>
        <v>iShares Treasury Bond 20+ UCITS USD Dist</v>
      </c>
      <c r="D564" s="5" t="str">
        <f>IFERROR(__xludf.DUMMYFUNCTION("""COMPUTED_VALUE"""),"COST")</f>
        <v>COST</v>
      </c>
      <c r="E564" s="5"/>
      <c r="F564" s="25" t="str">
        <f>IFERROR(__xludf.DUMMYFUNCTION("""COMPUTED_VALUE"""),"")</f>
        <v/>
      </c>
      <c r="G564" s="10">
        <f>IFERROR(__xludf.DUMMYFUNCTION("""COMPUTED_VALUE"""),-4.42)</f>
        <v>-4.42</v>
      </c>
    </row>
    <row r="565">
      <c r="A565" s="24">
        <f>IFERROR(__xludf.DUMMYFUNCTION("""COMPUTED_VALUE"""),43473.0)</f>
        <v>43473</v>
      </c>
      <c r="B565" s="5" t="str">
        <f>IFERROR(__xludf.DUMMYFUNCTION("""COMPUTED_VALUE"""),"Long term US bonds (20-25 year)")</f>
        <v>Long term US bonds (20-25 year)</v>
      </c>
      <c r="C565" s="5" t="str">
        <f>IFERROR(__xludf.DUMMYFUNCTION("""COMPUTED_VALUE"""),"iShares Treasury Bond 20+ UCITS USD Dist")</f>
        <v>iShares Treasury Bond 20+ UCITS USD Dist</v>
      </c>
      <c r="D565" s="5" t="str">
        <f>IFERROR(__xludf.DUMMYFUNCTION("""COMPUTED_VALUE"""),"BUY")</f>
        <v>BUY</v>
      </c>
      <c r="E565" s="21">
        <f>IFERROR(__xludf.DUMMYFUNCTION("""COMPUTED_VALUE"""),3038.0)</f>
        <v>3038</v>
      </c>
      <c r="F565" s="25">
        <f>IFERROR(__xludf.DUMMYFUNCTION("""COMPUTED_VALUE"""),3.9881731402238314)</f>
        <v>3.98817314</v>
      </c>
      <c r="G565" s="10">
        <f>IFERROR(__xludf.DUMMYFUNCTION("""COMPUTED_VALUE"""),-12116.07)</f>
        <v>-12116.07</v>
      </c>
    </row>
    <row r="566">
      <c r="A566" s="24">
        <f>IFERROR(__xludf.DUMMYFUNCTION("""COMPUTED_VALUE"""),43473.0)</f>
        <v>43473</v>
      </c>
      <c r="B566" s="5" t="str">
        <f>IFERROR(__xludf.DUMMYFUNCTION("""COMPUTED_VALUE"""),"Intermediate US bonds (7-10 year)")</f>
        <v>Intermediate US bonds (7-10 year)</v>
      </c>
      <c r="C566" s="5" t="str">
        <f>IFERROR(__xludf.DUMMYFUNCTION("""COMPUTED_VALUE"""),"iShares Treasury Bond 7-10 UCITS")</f>
        <v>iShares Treasury Bond 7-10 UCITS</v>
      </c>
      <c r="D566" s="5" t="str">
        <f>IFERROR(__xludf.DUMMYFUNCTION("""COMPUTED_VALUE"""),"BUY")</f>
        <v>BUY</v>
      </c>
      <c r="E566" s="21">
        <f>IFERROR(__xludf.DUMMYFUNCTION("""COMPUTED_VALUE"""),14.0)</f>
        <v>14</v>
      </c>
      <c r="F566" s="25">
        <f>IFERROR(__xludf.DUMMYFUNCTION("""COMPUTED_VALUE"""),167.5)</f>
        <v>167.5</v>
      </c>
      <c r="G566" s="10">
        <f>IFERROR(__xludf.DUMMYFUNCTION("""COMPUTED_VALUE"""),-2345.0)</f>
        <v>-2345</v>
      </c>
    </row>
    <row r="567">
      <c r="A567" s="24">
        <f>IFERROR(__xludf.DUMMYFUNCTION("""COMPUTED_VALUE"""),43469.0)</f>
        <v>43469</v>
      </c>
      <c r="B567" s="5"/>
      <c r="C567" s="5"/>
      <c r="D567" s="5" t="str">
        <f>IFERROR(__xludf.DUMMYFUNCTION("""COMPUTED_VALUE"""),"APPROVISIONNEMENT")</f>
        <v>APPROVISIONNEMENT</v>
      </c>
      <c r="E567" s="5"/>
      <c r="F567" s="25" t="str">
        <f>IFERROR(__xludf.DUMMYFUNCTION("""COMPUTED_VALUE"""),"")</f>
        <v/>
      </c>
      <c r="G567" s="10">
        <f>IFERROR(__xludf.DUMMYFUNCTION("""COMPUTED_VALUE"""),-1500.0)</f>
        <v>-1500</v>
      </c>
    </row>
    <row r="568">
      <c r="A568" s="24">
        <f>IFERROR(__xludf.DUMMYFUNCTION("""COMPUTED_VALUE"""),43467.0)</f>
        <v>43467</v>
      </c>
      <c r="B568" s="5" t="str">
        <f>IFERROR(__xludf.DUMMYFUNCTION("""COMPUTED_VALUE"""),"Commodities")</f>
        <v>Commodities</v>
      </c>
      <c r="C568" s="5" t="str">
        <f>IFERROR(__xludf.DUMMYFUNCTION("""COMPUTED_VALUE"""),"ETFS All Commodities ETC")</f>
        <v>ETFS All Commodities ETC</v>
      </c>
      <c r="D568" s="5" t="str">
        <f>IFERROR(__xludf.DUMMYFUNCTION("""COMPUTED_VALUE"""),"BUY")</f>
        <v>BUY</v>
      </c>
      <c r="E568" s="21">
        <f>IFERROR(__xludf.DUMMYFUNCTION("""COMPUTED_VALUE"""),300.0)</f>
        <v>300</v>
      </c>
      <c r="F568" s="25">
        <f>IFERROR(__xludf.DUMMYFUNCTION("""COMPUTED_VALUE"""),6.82)</f>
        <v>6.82</v>
      </c>
      <c r="G568" s="10">
        <f>IFERROR(__xludf.DUMMYFUNCTION("""COMPUTED_VALUE"""),-2046.0)</f>
        <v>-2046</v>
      </c>
    </row>
    <row r="569">
      <c r="A569" s="24">
        <f>IFERROR(__xludf.DUMMYFUNCTION("""COMPUTED_VALUE"""),43467.0)</f>
        <v>43467</v>
      </c>
      <c r="B569" s="5" t="str">
        <f>IFERROR(__xludf.DUMMYFUNCTION("""COMPUTED_VALUE"""),"Stocks")</f>
        <v>Stocks</v>
      </c>
      <c r="C569" s="5" t="str">
        <f>IFERROR(__xludf.DUMMYFUNCTION("""COMPUTED_VALUE"""),"Vanguard S&amp;P 500 UCITS")</f>
        <v>Vanguard S&amp;P 500 UCITS</v>
      </c>
      <c r="D569" s="5" t="str">
        <f>IFERROR(__xludf.DUMMYFUNCTION("""COMPUTED_VALUE"""),"BUY")</f>
        <v>BUY</v>
      </c>
      <c r="E569" s="21">
        <f>IFERROR(__xludf.DUMMYFUNCTION("""COMPUTED_VALUE"""),74.0)</f>
        <v>74</v>
      </c>
      <c r="F569" s="25">
        <f>IFERROR(__xludf.DUMMYFUNCTION("""COMPUTED_VALUE"""),41.15)</f>
        <v>41.15</v>
      </c>
      <c r="G569" s="10">
        <f>IFERROR(__xludf.DUMMYFUNCTION("""COMPUTED_VALUE"""),-3045.1)</f>
        <v>-3045.1</v>
      </c>
    </row>
    <row r="570">
      <c r="A570" s="24">
        <f>IFERROR(__xludf.DUMMYFUNCTION("""COMPUTED_VALUE"""),43465.0)</f>
        <v>43465</v>
      </c>
      <c r="B570" s="5"/>
      <c r="C570" s="5"/>
      <c r="D570" s="21" t="str">
        <f>IFERROR(__xludf.DUMMYFUNCTION("""COMPUTED_VALUE"""),"COST")</f>
        <v>COST</v>
      </c>
      <c r="E570" s="5"/>
      <c r="F570" s="5"/>
      <c r="G570" s="10">
        <f>IFERROR(__xludf.DUMMYFUNCTION("""COMPUTED_VALUE"""),-534.69)</f>
        <v>-534.69</v>
      </c>
    </row>
    <row r="571">
      <c r="A571" s="24">
        <f>IFERROR(__xludf.DUMMYFUNCTION("""COMPUTED_VALUE"""),43462.0)</f>
        <v>43462</v>
      </c>
      <c r="B571" s="5" t="str">
        <f>IFERROR(__xludf.DUMMYFUNCTION("""COMPUTED_VALUE"""),"Long term US bonds (20-25 year)")</f>
        <v>Long term US bonds (20-25 year)</v>
      </c>
      <c r="C571" s="5" t="str">
        <f>IFERROR(__xludf.DUMMYFUNCTION("""COMPUTED_VALUE"""),"iShares Treasury Bond 20+ UCITS USD Dist")</f>
        <v>iShares Treasury Bond 20+ UCITS USD Dist</v>
      </c>
      <c r="D571" s="21" t="str">
        <f>IFERROR(__xludf.DUMMYFUNCTION("""COMPUTED_VALUE"""),"DIVIDEND")</f>
        <v>DIVIDEND</v>
      </c>
      <c r="E571" s="5"/>
      <c r="F571" s="5"/>
      <c r="G571" s="10">
        <f>IFERROR(__xludf.DUMMYFUNCTION("""COMPUTED_VALUE"""),4867.15)</f>
        <v>4867.15</v>
      </c>
    </row>
    <row r="572">
      <c r="A572" s="24">
        <f>IFERROR(__xludf.DUMMYFUNCTION("""COMPUTED_VALUE"""),43462.0)</f>
        <v>43462</v>
      </c>
      <c r="B572" s="5" t="str">
        <f>IFERROR(__xludf.DUMMYFUNCTION("""COMPUTED_VALUE"""),"Long term US bonds (20-25 year)")</f>
        <v>Long term US bonds (20-25 year)</v>
      </c>
      <c r="C572" s="5" t="str">
        <f>IFERROR(__xludf.DUMMYFUNCTION("""COMPUTED_VALUE"""),"iShares Treasury Bond 20+ UCITS USD Dist")</f>
        <v>iShares Treasury Bond 20+ UCITS USD Dist</v>
      </c>
      <c r="D572" s="21" t="str">
        <f>IFERROR(__xludf.DUMMYFUNCTION("""COMPUTED_VALUE"""),"DIVIDEND")</f>
        <v>DIVIDEND</v>
      </c>
      <c r="E572" s="5"/>
      <c r="F572" s="5"/>
      <c r="G572" s="10">
        <f>IFERROR(__xludf.DUMMYFUNCTION("""COMPUTED_VALUE"""),-618.49)</f>
        <v>-618.49</v>
      </c>
    </row>
    <row r="573">
      <c r="A573" s="24">
        <f>IFERROR(__xludf.DUMMYFUNCTION("""COMPUTED_VALUE"""),43461.0)</f>
        <v>43461</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IFERROR(__xludf.DUMMYFUNCTION("""COMPUTED_VALUE"""),"SELL")</f>
        <v>SELL</v>
      </c>
      <c r="E573" s="21">
        <f>IFERROR(__xludf.DUMMYFUNCTION("""COMPUTED_VALUE"""),-2.0)</f>
        <v>-2</v>
      </c>
      <c r="F573" s="25">
        <f>IFERROR(__xludf.DUMMYFUNCTION("""COMPUTED_VALUE"""),166.98)</f>
        <v>166.98</v>
      </c>
      <c r="G573" s="10">
        <f>IFERROR(__xludf.DUMMYFUNCTION("""COMPUTED_VALUE"""),333.96)</f>
        <v>333.96</v>
      </c>
    </row>
    <row r="574">
      <c r="A574" s="24">
        <f>IFERROR(__xludf.DUMMYFUNCTION("""COMPUTED_VALUE"""),43461.0)</f>
        <v>43461</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IFERROR(__xludf.DUMMYFUNCTION("""COMPUTED_VALUE"""),"SELL")</f>
        <v>SELL</v>
      </c>
      <c r="E574" s="21">
        <f>IFERROR(__xludf.DUMMYFUNCTION("""COMPUTED_VALUE"""),-5.0)</f>
        <v>-5</v>
      </c>
      <c r="F574" s="25">
        <f>IFERROR(__xludf.DUMMYFUNCTION("""COMPUTED_VALUE"""),166.98)</f>
        <v>166.98</v>
      </c>
      <c r="G574" s="10">
        <f>IFERROR(__xludf.DUMMYFUNCTION("""COMPUTED_VALUE"""),834.9)</f>
        <v>834.9</v>
      </c>
    </row>
    <row r="575">
      <c r="A575" s="24">
        <f>IFERROR(__xludf.DUMMYFUNCTION("""COMPUTED_VALUE"""),43461.0)</f>
        <v>43461</v>
      </c>
      <c r="B575" s="5" t="str">
        <f>IFERROR(__xludf.DUMMYFUNCTION("""COMPUTED_VALUE"""),"Intermediate US bonds (7-10 year)")</f>
        <v>Intermediate US bonds (7-10 year)</v>
      </c>
      <c r="C575" s="5" t="str">
        <f>IFERROR(__xludf.DUMMYFUNCTION("""COMPUTED_VALUE"""),"iShares Treasury Bond 7-10 UCITS")</f>
        <v>iShares Treasury Bond 7-10 UCITS</v>
      </c>
      <c r="D575" s="5" t="str">
        <f>IFERROR(__xludf.DUMMYFUNCTION("""COMPUTED_VALUE"""),"SELL")</f>
        <v>SELL</v>
      </c>
      <c r="E575" s="21">
        <f>IFERROR(__xludf.DUMMYFUNCTION("""COMPUTED_VALUE"""),-9.0)</f>
        <v>-9</v>
      </c>
      <c r="F575" s="25">
        <f>IFERROR(__xludf.DUMMYFUNCTION("""COMPUTED_VALUE"""),166.95)</f>
        <v>166.95</v>
      </c>
      <c r="G575" s="10">
        <f>IFERROR(__xludf.DUMMYFUNCTION("""COMPUTED_VALUE"""),1502.55)</f>
        <v>1502.55</v>
      </c>
    </row>
    <row r="576">
      <c r="A576" s="24">
        <f>IFERROR(__xludf.DUMMYFUNCTION("""COMPUTED_VALUE"""),43461.0)</f>
        <v>43461</v>
      </c>
      <c r="B576" s="5" t="str">
        <f>IFERROR(__xludf.DUMMYFUNCTION("""COMPUTED_VALUE"""),"Gold")</f>
        <v>Gold</v>
      </c>
      <c r="C576" s="5" t="str">
        <f>IFERROR(__xludf.DUMMYFUNCTION("""COMPUTED_VALUE"""),"ETFS Physical Gold")</f>
        <v>ETFS Physical Gold</v>
      </c>
      <c r="D576" s="5" t="str">
        <f>IFERROR(__xludf.DUMMYFUNCTION("""COMPUTED_VALUE"""),"SELL")</f>
        <v>SELL</v>
      </c>
      <c r="E576" s="21">
        <f>IFERROR(__xludf.DUMMYFUNCTION("""COMPUTED_VALUE"""),-11.0)</f>
        <v>-11</v>
      </c>
      <c r="F576" s="25">
        <f>IFERROR(__xludf.DUMMYFUNCTION("""COMPUTED_VALUE"""),106.6)</f>
        <v>106.6</v>
      </c>
      <c r="G576" s="10">
        <f>IFERROR(__xludf.DUMMYFUNCTION("""COMPUTED_VALUE"""),1172.6)</f>
        <v>1172.6</v>
      </c>
    </row>
    <row r="577">
      <c r="A577" s="24">
        <f>IFERROR(__xludf.DUMMYFUNCTION("""COMPUTED_VALUE"""),43461.0)</f>
        <v>43461</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IFERROR(__xludf.DUMMYFUNCTION("""COMPUTED_VALUE"""),"COST")</f>
        <v>COST</v>
      </c>
      <c r="E577" s="5"/>
      <c r="F577" s="25" t="str">
        <f>IFERROR(__xludf.DUMMYFUNCTION("""COMPUTED_VALUE"""),"")</f>
        <v/>
      </c>
      <c r="G577" s="10">
        <f>IFERROR(__xludf.DUMMYFUNCTION("""COMPUTED_VALUE"""),-2.28)</f>
        <v>-2.28</v>
      </c>
    </row>
    <row r="578">
      <c r="A578" s="24">
        <f>IFERROR(__xludf.DUMMYFUNCTION("""COMPUTED_VALUE"""),43461.0)</f>
        <v>43461</v>
      </c>
      <c r="B578" s="5" t="str">
        <f>IFERROR(__xludf.DUMMYFUNCTION("""COMPUTED_VALUE"""),"Long term US bonds (20-25 year)")</f>
        <v>Long term US bonds (20-25 year)</v>
      </c>
      <c r="C578" s="5" t="str">
        <f>IFERROR(__xludf.DUMMYFUNCTION("""COMPUTED_VALUE"""),"iShares Treasury Bond 20+ UCITS USD Dist")</f>
        <v>iShares Treasury Bond 20+ UCITS USD Dist</v>
      </c>
      <c r="D578" s="5" t="str">
        <f>IFERROR(__xludf.DUMMYFUNCTION("""COMPUTED_VALUE"""),"SELL")</f>
        <v>SELL</v>
      </c>
      <c r="E578" s="21">
        <f>IFERROR(__xludf.DUMMYFUNCTION("""COMPUTED_VALUE"""),-355.0)</f>
        <v>-355</v>
      </c>
      <c r="F578" s="25">
        <f>IFERROR(__xludf.DUMMYFUNCTION("""COMPUTED_VALUE"""),3.958028169014084)</f>
        <v>3.958028169</v>
      </c>
      <c r="G578" s="10">
        <f>IFERROR(__xludf.DUMMYFUNCTION("""COMPUTED_VALUE"""),1405.1)</f>
        <v>1405.1</v>
      </c>
    </row>
    <row r="579">
      <c r="A579" s="24">
        <f>IFERROR(__xludf.DUMMYFUNCTION("""COMPUTED_VALUE"""),43461.0)</f>
        <v>43461</v>
      </c>
      <c r="B579" s="5" t="str">
        <f>IFERROR(__xludf.DUMMYFUNCTION("""COMPUTED_VALUE"""),"Long term US bonds (20-25 year)")</f>
        <v>Long term US bonds (20-25 year)</v>
      </c>
      <c r="C579" s="5" t="str">
        <f>IFERROR(__xludf.DUMMYFUNCTION("""COMPUTED_VALUE"""),"iShares Treasury Bond 20+ UCITS USD Dist")</f>
        <v>iShares Treasury Bond 20+ UCITS USD Dist</v>
      </c>
      <c r="D579" s="5" t="str">
        <f>IFERROR(__xludf.DUMMYFUNCTION("""COMPUTED_VALUE"""),"COST")</f>
        <v>COST</v>
      </c>
      <c r="E579" s="5"/>
      <c r="F579" s="25" t="str">
        <f>IFERROR(__xludf.DUMMYFUNCTION("""COMPUTED_VALUE"""),"")</f>
        <v/>
      </c>
      <c r="G579" s="10">
        <f>IFERROR(__xludf.DUMMYFUNCTION("""COMPUTED_VALUE"""),-0.55)</f>
        <v>-0.55</v>
      </c>
    </row>
    <row r="580">
      <c r="A580" s="24">
        <f>IFERROR(__xludf.DUMMYFUNCTION("""COMPUTED_VALUE"""),43461.0)</f>
        <v>43461</v>
      </c>
      <c r="B580" s="5" t="str">
        <f>IFERROR(__xludf.DUMMYFUNCTION("""COMPUTED_VALUE"""),"Long term US bonds (20-25 year)")</f>
        <v>Long term US bonds (20-25 year)</v>
      </c>
      <c r="C580" s="5" t="str">
        <f>IFERROR(__xludf.DUMMYFUNCTION("""COMPUTED_VALUE"""),"iShares Treasury Bond 20+ UCITS USD Dist")</f>
        <v>iShares Treasury Bond 20+ UCITS USD Dist</v>
      </c>
      <c r="D580" s="5" t="str">
        <f>IFERROR(__xludf.DUMMYFUNCTION("""COMPUTED_VALUE"""),"SELL")</f>
        <v>SELL</v>
      </c>
      <c r="E580" s="21">
        <f>IFERROR(__xludf.DUMMYFUNCTION("""COMPUTED_VALUE"""),-691.0)</f>
        <v>-691</v>
      </c>
      <c r="F580" s="25">
        <f>IFERROR(__xludf.DUMMYFUNCTION("""COMPUTED_VALUE"""),3.9557742402315488)</f>
        <v>3.95577424</v>
      </c>
      <c r="G580" s="10">
        <f>IFERROR(__xludf.DUMMYFUNCTION("""COMPUTED_VALUE"""),2733.44)</f>
        <v>2733.44</v>
      </c>
    </row>
    <row r="581">
      <c r="A581" s="24">
        <f>IFERROR(__xludf.DUMMYFUNCTION("""COMPUTED_VALUE"""),43455.0)</f>
        <v>43455</v>
      </c>
      <c r="B581" s="5" t="str">
        <f>IFERROR(__xludf.DUMMYFUNCTION("""COMPUTED_VALUE"""),"Gold")</f>
        <v>Gold</v>
      </c>
      <c r="C581" s="5" t="str">
        <f>IFERROR(__xludf.DUMMYFUNCTION("""COMPUTED_VALUE"""),"ETFS Physical Gold")</f>
        <v>ETFS Physical Gold</v>
      </c>
      <c r="D581" s="5" t="str">
        <f>IFERROR(__xludf.DUMMYFUNCTION("""COMPUTED_VALUE"""),"SELL")</f>
        <v>SELL</v>
      </c>
      <c r="E581" s="21">
        <f>IFERROR(__xludf.DUMMYFUNCTION("""COMPUTED_VALUE"""),-10.0)</f>
        <v>-10</v>
      </c>
      <c r="F581" s="25">
        <f>IFERROR(__xludf.DUMMYFUNCTION("""COMPUTED_VALUE"""),105.65)</f>
        <v>105.65</v>
      </c>
      <c r="G581" s="10">
        <f>IFERROR(__xludf.DUMMYFUNCTION("""COMPUTED_VALUE"""),1056.5)</f>
        <v>1056.5</v>
      </c>
    </row>
    <row r="582">
      <c r="A582" s="24">
        <f>IFERROR(__xludf.DUMMYFUNCTION("""COMPUTED_VALUE"""),43455.0)</f>
        <v>43455</v>
      </c>
      <c r="B582" s="5" t="str">
        <f>IFERROR(__xludf.DUMMYFUNCTION("""COMPUTED_VALUE"""),"Intermediate US bonds (7-10 year)")</f>
        <v>Intermediate US bonds (7-10 year)</v>
      </c>
      <c r="C582" s="5" t="str">
        <f>IFERROR(__xludf.DUMMYFUNCTION("""COMPUTED_VALUE"""),"iShares Treasury Bond 7-10 UCITS")</f>
        <v>iShares Treasury Bond 7-10 UCITS</v>
      </c>
      <c r="D582" s="5" t="str">
        <f>IFERROR(__xludf.DUMMYFUNCTION("""COMPUTED_VALUE"""),"SELL")</f>
        <v>SELL</v>
      </c>
      <c r="E582" s="21">
        <f>IFERROR(__xludf.DUMMYFUNCTION("""COMPUTED_VALUE"""),-10.0)</f>
        <v>-10</v>
      </c>
      <c r="F582" s="25">
        <f>IFERROR(__xludf.DUMMYFUNCTION("""COMPUTED_VALUE"""),166.55)</f>
        <v>166.55</v>
      </c>
      <c r="G582" s="10">
        <f>IFERROR(__xludf.DUMMYFUNCTION("""COMPUTED_VALUE"""),1665.5)</f>
        <v>1665.5</v>
      </c>
    </row>
    <row r="583">
      <c r="A583" s="24">
        <f>IFERROR(__xludf.DUMMYFUNCTION("""COMPUTED_VALUE"""),43454.0)</f>
        <v>43454</v>
      </c>
      <c r="B583" s="5" t="str">
        <f>IFERROR(__xludf.DUMMYFUNCTION("""COMPUTED_VALUE"""),"Stocks")</f>
        <v>Stocks</v>
      </c>
      <c r="C583" s="5" t="str">
        <f>IFERROR(__xludf.DUMMYFUNCTION("""COMPUTED_VALUE"""),"Vanguard S&amp;P 500 UCITS")</f>
        <v>Vanguard S&amp;P 500 UCITS</v>
      </c>
      <c r="D583" s="5" t="str">
        <f>IFERROR(__xludf.DUMMYFUNCTION("""COMPUTED_VALUE"""),"BUY")</f>
        <v>BUY</v>
      </c>
      <c r="E583" s="21">
        <f>IFERROR(__xludf.DUMMYFUNCTION("""COMPUTED_VALUE"""),100.0)</f>
        <v>100</v>
      </c>
      <c r="F583" s="25">
        <f>IFERROR(__xludf.DUMMYFUNCTION("""COMPUTED_VALUE"""),41.63)</f>
        <v>41.63</v>
      </c>
      <c r="G583" s="10">
        <f>IFERROR(__xludf.DUMMYFUNCTION("""COMPUTED_VALUE"""),-4163.0)</f>
        <v>-4163</v>
      </c>
    </row>
    <row r="584">
      <c r="A584" s="24">
        <f>IFERROR(__xludf.DUMMYFUNCTION("""COMPUTED_VALUE"""),43454.0)</f>
        <v>43454</v>
      </c>
      <c r="B584" s="5" t="str">
        <f>IFERROR(__xludf.DUMMYFUNCTION("""COMPUTED_VALUE"""),"Stocks")</f>
        <v>Stocks</v>
      </c>
      <c r="C584" s="5" t="str">
        <f>IFERROR(__xludf.DUMMYFUNCTION("""COMPUTED_VALUE"""),"Vanguard S&amp;P 500 UCITS")</f>
        <v>Vanguard S&amp;P 500 UCITS</v>
      </c>
      <c r="D584" s="5" t="str">
        <f>IFERROR(__xludf.DUMMYFUNCTION("""COMPUTED_VALUE"""),"COST")</f>
        <v>COST</v>
      </c>
      <c r="E584" s="5"/>
      <c r="F584" s="5"/>
      <c r="G584" s="10">
        <f>IFERROR(__xludf.DUMMYFUNCTION("""COMPUTED_VALUE"""),-2.83)</f>
        <v>-2.83</v>
      </c>
    </row>
    <row r="585">
      <c r="A585" s="24">
        <f>IFERROR(__xludf.DUMMYFUNCTION("""COMPUTED_VALUE"""),43454.0)</f>
        <v>43454</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IFERROR(__xludf.DUMMYFUNCTION("""COMPUTED_VALUE"""),"COST")</f>
        <v>COST</v>
      </c>
      <c r="E585" s="5"/>
      <c r="F585" s="5"/>
      <c r="G585" s="10">
        <f>IFERROR(__xludf.DUMMYFUNCTION("""COMPUTED_VALUE"""),-2.43)</f>
        <v>-2.43</v>
      </c>
    </row>
    <row r="586">
      <c r="A586" s="24">
        <f>IFERROR(__xludf.DUMMYFUNCTION("""COMPUTED_VALUE"""),43454.0)</f>
        <v>43454</v>
      </c>
      <c r="B586" s="5" t="str">
        <f>IFERROR(__xludf.DUMMYFUNCTION("""COMPUTED_VALUE"""),"Long term US bonds (20-25 year)")</f>
        <v>Long term US bonds (20-25 year)</v>
      </c>
      <c r="C586" s="5" t="str">
        <f>IFERROR(__xludf.DUMMYFUNCTION("""COMPUTED_VALUE"""),"iShares Treasury Bond 20+ UCITS USD Dist")</f>
        <v>iShares Treasury Bond 20+ UCITS USD Dist</v>
      </c>
      <c r="D586" s="5" t="str">
        <f>IFERROR(__xludf.DUMMYFUNCTION("""COMPUTED_VALUE"""),"SELL")</f>
        <v>SELL</v>
      </c>
      <c r="E586" s="21">
        <f>IFERROR(__xludf.DUMMYFUNCTION("""COMPUTED_VALUE"""),-544.0)</f>
        <v>-544</v>
      </c>
      <c r="F586" s="25">
        <f>IFERROR(__xludf.DUMMYFUNCTION("""COMPUTED_VALUE"""),3.971)</f>
        <v>3.971</v>
      </c>
      <c r="G586" s="10">
        <f>IFERROR(__xludf.DUMMYFUNCTION("""COMPUTED_VALUE"""),2160.24)</f>
        <v>2160.24</v>
      </c>
    </row>
    <row r="587">
      <c r="A587" s="24">
        <f>IFERROR(__xludf.DUMMYFUNCTION("""COMPUTED_VALUE"""),43454.0)</f>
        <v>43454</v>
      </c>
      <c r="B587" s="5" t="str">
        <f>IFERROR(__xludf.DUMMYFUNCTION("""COMPUTED_VALUE"""),"Long term US bonds (20-25 year)")</f>
        <v>Long term US bonds (20-25 year)</v>
      </c>
      <c r="C587" s="5" t="str">
        <f>IFERROR(__xludf.DUMMYFUNCTION("""COMPUTED_VALUE"""),"iShares Treasury Bond 20+ UCITS USD Dist")</f>
        <v>iShares Treasury Bond 20+ UCITS USD Dist</v>
      </c>
      <c r="D587" s="5" t="str">
        <f>IFERROR(__xludf.DUMMYFUNCTION("""COMPUTED_VALUE"""),"COST")</f>
        <v>COST</v>
      </c>
      <c r="E587" s="5"/>
      <c r="F587" s="5"/>
      <c r="G587" s="10">
        <f>IFERROR(__xludf.DUMMYFUNCTION("""COMPUTED_VALUE"""),-3.41)</f>
        <v>-3.41</v>
      </c>
    </row>
    <row r="588">
      <c r="A588" s="24">
        <f>IFERROR(__xludf.DUMMYFUNCTION("""COMPUTED_VALUE"""),43454.0)</f>
        <v>43454</v>
      </c>
      <c r="B588" s="5" t="str">
        <f>IFERROR(__xludf.DUMMYFUNCTION("""COMPUTED_VALUE"""),"Long term US bonds (20-25 year)")</f>
        <v>Long term US bonds (20-25 year)</v>
      </c>
      <c r="C588" s="5" t="str">
        <f>IFERROR(__xludf.DUMMYFUNCTION("""COMPUTED_VALUE"""),"iShares Treasury Bond 20+ UCITS USD Dist")</f>
        <v>iShares Treasury Bond 20+ UCITS USD Dist</v>
      </c>
      <c r="D588" s="5" t="str">
        <f>IFERROR(__xludf.DUMMYFUNCTION("""COMPUTED_VALUE"""),"SELL")</f>
        <v>SELL</v>
      </c>
      <c r="E588" s="21">
        <f>IFERROR(__xludf.DUMMYFUNCTION("""COMPUTED_VALUE"""),-1760.0)</f>
        <v>-1760</v>
      </c>
      <c r="F588" s="25">
        <f>IFERROR(__xludf.DUMMYFUNCTION("""COMPUTED_VALUE"""),3.985)</f>
        <v>3.985</v>
      </c>
      <c r="G588" s="10">
        <f>IFERROR(__xludf.DUMMYFUNCTION("""COMPUTED_VALUE"""),7013.08)</f>
        <v>7013.08</v>
      </c>
    </row>
    <row r="589">
      <c r="A589" s="24">
        <f>IFERROR(__xludf.DUMMYFUNCTION("""COMPUTED_VALUE"""),43453.0)</f>
        <v>43453</v>
      </c>
      <c r="B589" s="5" t="str">
        <f>IFERROR(__xludf.DUMMYFUNCTION("""COMPUTED_VALUE"""),"Long term US bonds (20-25 year)")</f>
        <v>Long term US bonds (20-25 year)</v>
      </c>
      <c r="C589" s="5" t="str">
        <f>IFERROR(__xludf.DUMMYFUNCTION("""COMPUTED_VALUE"""),"iShares Treasury Bond 20+ UCITS USD Dist")</f>
        <v>iShares Treasury Bond 20+ UCITS USD Dist</v>
      </c>
      <c r="D589" s="5" t="str">
        <f>IFERROR(__xludf.DUMMYFUNCTION("""COMPUTED_VALUE"""),"COST")</f>
        <v>COST</v>
      </c>
      <c r="E589" s="5"/>
      <c r="F589" s="5"/>
      <c r="G589" s="10">
        <f>IFERROR(__xludf.DUMMYFUNCTION("""COMPUTED_VALUE"""),-2.92)</f>
        <v>-2.92</v>
      </c>
    </row>
    <row r="590">
      <c r="A590" s="24">
        <f>IFERROR(__xludf.DUMMYFUNCTION("""COMPUTED_VALUE"""),43453.0)</f>
        <v>43453</v>
      </c>
      <c r="B590" s="5" t="str">
        <f>IFERROR(__xludf.DUMMYFUNCTION("""COMPUTED_VALUE"""),"Long term US bonds (20-25 year)")</f>
        <v>Long term US bonds (20-25 year)</v>
      </c>
      <c r="C590" s="5" t="str">
        <f>IFERROR(__xludf.DUMMYFUNCTION("""COMPUTED_VALUE"""),"iShares Treasury Bond 20+ UCITS USD Dist")</f>
        <v>iShares Treasury Bond 20+ UCITS USD Dist</v>
      </c>
      <c r="D590" s="5" t="str">
        <f>IFERROR(__xludf.DUMMYFUNCTION("""COMPUTED_VALUE"""),"SELL")</f>
        <v>SELL</v>
      </c>
      <c r="E590" s="21">
        <f>IFERROR(__xludf.DUMMYFUNCTION("""COMPUTED_VALUE"""),-1177.0)</f>
        <v>-1177</v>
      </c>
      <c r="F590" s="25">
        <f>IFERROR(__xludf.DUMMYFUNCTION("""COMPUTED_VALUE"""),3.919)</f>
        <v>3.919</v>
      </c>
      <c r="G590" s="10">
        <f>IFERROR(__xludf.DUMMYFUNCTION("""COMPUTED_VALUE"""),4613.0)</f>
        <v>4613</v>
      </c>
    </row>
    <row r="591">
      <c r="A591" s="24">
        <f>IFERROR(__xludf.DUMMYFUNCTION("""COMPUTED_VALUE"""),43452.0)</f>
        <v>43452</v>
      </c>
      <c r="B591" s="5" t="str">
        <f>IFERROR(__xludf.DUMMYFUNCTION("""COMPUTED_VALUE"""),"Intermediate US bonds (7-10 year)")</f>
        <v>Intermediate US bonds (7-10 year)</v>
      </c>
      <c r="C591" s="5" t="str">
        <f>IFERROR(__xludf.DUMMYFUNCTION("""COMPUTED_VALUE"""),"iShares Treasury Bond 7-10 UCITS")</f>
        <v>iShares Treasury Bond 7-10 UCITS</v>
      </c>
      <c r="D591" s="5" t="str">
        <f>IFERROR(__xludf.DUMMYFUNCTION("""COMPUTED_VALUE"""),"SELL")</f>
        <v>SELL</v>
      </c>
      <c r="E591" s="5">
        <f>IFERROR(__xludf.DUMMYFUNCTION("""COMPUTED_VALUE"""),-15.0)</f>
        <v>-15</v>
      </c>
      <c r="F591" s="25">
        <f>IFERROR(__xludf.DUMMYFUNCTION("""COMPUTED_VALUE"""),166.3)</f>
        <v>166.3</v>
      </c>
      <c r="G591" s="10">
        <f>IFERROR(__xludf.DUMMYFUNCTION("""COMPUTED_VALUE"""),2494.5)</f>
        <v>2494.5</v>
      </c>
    </row>
    <row r="592">
      <c r="A592" s="24">
        <f>IFERROR(__xludf.DUMMYFUNCTION("""COMPUTED_VALUE"""),43452.0)</f>
        <v>43452</v>
      </c>
      <c r="B592" s="5" t="str">
        <f>IFERROR(__xludf.DUMMYFUNCTION("""COMPUTED_VALUE"""),"Gold")</f>
        <v>Gold</v>
      </c>
      <c r="C592" s="5" t="str">
        <f>IFERROR(__xludf.DUMMYFUNCTION("""COMPUTED_VALUE"""),"ETFS Physical Gold")</f>
        <v>ETFS Physical Gold</v>
      </c>
      <c r="D592" s="5" t="str">
        <f>IFERROR(__xludf.DUMMYFUNCTION("""COMPUTED_VALUE"""),"SELL")</f>
        <v>SELL</v>
      </c>
      <c r="E592" s="5">
        <f>IFERROR(__xludf.DUMMYFUNCTION("""COMPUTED_VALUE"""),-10.0)</f>
        <v>-10</v>
      </c>
      <c r="F592" s="25">
        <f>IFERROR(__xludf.DUMMYFUNCTION("""COMPUTED_VALUE"""),104.83)</f>
        <v>104.83</v>
      </c>
      <c r="G592" s="10">
        <f>IFERROR(__xludf.DUMMYFUNCTION("""COMPUTED_VALUE"""),1048.3)</f>
        <v>1048.3</v>
      </c>
    </row>
    <row r="593">
      <c r="A593" s="24">
        <f>IFERROR(__xludf.DUMMYFUNCTION("""COMPUTED_VALUE"""),43451.0)</f>
        <v>43451</v>
      </c>
      <c r="B593" s="5" t="str">
        <f>IFERROR(__xludf.DUMMYFUNCTION("""COMPUTED_VALUE"""),"Stocks")</f>
        <v>Stocks</v>
      </c>
      <c r="C593" s="5" t="str">
        <f>IFERROR(__xludf.DUMMYFUNCTION("""COMPUTED_VALUE"""),"Vanguard S&amp;P 500 UCITS")</f>
        <v>Vanguard S&amp;P 500 UCITS</v>
      </c>
      <c r="D593" s="21" t="str">
        <f>IFERROR(__xludf.DUMMYFUNCTION("""COMPUTED_VALUE"""),"BUY")</f>
        <v>BUY</v>
      </c>
      <c r="E593" s="21">
        <f>IFERROR(__xludf.DUMMYFUNCTION("""COMPUTED_VALUE"""),48.0)</f>
        <v>48</v>
      </c>
      <c r="F593" s="25">
        <f>IFERROR(__xludf.DUMMYFUNCTION("""COMPUTED_VALUE"""),43.36)</f>
        <v>43.36</v>
      </c>
      <c r="G593" s="10">
        <f>IFERROR(__xludf.DUMMYFUNCTION("""COMPUTED_VALUE"""),-2081.28)</f>
        <v>-2081.28</v>
      </c>
    </row>
    <row r="594">
      <c r="A594" s="24">
        <f>IFERROR(__xludf.DUMMYFUNCTION("""COMPUTED_VALUE"""),43451.0)</f>
        <v>43451</v>
      </c>
      <c r="B594" s="5" t="str">
        <f>IFERROR(__xludf.DUMMYFUNCTION("""COMPUTED_VALUE"""),"Stocks")</f>
        <v>Stocks</v>
      </c>
      <c r="C594" s="5" t="str">
        <f>IFERROR(__xludf.DUMMYFUNCTION("""COMPUTED_VALUE"""),"Vanguard S&amp;P 500 UCITS")</f>
        <v>Vanguard S&amp;P 500 UCITS</v>
      </c>
      <c r="D594" s="21" t="str">
        <f>IFERROR(__xludf.DUMMYFUNCTION("""COMPUTED_VALUE"""),"COST")</f>
        <v>COST</v>
      </c>
      <c r="E594" s="5"/>
      <c r="F594" s="5"/>
      <c r="G594" s="10">
        <f>IFERROR(__xludf.DUMMYFUNCTION("""COMPUTED_VALUE"""),-2.42)</f>
        <v>-2.42</v>
      </c>
    </row>
    <row r="595">
      <c r="A595" s="24">
        <f>IFERROR(__xludf.DUMMYFUNCTION("""COMPUTED_VALUE"""),43451.0)</f>
        <v>43451</v>
      </c>
      <c r="B595" s="5" t="str">
        <f>IFERROR(__xludf.DUMMYFUNCTION("""COMPUTED_VALUE"""),"Stocks")</f>
        <v>Stocks</v>
      </c>
      <c r="C595" s="5" t="str">
        <f>IFERROR(__xludf.DUMMYFUNCTION("""COMPUTED_VALUE"""),"Vanguard S&amp;P 500 UCITS")</f>
        <v>Vanguard S&amp;P 500 UCITS</v>
      </c>
      <c r="D595" s="21" t="str">
        <f>IFERROR(__xludf.DUMMYFUNCTION("""COMPUTED_VALUE"""),"BUY")</f>
        <v>BUY</v>
      </c>
      <c r="E595" s="21">
        <f>IFERROR(__xludf.DUMMYFUNCTION("""COMPUTED_VALUE"""),60.0)</f>
        <v>60</v>
      </c>
      <c r="F595" s="25">
        <f>IFERROR(__xludf.DUMMYFUNCTION("""COMPUTED_VALUE"""),43.37)</f>
        <v>43.37</v>
      </c>
      <c r="G595" s="10">
        <f>IFERROR(__xludf.DUMMYFUNCTION("""COMPUTED_VALUE"""),-2602.2)</f>
        <v>-2602.2</v>
      </c>
    </row>
    <row r="596">
      <c r="A596" s="24">
        <f>IFERROR(__xludf.DUMMYFUNCTION("""COMPUTED_VALUE"""),43451.0)</f>
        <v>43451</v>
      </c>
      <c r="B596" s="5" t="str">
        <f>IFERROR(__xludf.DUMMYFUNCTION("""COMPUTED_VALUE"""),"Stocks")</f>
        <v>Stocks</v>
      </c>
      <c r="C596" s="5" t="str">
        <f>IFERROR(__xludf.DUMMYFUNCTION("""COMPUTED_VALUE"""),"Vanguard S&amp;P 500 UCITS")</f>
        <v>Vanguard S&amp;P 500 UCITS</v>
      </c>
      <c r="D596" s="21" t="str">
        <f>IFERROR(__xludf.DUMMYFUNCTION("""COMPUTED_VALUE"""),"COST")</f>
        <v>COST</v>
      </c>
      <c r="E596" s="5"/>
      <c r="F596" s="5"/>
      <c r="G596" s="10">
        <f>IFERROR(__xludf.DUMMYFUNCTION("""COMPUTED_VALUE"""),-2.52)</f>
        <v>-2.52</v>
      </c>
    </row>
    <row r="597">
      <c r="A597" s="24">
        <f>IFERROR(__xludf.DUMMYFUNCTION("""COMPUTED_VALUE"""),43451.0)</f>
        <v>43451</v>
      </c>
      <c r="B597" s="5" t="str">
        <f>IFERROR(__xludf.DUMMYFUNCTION("""COMPUTED_VALUE"""),"Stocks")</f>
        <v>Stocks</v>
      </c>
      <c r="C597" s="5" t="str">
        <f>IFERROR(__xludf.DUMMYFUNCTION("""COMPUTED_VALUE"""),"Vanguard S&amp;P 500 UCITS")</f>
        <v>Vanguard S&amp;P 500 UCITS</v>
      </c>
      <c r="D597" s="21" t="str">
        <f>IFERROR(__xludf.DUMMYFUNCTION("""COMPUTED_VALUE"""),"BUY")</f>
        <v>BUY</v>
      </c>
      <c r="E597" s="21">
        <f>IFERROR(__xludf.DUMMYFUNCTION("""COMPUTED_VALUE"""),88.0)</f>
        <v>88</v>
      </c>
      <c r="F597" s="25">
        <f>IFERROR(__xludf.DUMMYFUNCTION("""COMPUTED_VALUE"""),43.7)</f>
        <v>43.7</v>
      </c>
      <c r="G597" s="10">
        <f>IFERROR(__xludf.DUMMYFUNCTION("""COMPUTED_VALUE"""),-3845.6)</f>
        <v>-3845.6</v>
      </c>
    </row>
    <row r="598">
      <c r="A598" s="24">
        <f>IFERROR(__xludf.DUMMYFUNCTION("""COMPUTED_VALUE"""),43451.0)</f>
        <v>43451</v>
      </c>
      <c r="B598" s="5" t="str">
        <f>IFERROR(__xludf.DUMMYFUNCTION("""COMPUTED_VALUE"""),"Stocks")</f>
        <v>Stocks</v>
      </c>
      <c r="C598" s="5" t="str">
        <f>IFERROR(__xludf.DUMMYFUNCTION("""COMPUTED_VALUE"""),"Vanguard S&amp;P 500 UCITS")</f>
        <v>Vanguard S&amp;P 500 UCITS</v>
      </c>
      <c r="D598" s="21" t="str">
        <f>IFERROR(__xludf.DUMMYFUNCTION("""COMPUTED_VALUE"""),"COST")</f>
        <v>COST</v>
      </c>
      <c r="E598" s="5"/>
      <c r="F598" s="5"/>
      <c r="G598" s="10">
        <f>IFERROR(__xludf.DUMMYFUNCTION("""COMPUTED_VALUE"""),-2.77)</f>
        <v>-2.77</v>
      </c>
    </row>
    <row r="599">
      <c r="A599" s="24">
        <f>IFERROR(__xludf.DUMMYFUNCTION("""COMPUTED_VALUE"""),43448.0)</f>
        <v>43448</v>
      </c>
      <c r="B599" s="5" t="str">
        <f>IFERROR(__xludf.DUMMYFUNCTION("""COMPUTED_VALUE"""),"Stocks")</f>
        <v>Stocks</v>
      </c>
      <c r="C599" s="5" t="str">
        <f>IFERROR(__xludf.DUMMYFUNCTION("""COMPUTED_VALUE"""),"Vanguard S&amp;P 500 UCITS")</f>
        <v>Vanguard S&amp;P 500 UCITS</v>
      </c>
      <c r="D599" s="21" t="str">
        <f>IFERROR(__xludf.DUMMYFUNCTION("""COMPUTED_VALUE"""),"SELL")</f>
        <v>SELL</v>
      </c>
      <c r="E599" s="21">
        <f>IFERROR(__xludf.DUMMYFUNCTION("""COMPUTED_VALUE"""),-190.0)</f>
        <v>-190</v>
      </c>
      <c r="F599" s="25">
        <f>IFERROR(__xludf.DUMMYFUNCTION("""COMPUTED_VALUE"""),44.39)</f>
        <v>44.39</v>
      </c>
      <c r="G599" s="10">
        <f>IFERROR(__xludf.DUMMYFUNCTION("""COMPUTED_VALUE"""),8434.1)</f>
        <v>8434.1</v>
      </c>
    </row>
    <row r="600">
      <c r="A600" s="24">
        <f>IFERROR(__xludf.DUMMYFUNCTION("""COMPUTED_VALUE"""),43448.0)</f>
        <v>43448</v>
      </c>
      <c r="B600" s="5" t="str">
        <f>IFERROR(__xludf.DUMMYFUNCTION("""COMPUTED_VALUE"""),"Stocks")</f>
        <v>Stocks</v>
      </c>
      <c r="C600" s="5" t="str">
        <f>IFERROR(__xludf.DUMMYFUNCTION("""COMPUTED_VALUE"""),"Vanguard S&amp;P 500 UCITS")</f>
        <v>Vanguard S&amp;P 500 UCITS</v>
      </c>
      <c r="D600" s="21" t="str">
        <f>IFERROR(__xludf.DUMMYFUNCTION("""COMPUTED_VALUE"""),"COST")</f>
        <v>COST</v>
      </c>
      <c r="E600" s="5"/>
      <c r="F600" s="5"/>
      <c r="G600" s="10">
        <f>IFERROR(__xludf.DUMMYFUNCTION("""COMPUTED_VALUE"""),-3.69)</f>
        <v>-3.69</v>
      </c>
    </row>
    <row r="601">
      <c r="A601" s="24">
        <f>IFERROR(__xludf.DUMMYFUNCTION("""COMPUTED_VALUE"""),43441.0)</f>
        <v>43441</v>
      </c>
      <c r="B601" s="5" t="str">
        <f>IFERROR(__xludf.DUMMYFUNCTION("""COMPUTED_VALUE"""),"Stocks")</f>
        <v>Stocks</v>
      </c>
      <c r="C601" s="5" t="str">
        <f>IFERROR(__xludf.DUMMYFUNCTION("""COMPUTED_VALUE"""),"Vanguard S&amp;P 500 UCITS")</f>
        <v>Vanguard S&amp;P 500 UCITS</v>
      </c>
      <c r="D601" s="21" t="str">
        <f>IFERROR(__xludf.DUMMYFUNCTION("""COMPUTED_VALUE"""),"BUY")</f>
        <v>BUY</v>
      </c>
      <c r="E601" s="21">
        <f>IFERROR(__xludf.DUMMYFUNCTION("""COMPUTED_VALUE"""),91.0)</f>
        <v>91</v>
      </c>
      <c r="F601" s="25">
        <f>IFERROR(__xludf.DUMMYFUNCTION("""COMPUTED_VALUE"""),44.735)</f>
        <v>44.735</v>
      </c>
      <c r="G601" s="10">
        <f>IFERROR(__xludf.DUMMYFUNCTION("""COMPUTED_VALUE"""),-4070.88)</f>
        <v>-4070.88</v>
      </c>
    </row>
    <row r="602">
      <c r="A602" s="24">
        <f>IFERROR(__xludf.DUMMYFUNCTION("""COMPUTED_VALUE"""),43441.0)</f>
        <v>43441</v>
      </c>
      <c r="B602" s="5" t="str">
        <f>IFERROR(__xludf.DUMMYFUNCTION("""COMPUTED_VALUE"""),"Commodities")</f>
        <v>Commodities</v>
      </c>
      <c r="C602" s="5" t="str">
        <f>IFERROR(__xludf.DUMMYFUNCTION("""COMPUTED_VALUE"""),"ETFS All Commodities ETC")</f>
        <v>ETFS All Commodities ETC</v>
      </c>
      <c r="D602" s="21" t="str">
        <f>IFERROR(__xludf.DUMMYFUNCTION("""COMPUTED_VALUE"""),"BUY")</f>
        <v>BUY</v>
      </c>
      <c r="E602" s="21">
        <f>IFERROR(__xludf.DUMMYFUNCTION("""COMPUTED_VALUE"""),255.0)</f>
        <v>255</v>
      </c>
      <c r="F602" s="25">
        <f>IFERROR(__xludf.DUMMYFUNCTION("""COMPUTED_VALUE"""),7.357)</f>
        <v>7.357</v>
      </c>
      <c r="G602" s="10">
        <f>IFERROR(__xludf.DUMMYFUNCTION("""COMPUTED_VALUE"""),-1876.04)</f>
        <v>-1876.04</v>
      </c>
    </row>
    <row r="603">
      <c r="A603" s="24">
        <f>IFERROR(__xludf.DUMMYFUNCTION("""COMPUTED_VALUE"""),43440.0)</f>
        <v>43440</v>
      </c>
      <c r="B603" s="5" t="str">
        <f>IFERROR(__xludf.DUMMYFUNCTION("""COMPUTED_VALUE"""),"Long term US bonds (20-25 year)")</f>
        <v>Long term US bonds (20-25 year)</v>
      </c>
      <c r="C603" s="5" t="str">
        <f>IFERROR(__xludf.DUMMYFUNCTION("""COMPUTED_VALUE"""),"iShares Treasury Bond 20+ UCITS USD Dist")</f>
        <v>iShares Treasury Bond 20+ UCITS USD Dist</v>
      </c>
      <c r="D603" s="21" t="str">
        <f>IFERROR(__xludf.DUMMYFUNCTION("""COMPUTED_VALUE"""),"COST")</f>
        <v>COST</v>
      </c>
      <c r="E603" s="5"/>
      <c r="F603" s="5"/>
      <c r="G603" s="10">
        <f>IFERROR(__xludf.DUMMYFUNCTION("""COMPUTED_VALUE"""),-2.31)</f>
        <v>-2.31</v>
      </c>
    </row>
    <row r="604">
      <c r="A604" s="24">
        <f>IFERROR(__xludf.DUMMYFUNCTION("""COMPUTED_VALUE"""),43440.0)</f>
        <v>43440</v>
      </c>
      <c r="B604" s="5" t="str">
        <f>IFERROR(__xludf.DUMMYFUNCTION("""COMPUTED_VALUE"""),"Long term US bonds (20-25 year)")</f>
        <v>Long term US bonds (20-25 year)</v>
      </c>
      <c r="C604" s="5" t="str">
        <f>IFERROR(__xludf.DUMMYFUNCTION("""COMPUTED_VALUE"""),"iShares Treasury Bond 20+ UCITS USD Dist")</f>
        <v>iShares Treasury Bond 20+ UCITS USD Dist</v>
      </c>
      <c r="D604" s="21" t="str">
        <f>IFERROR(__xludf.DUMMYFUNCTION("""COMPUTED_VALUE"""),"SELL")</f>
        <v>SELL</v>
      </c>
      <c r="E604" s="21">
        <f>IFERROR(__xludf.DUMMYFUNCTION("""COMPUTED_VALUE"""),-392.0)</f>
        <v>-392</v>
      </c>
      <c r="F604" s="25">
        <f>IFERROR(__xludf.DUMMYFUNCTION("""COMPUTED_VALUE"""),3.935)</f>
        <v>3.935</v>
      </c>
      <c r="G604" s="10">
        <f>IFERROR(__xludf.DUMMYFUNCTION("""COMPUTED_VALUE"""),1542.58)</f>
        <v>1542.58</v>
      </c>
    </row>
    <row r="605">
      <c r="A605" s="24">
        <f>IFERROR(__xludf.DUMMYFUNCTION("""COMPUTED_VALUE"""),43440.0)</f>
        <v>43440</v>
      </c>
      <c r="B605" s="5" t="str">
        <f>IFERROR(__xludf.DUMMYFUNCTION("""COMPUTED_VALUE"""),"Stocks")</f>
        <v>Stocks</v>
      </c>
      <c r="C605" s="5" t="str">
        <f>IFERROR(__xludf.DUMMYFUNCTION("""COMPUTED_VALUE"""),"Vanguard S&amp;P 500 UCITS")</f>
        <v>Vanguard S&amp;P 500 UCITS</v>
      </c>
      <c r="D605" s="21" t="str">
        <f>IFERROR(__xludf.DUMMYFUNCTION("""COMPUTED_VALUE"""),"BUY")</f>
        <v>BUY</v>
      </c>
      <c r="E605" s="21">
        <f>IFERROR(__xludf.DUMMYFUNCTION("""COMPUTED_VALUE"""),236.0)</f>
        <v>236</v>
      </c>
      <c r="F605" s="25">
        <f>IFERROR(__xludf.DUMMYFUNCTION("""COMPUTED_VALUE"""),44.578)</f>
        <v>44.578</v>
      </c>
      <c r="G605" s="10">
        <f>IFERROR(__xludf.DUMMYFUNCTION("""COMPUTED_VALUE"""),-10520.4)</f>
        <v>-10520.4</v>
      </c>
    </row>
    <row r="606">
      <c r="A606" s="24">
        <f>IFERROR(__xludf.DUMMYFUNCTION("""COMPUTED_VALUE"""),43438.0)</f>
        <v>43438</v>
      </c>
      <c r="B606" s="5"/>
      <c r="C606" s="5"/>
      <c r="D606" s="21" t="str">
        <f>IFERROR(__xludf.DUMMYFUNCTION("""COMPUTED_VALUE"""),"APPROVISIONNEMENT")</f>
        <v>APPROVISIONNEMENT</v>
      </c>
      <c r="E606" s="5"/>
      <c r="F606" s="5"/>
      <c r="G606" s="10">
        <f>IFERROR(__xludf.DUMMYFUNCTION("""COMPUTED_VALUE"""),-1500.0)</f>
        <v>-1500</v>
      </c>
    </row>
    <row r="607">
      <c r="A607" s="24">
        <f>IFERROR(__xludf.DUMMYFUNCTION("""COMPUTED_VALUE"""),43434.0)</f>
        <v>43434</v>
      </c>
      <c r="B607" s="5"/>
      <c r="C607" s="5"/>
      <c r="D607" s="21" t="str">
        <f>IFERROR(__xludf.DUMMYFUNCTION("""COMPUTED_VALUE"""),"COST")</f>
        <v>COST</v>
      </c>
      <c r="E607" s="5"/>
      <c r="F607" s="5"/>
      <c r="G607" s="10">
        <f>IFERROR(__xludf.DUMMYFUNCTION("""COMPUTED_VALUE"""),-579.07)</f>
        <v>-579.07</v>
      </c>
    </row>
    <row r="608">
      <c r="A608" s="24">
        <f>IFERROR(__xludf.DUMMYFUNCTION("""COMPUTED_VALUE"""),43433.0)</f>
        <v>43433</v>
      </c>
      <c r="B608" s="5" t="str">
        <f>IFERROR(__xludf.DUMMYFUNCTION("""COMPUTED_VALUE"""),"Intermediate US bonds (7-10 year)")</f>
        <v>Intermediate US bonds (7-10 year)</v>
      </c>
      <c r="C608" s="5" t="str">
        <f>IFERROR(__xludf.DUMMYFUNCTION("""COMPUTED_VALUE"""),"iShares Treasury Bond 7-10 UCITS")</f>
        <v>iShares Treasury Bond 7-10 UCITS</v>
      </c>
      <c r="D608" s="21" t="str">
        <f>IFERROR(__xludf.DUMMYFUNCTION("""COMPUTED_VALUE"""),"DIVIDEND")</f>
        <v>DIVIDEND</v>
      </c>
      <c r="E608" s="5"/>
      <c r="F608" s="5"/>
      <c r="G608" s="10">
        <f>IFERROR(__xludf.DUMMYFUNCTION("""COMPUTED_VALUE"""),-204.87)</f>
        <v>-204.87</v>
      </c>
    </row>
    <row r="609">
      <c r="A609" s="24">
        <f>IFERROR(__xludf.DUMMYFUNCTION("""COMPUTED_VALUE"""),43433.0)</f>
        <v>43433</v>
      </c>
      <c r="B609" s="5" t="str">
        <f>IFERROR(__xludf.DUMMYFUNCTION("""COMPUTED_VALUE"""),"Stocks")</f>
        <v>Stocks</v>
      </c>
      <c r="C609" s="5" t="str">
        <f>IFERROR(__xludf.DUMMYFUNCTION("""COMPUTED_VALUE"""),"Vanguard S&amp;P 500 UCITS")</f>
        <v>Vanguard S&amp;P 500 UCITS</v>
      </c>
      <c r="D609" s="21" t="str">
        <f>IFERROR(__xludf.DUMMYFUNCTION("""COMPUTED_VALUE"""),"SELL")</f>
        <v>SELL</v>
      </c>
      <c r="E609" s="21">
        <f>IFERROR(__xludf.DUMMYFUNCTION("""COMPUTED_VALUE"""),-25.0)</f>
        <v>-25</v>
      </c>
      <c r="F609" s="25">
        <f>IFERROR(__xludf.DUMMYFUNCTION("""COMPUTED_VALUE"""),45.7)</f>
        <v>45.7</v>
      </c>
      <c r="G609" s="10">
        <f>IFERROR(__xludf.DUMMYFUNCTION("""COMPUTED_VALUE"""),1142.5)</f>
        <v>1142.5</v>
      </c>
    </row>
    <row r="610">
      <c r="A610" s="24">
        <f>IFERROR(__xludf.DUMMYFUNCTION("""COMPUTED_VALUE"""),43433.0)</f>
        <v>43433</v>
      </c>
      <c r="B610" s="5" t="str">
        <f>IFERROR(__xludf.DUMMYFUNCTION("""COMPUTED_VALUE"""),"Stocks")</f>
        <v>Stocks</v>
      </c>
      <c r="C610" s="5" t="str">
        <f>IFERROR(__xludf.DUMMYFUNCTION("""COMPUTED_VALUE"""),"Vanguard S&amp;P 500 UCITS")</f>
        <v>Vanguard S&amp;P 500 UCITS</v>
      </c>
      <c r="D610" s="21" t="str">
        <f>IFERROR(__xludf.DUMMYFUNCTION("""COMPUTED_VALUE"""),"COST")</f>
        <v>COST</v>
      </c>
      <c r="E610" s="5"/>
      <c r="F610" s="5"/>
      <c r="G610" s="10">
        <f>IFERROR(__xludf.DUMMYFUNCTION("""COMPUTED_VALUE"""),-2.23)</f>
        <v>-2.23</v>
      </c>
    </row>
    <row r="611">
      <c r="A611" s="24">
        <f>IFERROR(__xludf.DUMMYFUNCTION("""COMPUTED_VALUE"""),43432.0)</f>
        <v>43432</v>
      </c>
      <c r="B611" s="5" t="str">
        <f>IFERROR(__xludf.DUMMYFUNCTION("""COMPUTED_VALUE"""),"Intermediate US bonds (7-10 year)")</f>
        <v>Intermediate US bonds (7-10 year)</v>
      </c>
      <c r="C611" s="5" t="str">
        <f>IFERROR(__xludf.DUMMYFUNCTION("""COMPUTED_VALUE"""),"iShares Treasury Bond 7-10 UCITS")</f>
        <v>iShares Treasury Bond 7-10 UCITS</v>
      </c>
      <c r="D611" s="21" t="str">
        <f>IFERROR(__xludf.DUMMYFUNCTION("""COMPUTED_VALUE"""),"DIVIDEND")</f>
        <v>DIVIDEND</v>
      </c>
      <c r="E611" s="5"/>
      <c r="F611" s="5"/>
      <c r="G611" s="10">
        <f>IFERROR(__xludf.DUMMYFUNCTION("""COMPUTED_VALUE"""),1663.14)</f>
        <v>1663.14</v>
      </c>
    </row>
    <row r="612">
      <c r="A612" s="24">
        <f>IFERROR(__xludf.DUMMYFUNCTION("""COMPUTED_VALUE"""),43430.0)</f>
        <v>43430</v>
      </c>
      <c r="B612" s="5" t="str">
        <f>IFERROR(__xludf.DUMMYFUNCTION("""COMPUTED_VALUE"""),"Commodities")</f>
        <v>Commodities</v>
      </c>
      <c r="C612" s="5" t="str">
        <f>IFERROR(__xludf.DUMMYFUNCTION("""COMPUTED_VALUE"""),"ETFS All Commodities ETC")</f>
        <v>ETFS All Commodities ETC</v>
      </c>
      <c r="D612" s="21" t="str">
        <f>IFERROR(__xludf.DUMMYFUNCTION("""COMPUTED_VALUE"""),"BUY")</f>
        <v>BUY</v>
      </c>
      <c r="E612" s="21">
        <f>IFERROR(__xludf.DUMMYFUNCTION("""COMPUTED_VALUE"""),214.0)</f>
        <v>214</v>
      </c>
      <c r="F612" s="25">
        <f>IFERROR(__xludf.DUMMYFUNCTION("""COMPUTED_VALUE"""),7.25)</f>
        <v>7.25</v>
      </c>
      <c r="G612" s="10">
        <f>IFERROR(__xludf.DUMMYFUNCTION("""COMPUTED_VALUE"""),-1551.5)</f>
        <v>-1551.5</v>
      </c>
    </row>
    <row r="613">
      <c r="A613" s="24">
        <f>IFERROR(__xludf.DUMMYFUNCTION("""COMPUTED_VALUE"""),43430.0)</f>
        <v>43430</v>
      </c>
      <c r="B613" s="5" t="str">
        <f>IFERROR(__xludf.DUMMYFUNCTION("""COMPUTED_VALUE"""),"Long term US bonds (20-25 year)")</f>
        <v>Long term US bonds (20-25 year)</v>
      </c>
      <c r="C613" s="5" t="str">
        <f>IFERROR(__xludf.DUMMYFUNCTION("""COMPUTED_VALUE"""),"iShares Treasury Bond 20+ UCITS USD Dist")</f>
        <v>iShares Treasury Bond 20+ UCITS USD Dist</v>
      </c>
      <c r="D613" s="21" t="str">
        <f>IFERROR(__xludf.DUMMYFUNCTION("""COMPUTED_VALUE"""),"COST")</f>
        <v>COST</v>
      </c>
      <c r="E613" s="5"/>
      <c r="F613" s="5"/>
      <c r="G613" s="10">
        <f>IFERROR(__xludf.DUMMYFUNCTION("""COMPUTED_VALUE"""),-2.23)</f>
        <v>-2.23</v>
      </c>
    </row>
    <row r="614">
      <c r="A614" s="24">
        <f>IFERROR(__xludf.DUMMYFUNCTION("""COMPUTED_VALUE"""),43430.0)</f>
        <v>43430</v>
      </c>
      <c r="B614" s="5" t="str">
        <f>IFERROR(__xludf.DUMMYFUNCTION("""COMPUTED_VALUE"""),"Long term US bonds (20-25 year)")</f>
        <v>Long term US bonds (20-25 year)</v>
      </c>
      <c r="C614" s="5" t="str">
        <f>IFERROR(__xludf.DUMMYFUNCTION("""COMPUTED_VALUE"""),"iShares Treasury Bond 20+ UCITS USD Dist")</f>
        <v>iShares Treasury Bond 20+ UCITS USD Dist</v>
      </c>
      <c r="D614" s="21" t="str">
        <f>IFERROR(__xludf.DUMMYFUNCTION("""COMPUTED_VALUE"""),"SELL")</f>
        <v>SELL</v>
      </c>
      <c r="E614" s="21">
        <f>IFERROR(__xludf.DUMMYFUNCTION("""COMPUTED_VALUE"""),-300.0)</f>
        <v>-300</v>
      </c>
      <c r="F614" s="25">
        <f>IFERROR(__xludf.DUMMYFUNCTION("""COMPUTED_VALUE"""),3.819)</f>
        <v>3.819</v>
      </c>
      <c r="G614" s="10">
        <f>IFERROR(__xludf.DUMMYFUNCTION("""COMPUTED_VALUE"""),1145.66)</f>
        <v>1145.66</v>
      </c>
    </row>
    <row r="615">
      <c r="A615" s="24">
        <f>IFERROR(__xludf.DUMMYFUNCTION("""COMPUTED_VALUE"""),43426.0)</f>
        <v>43426</v>
      </c>
      <c r="B615" s="5" t="str">
        <f>IFERROR(__xludf.DUMMYFUNCTION("""COMPUTED_VALUE"""),"Long term US bonds (20-25 year)")</f>
        <v>Long term US bonds (20-25 year)</v>
      </c>
      <c r="C615" s="5" t="str">
        <f>IFERROR(__xludf.DUMMYFUNCTION("""COMPUTED_VALUE"""),"iShares Treasury Bond 20+ UCITS USD Dist")</f>
        <v>iShares Treasury Bond 20+ UCITS USD Dist</v>
      </c>
      <c r="D615" s="21" t="str">
        <f>IFERROR(__xludf.DUMMYFUNCTION("""COMPUTED_VALUE"""),"COST")</f>
        <v>COST</v>
      </c>
      <c r="E615" s="5"/>
      <c r="F615" s="5"/>
      <c r="G615" s="10">
        <f>IFERROR(__xludf.DUMMYFUNCTION("""COMPUTED_VALUE"""),-0.01)</f>
        <v>-0.01</v>
      </c>
    </row>
    <row r="616">
      <c r="A616" s="24">
        <f>IFERROR(__xludf.DUMMYFUNCTION("""COMPUTED_VALUE"""),43426.0)</f>
        <v>43426</v>
      </c>
      <c r="B616" s="5" t="str">
        <f>IFERROR(__xludf.DUMMYFUNCTION("""COMPUTED_VALUE"""),"Long term US bonds (20-25 year)")</f>
        <v>Long term US bonds (20-25 year)</v>
      </c>
      <c r="C616" s="5" t="str">
        <f>IFERROR(__xludf.DUMMYFUNCTION("""COMPUTED_VALUE"""),"iShares Treasury Bond 20+ UCITS USD Dist")</f>
        <v>iShares Treasury Bond 20+ UCITS USD Dist</v>
      </c>
      <c r="D616" s="21" t="str">
        <f>IFERROR(__xludf.DUMMYFUNCTION("""COMPUTED_VALUE"""),"COST")</f>
        <v>COST</v>
      </c>
      <c r="E616" s="5"/>
      <c r="F616" s="5"/>
      <c r="G616" s="10">
        <f>IFERROR(__xludf.DUMMYFUNCTION("""COMPUTED_VALUE"""),-3.37)</f>
        <v>-3.37</v>
      </c>
    </row>
    <row r="617">
      <c r="A617" s="24">
        <f>IFERROR(__xludf.DUMMYFUNCTION("""COMPUTED_VALUE"""),43426.0)</f>
        <v>43426</v>
      </c>
      <c r="B617" s="5" t="str">
        <f>IFERROR(__xludf.DUMMYFUNCTION("""COMPUTED_VALUE"""),"Long term US bonds (20-25 year)")</f>
        <v>Long term US bonds (20-25 year)</v>
      </c>
      <c r="C617" s="5" t="str">
        <f>IFERROR(__xludf.DUMMYFUNCTION("""COMPUTED_VALUE"""),"iShares Treasury Bond 20+ UCITS USD Dist")</f>
        <v>iShares Treasury Bond 20+ UCITS USD Dist</v>
      </c>
      <c r="D617" s="21" t="str">
        <f>IFERROR(__xludf.DUMMYFUNCTION("""COMPUTED_VALUE"""),"SELL")</f>
        <v>SELL</v>
      </c>
      <c r="E617" s="21">
        <f>IFERROR(__xludf.DUMMYFUNCTION("""COMPUTED_VALUE"""),-1798.0)</f>
        <v>-1798</v>
      </c>
      <c r="F617" s="25">
        <f>IFERROR(__xludf.DUMMYFUNCTION("""COMPUTED_VALUE"""),3.797)</f>
        <v>3.797</v>
      </c>
      <c r="G617" s="10">
        <f>IFERROR(__xludf.DUMMYFUNCTION("""COMPUTED_VALUE"""),6827.2)</f>
        <v>6827.2</v>
      </c>
    </row>
    <row r="618">
      <c r="A618" s="24">
        <f>IFERROR(__xludf.DUMMYFUNCTION("""COMPUTED_VALUE"""),43426.0)</f>
        <v>43426</v>
      </c>
      <c r="B618" s="5" t="str">
        <f>IFERROR(__xludf.DUMMYFUNCTION("""COMPUTED_VALUE"""),"Intermediate US bonds (7-10 year)")</f>
        <v>Intermediate US bonds (7-10 year)</v>
      </c>
      <c r="C618" s="5" t="str">
        <f>IFERROR(__xludf.DUMMYFUNCTION("""COMPUTED_VALUE"""),"iShares Treasury Bond 7-10 UCITS")</f>
        <v>iShares Treasury Bond 7-10 UCITS</v>
      </c>
      <c r="D618" s="21" t="str">
        <f>IFERROR(__xludf.DUMMYFUNCTION("""COMPUTED_VALUE"""),"SELL")</f>
        <v>SELL</v>
      </c>
      <c r="E618" s="21">
        <f>IFERROR(__xludf.DUMMYFUNCTION("""COMPUTED_VALUE"""),-7.0)</f>
        <v>-7</v>
      </c>
      <c r="F618" s="25">
        <f>IFERROR(__xludf.DUMMYFUNCTION("""COMPUTED_VALUE"""),162.69)</f>
        <v>162.69</v>
      </c>
      <c r="G618" s="10">
        <f>IFERROR(__xludf.DUMMYFUNCTION("""COMPUTED_VALUE"""),1138.83)</f>
        <v>1138.83</v>
      </c>
    </row>
    <row r="619">
      <c r="A619" s="24">
        <f>IFERROR(__xludf.DUMMYFUNCTION("""COMPUTED_VALUE"""),43426.0)</f>
        <v>43426</v>
      </c>
      <c r="B619" s="5" t="str">
        <f>IFERROR(__xludf.DUMMYFUNCTION("""COMPUTED_VALUE"""),"Intermediate US bonds (7-10 year)")</f>
        <v>Intermediate US bonds (7-10 year)</v>
      </c>
      <c r="C619" s="5" t="str">
        <f>IFERROR(__xludf.DUMMYFUNCTION("""COMPUTED_VALUE"""),"iShares Treasury Bond 7-10 UCITS")</f>
        <v>iShares Treasury Bond 7-10 UCITS</v>
      </c>
      <c r="D619" s="21" t="str">
        <f>IFERROR(__xludf.DUMMYFUNCTION("""COMPUTED_VALUE"""),"COST")</f>
        <v>COST</v>
      </c>
      <c r="E619" s="5"/>
      <c r="F619" s="5"/>
      <c r="G619" s="10">
        <f>IFERROR(__xludf.DUMMYFUNCTION("""COMPUTED_VALUE"""),-2.23)</f>
        <v>-2.23</v>
      </c>
    </row>
    <row r="620">
      <c r="A620" s="24">
        <f>IFERROR(__xludf.DUMMYFUNCTION("""COMPUTED_VALUE"""),43426.0)</f>
        <v>43426</v>
      </c>
      <c r="B620" s="5" t="str">
        <f>IFERROR(__xludf.DUMMYFUNCTION("""COMPUTED_VALUE"""),"Gold")</f>
        <v>Gold</v>
      </c>
      <c r="C620" s="5" t="str">
        <f>IFERROR(__xludf.DUMMYFUNCTION("""COMPUTED_VALUE"""),"ETFS Physical Gold")</f>
        <v>ETFS Physical Gold</v>
      </c>
      <c r="D620" s="21" t="str">
        <f>IFERROR(__xludf.DUMMYFUNCTION("""COMPUTED_VALUE"""),"SELL")</f>
        <v>SELL</v>
      </c>
      <c r="E620" s="21">
        <f>IFERROR(__xludf.DUMMYFUNCTION("""COMPUTED_VALUE"""),-1.0)</f>
        <v>-1</v>
      </c>
      <c r="F620" s="25">
        <f>IFERROR(__xludf.DUMMYFUNCTION("""COMPUTED_VALUE"""),102.84)</f>
        <v>102.84</v>
      </c>
      <c r="G620" s="10">
        <f>IFERROR(__xludf.DUMMYFUNCTION("""COMPUTED_VALUE"""),102.84)</f>
        <v>102.84</v>
      </c>
    </row>
    <row r="621">
      <c r="A621" s="24">
        <f>IFERROR(__xludf.DUMMYFUNCTION("""COMPUTED_VALUE"""),43419.0)</f>
        <v>43419</v>
      </c>
      <c r="B621" s="5" t="str">
        <f>IFERROR(__xludf.DUMMYFUNCTION("""COMPUTED_VALUE"""),"Stocks")</f>
        <v>Stocks</v>
      </c>
      <c r="C621" s="5" t="str">
        <f>IFERROR(__xludf.DUMMYFUNCTION("""COMPUTED_VALUE"""),"Vanguard S&amp;P 500 UCITS")</f>
        <v>Vanguard S&amp;P 500 UCITS</v>
      </c>
      <c r="D621" s="21" t="str">
        <f>IFERROR(__xludf.DUMMYFUNCTION("""COMPUTED_VALUE"""),"BUY")</f>
        <v>BUY</v>
      </c>
      <c r="E621" s="21">
        <f>IFERROR(__xludf.DUMMYFUNCTION("""COMPUTED_VALUE"""),60.0)</f>
        <v>60</v>
      </c>
      <c r="F621" s="25">
        <f>IFERROR(__xludf.DUMMYFUNCTION("""COMPUTED_VALUE"""),45.362)</f>
        <v>45.362</v>
      </c>
      <c r="G621" s="10">
        <f>IFERROR(__xludf.DUMMYFUNCTION("""COMPUTED_VALUE"""),-2721.72)</f>
        <v>-2721.72</v>
      </c>
    </row>
    <row r="622">
      <c r="A622" s="24">
        <f>IFERROR(__xludf.DUMMYFUNCTION("""COMPUTED_VALUE"""),43419.0)</f>
        <v>43419</v>
      </c>
      <c r="B622" s="5" t="str">
        <f>IFERROR(__xludf.DUMMYFUNCTION("""COMPUTED_VALUE"""),"Intermediate US bonds (7-10 year)")</f>
        <v>Intermediate US bonds (7-10 year)</v>
      </c>
      <c r="C622" s="5" t="str">
        <f>IFERROR(__xludf.DUMMYFUNCTION("""COMPUTED_VALUE"""),"iShares Treasury Bond 7-10 UCITS")</f>
        <v>iShares Treasury Bond 7-10 UCITS</v>
      </c>
      <c r="D622" s="21" t="str">
        <f>IFERROR(__xludf.DUMMYFUNCTION("""COMPUTED_VALUE"""),"BUY")</f>
        <v>BUY</v>
      </c>
      <c r="E622" s="21">
        <f>IFERROR(__xludf.DUMMYFUNCTION("""COMPUTED_VALUE"""),7.0)</f>
        <v>7</v>
      </c>
      <c r="F622" s="25">
        <f>IFERROR(__xludf.DUMMYFUNCTION("""COMPUTED_VALUE"""),163.75)</f>
        <v>163.75</v>
      </c>
      <c r="G622" s="10">
        <f>IFERROR(__xludf.DUMMYFUNCTION("""COMPUTED_VALUE"""),-1146.25)</f>
        <v>-1146.25</v>
      </c>
    </row>
    <row r="623">
      <c r="A623" s="24">
        <f>IFERROR(__xludf.DUMMYFUNCTION("""COMPUTED_VALUE"""),43417.0)</f>
        <v>43417</v>
      </c>
      <c r="B623" s="5"/>
      <c r="C623" s="5"/>
      <c r="D623" s="21" t="str">
        <f>IFERROR(__xludf.DUMMYFUNCTION("""COMPUTED_VALUE"""),"APPROVISIONNEMENT")</f>
        <v>APPROVISIONNEMENT</v>
      </c>
      <c r="E623" s="5"/>
      <c r="F623" s="5"/>
      <c r="G623" s="10">
        <f>IFERROR(__xludf.DUMMYFUNCTION("""COMPUTED_VALUE"""),-300.0)</f>
        <v>-300</v>
      </c>
    </row>
    <row r="624">
      <c r="A624" s="24">
        <f>IFERROR(__xludf.DUMMYFUNCTION("""COMPUTED_VALUE"""),43405.0)</f>
        <v>43405</v>
      </c>
      <c r="B624" s="5" t="str">
        <f>IFERROR(__xludf.DUMMYFUNCTION("""COMPUTED_VALUE"""),"Stocks")</f>
        <v>Stocks</v>
      </c>
      <c r="C624" s="5" t="str">
        <f>IFERROR(__xludf.DUMMYFUNCTION("""COMPUTED_VALUE"""),"Vanguard S&amp;P 500 UCITS")</f>
        <v>Vanguard S&amp;P 500 UCITS</v>
      </c>
      <c r="D624" s="21" t="str">
        <f>IFERROR(__xludf.DUMMYFUNCTION("""COMPUTED_VALUE"""),"BUY")</f>
        <v>BUY</v>
      </c>
      <c r="E624" s="21">
        <f>IFERROR(__xludf.DUMMYFUNCTION("""COMPUTED_VALUE"""),239.0)</f>
        <v>239</v>
      </c>
      <c r="F624" s="25">
        <f>IFERROR(__xludf.DUMMYFUNCTION("""COMPUTED_VALUE"""),45.493)</f>
        <v>45.493</v>
      </c>
      <c r="G624" s="10">
        <f>IFERROR(__xludf.DUMMYFUNCTION("""COMPUTED_VALUE"""),-10872.83)</f>
        <v>-10872.83</v>
      </c>
    </row>
    <row r="625">
      <c r="A625" s="24">
        <f>IFERROR(__xludf.DUMMYFUNCTION("""COMPUTED_VALUE"""),43405.0)</f>
        <v>43405</v>
      </c>
      <c r="B625" s="5" t="str">
        <f>IFERROR(__xludf.DUMMYFUNCTION("""COMPUTED_VALUE"""),"Commodities")</f>
        <v>Commodities</v>
      </c>
      <c r="C625" s="5" t="str">
        <f>IFERROR(__xludf.DUMMYFUNCTION("""COMPUTED_VALUE"""),"ETFS All Commodities ETC")</f>
        <v>ETFS All Commodities ETC</v>
      </c>
      <c r="D625" s="21" t="str">
        <f>IFERROR(__xludf.DUMMYFUNCTION("""COMPUTED_VALUE"""),"BUY")</f>
        <v>BUY</v>
      </c>
      <c r="E625" s="21">
        <f>IFERROR(__xludf.DUMMYFUNCTION("""COMPUTED_VALUE"""),326.0)</f>
        <v>326</v>
      </c>
      <c r="F625" s="25">
        <f>IFERROR(__xludf.DUMMYFUNCTION("""COMPUTED_VALUE"""),7.482)</f>
        <v>7.482</v>
      </c>
      <c r="G625" s="10">
        <f>IFERROR(__xludf.DUMMYFUNCTION("""COMPUTED_VALUE"""),-2439.13)</f>
        <v>-2439.13</v>
      </c>
    </row>
    <row r="626">
      <c r="A626" s="24">
        <f>IFERROR(__xludf.DUMMYFUNCTION("""COMPUTED_VALUE"""),43405.0)</f>
        <v>43405</v>
      </c>
      <c r="B626" s="5" t="str">
        <f>IFERROR(__xludf.DUMMYFUNCTION("""COMPUTED_VALUE"""),"Long term US bonds (20-25 year)")</f>
        <v>Long term US bonds (20-25 year)</v>
      </c>
      <c r="C626" s="5" t="str">
        <f>IFERROR(__xludf.DUMMYFUNCTION("""COMPUTED_VALUE"""),"iShares Treasury Bond 20+ UCITS USD Dist")</f>
        <v>iShares Treasury Bond 20+ UCITS USD Dist</v>
      </c>
      <c r="D626" s="21" t="str">
        <f>IFERROR(__xludf.DUMMYFUNCTION("""COMPUTED_VALUE"""),"COST")</f>
        <v>COST</v>
      </c>
      <c r="E626" s="5"/>
      <c r="F626" s="5"/>
      <c r="G626" s="10">
        <f>IFERROR(__xludf.DUMMYFUNCTION("""COMPUTED_VALUE"""),-4.09)</f>
        <v>-4.09</v>
      </c>
    </row>
    <row r="627">
      <c r="A627" s="24">
        <f>IFERROR(__xludf.DUMMYFUNCTION("""COMPUTED_VALUE"""),43405.0)</f>
        <v>43405</v>
      </c>
      <c r="B627" s="5" t="str">
        <f>IFERROR(__xludf.DUMMYFUNCTION("""COMPUTED_VALUE"""),"Long term US bonds (20-25 year)")</f>
        <v>Long term US bonds (20-25 year)</v>
      </c>
      <c r="C627" s="5" t="str">
        <f>IFERROR(__xludf.DUMMYFUNCTION("""COMPUTED_VALUE"""),"iShares Treasury Bond 20+ UCITS USD Dist")</f>
        <v>iShares Treasury Bond 20+ UCITS USD Dist</v>
      </c>
      <c r="D627" s="21" t="str">
        <f>IFERROR(__xludf.DUMMYFUNCTION("""COMPUTED_VALUE"""),"BUY")</f>
        <v>BUY</v>
      </c>
      <c r="E627" s="21">
        <f>IFERROR(__xludf.DUMMYFUNCTION("""COMPUTED_VALUE"""),2786.0)</f>
        <v>2786</v>
      </c>
      <c r="F627" s="25">
        <f>IFERROR(__xludf.DUMMYFUNCTION("""COMPUTED_VALUE"""),3.756)</f>
        <v>3.756</v>
      </c>
      <c r="G627" s="10">
        <f>IFERROR(__xludf.DUMMYFUNCTION("""COMPUTED_VALUE"""),-10463.08)</f>
        <v>-10463.08</v>
      </c>
    </row>
    <row r="628">
      <c r="A628" s="24">
        <f>IFERROR(__xludf.DUMMYFUNCTION("""COMPUTED_VALUE"""),43405.0)</f>
        <v>43405</v>
      </c>
      <c r="B628" s="5" t="str">
        <f>IFERROR(__xludf.DUMMYFUNCTION("""COMPUTED_VALUE"""),"Intermediate US bonds (7-10 year)")</f>
        <v>Intermediate US bonds (7-10 year)</v>
      </c>
      <c r="C628" s="5" t="str">
        <f>IFERROR(__xludf.DUMMYFUNCTION("""COMPUTED_VALUE"""),"iShares Treasury Bond 7-10 UCITS")</f>
        <v>iShares Treasury Bond 7-10 UCITS</v>
      </c>
      <c r="D628" s="21" t="str">
        <f>IFERROR(__xludf.DUMMYFUNCTION("""COMPUTED_VALUE"""),"BUY")</f>
        <v>BUY</v>
      </c>
      <c r="E628" s="21">
        <f>IFERROR(__xludf.DUMMYFUNCTION("""COMPUTED_VALUE"""),16.0)</f>
        <v>16</v>
      </c>
      <c r="F628" s="25">
        <f>IFERROR(__xludf.DUMMYFUNCTION("""COMPUTED_VALUE"""),163.81)</f>
        <v>163.81</v>
      </c>
      <c r="G628" s="10">
        <f>IFERROR(__xludf.DUMMYFUNCTION("""COMPUTED_VALUE"""),-2620.96)</f>
        <v>-2620.96</v>
      </c>
    </row>
    <row r="629">
      <c r="A629" s="24">
        <f>IFERROR(__xludf.DUMMYFUNCTION("""COMPUTED_VALUE"""),43404.0)</f>
        <v>43404</v>
      </c>
      <c r="B629" s="5"/>
      <c r="C629" s="5"/>
      <c r="D629" s="21" t="str">
        <f>IFERROR(__xludf.DUMMYFUNCTION("""COMPUTED_VALUE"""),"COST")</f>
        <v>COST</v>
      </c>
      <c r="E629" s="5"/>
      <c r="F629" s="5"/>
      <c r="G629" s="10">
        <f>IFERROR(__xludf.DUMMYFUNCTION("""COMPUTED_VALUE"""),-555.0)</f>
        <v>-555</v>
      </c>
    </row>
    <row r="630">
      <c r="A630" s="24">
        <f>IFERROR(__xludf.DUMMYFUNCTION("""COMPUTED_VALUE"""),43398.0)</f>
        <v>43398</v>
      </c>
      <c r="B630" s="5"/>
      <c r="C630" s="5"/>
      <c r="D630" s="5" t="str">
        <f>IFERROR(__xludf.DUMMYFUNCTION("""COMPUTED_VALUE"""),"APPROVISIONNEMENT")</f>
        <v>APPROVISIONNEMENT</v>
      </c>
      <c r="E630" s="5"/>
      <c r="F630" s="5"/>
      <c r="G630" s="10">
        <f>IFERROR(__xludf.DUMMYFUNCTION("""COMPUTED_VALUE"""),6060.0)</f>
        <v>6060</v>
      </c>
    </row>
    <row r="631">
      <c r="A631" s="24">
        <f>IFERROR(__xludf.DUMMYFUNCTION("""COMPUTED_VALUE"""),43385.0)</f>
        <v>43385</v>
      </c>
      <c r="B631" s="5" t="str">
        <f>IFERROR(__xludf.DUMMYFUNCTION("""COMPUTED_VALUE"""),"Long term US bonds (20-25 year)")</f>
        <v>Long term US bonds (20-25 year)</v>
      </c>
      <c r="C631" s="5" t="str">
        <f>IFERROR(__xludf.DUMMYFUNCTION("""COMPUTED_VALUE"""),"iShares Treasury Bond 20+ UCITS USD Dist")</f>
        <v>iShares Treasury Bond 20+ UCITS USD Dist</v>
      </c>
      <c r="D631" s="5" t="str">
        <f>IFERROR(__xludf.DUMMYFUNCTION("""COMPUTED_VALUE"""),"COST")</f>
        <v>COST</v>
      </c>
      <c r="E631" s="5"/>
      <c r="F631" s="5"/>
      <c r="G631" s="10">
        <f>IFERROR(__xludf.DUMMYFUNCTION("""COMPUTED_VALUE"""),-2.82)</f>
        <v>-2.82</v>
      </c>
    </row>
    <row r="632">
      <c r="A632" s="24">
        <f>IFERROR(__xludf.DUMMYFUNCTION("""COMPUTED_VALUE"""),43385.0)</f>
        <v>43385</v>
      </c>
      <c r="B632" s="5" t="str">
        <f>IFERROR(__xludf.DUMMYFUNCTION("""COMPUTED_VALUE"""),"Long term US bonds (20-25 year)")</f>
        <v>Long term US bonds (20-25 year)</v>
      </c>
      <c r="C632" s="5" t="str">
        <f>IFERROR(__xludf.DUMMYFUNCTION("""COMPUTED_VALUE"""),"iShares Treasury Bond 20+ UCITS USD Dist")</f>
        <v>iShares Treasury Bond 20+ UCITS USD Dist</v>
      </c>
      <c r="D632" s="5" t="str">
        <f>IFERROR(__xludf.DUMMYFUNCTION("""COMPUTED_VALUE"""),"SELL")</f>
        <v>SELL</v>
      </c>
      <c r="E632" s="21">
        <f>IFERROR(__xludf.DUMMYFUNCTION("""COMPUTED_VALUE"""),-1106.0)</f>
        <v>-1106</v>
      </c>
      <c r="F632" s="25">
        <f>IFERROR(__xludf.DUMMYFUNCTION("""COMPUTED_VALUE"""),3.708)</f>
        <v>3.708</v>
      </c>
      <c r="G632" s="10">
        <f>IFERROR(__xludf.DUMMYFUNCTION("""COMPUTED_VALUE"""),4101.58)</f>
        <v>4101.58</v>
      </c>
    </row>
    <row r="633">
      <c r="A633" s="24">
        <f>IFERROR(__xludf.DUMMYFUNCTION("""COMPUTED_VALUE"""),43385.0)</f>
        <v>43385</v>
      </c>
      <c r="B633" s="5" t="str">
        <f>IFERROR(__xludf.DUMMYFUNCTION("""COMPUTED_VALUE"""),"Intermediate US bonds (7-10 year)")</f>
        <v>Intermediate US bonds (7-10 year)</v>
      </c>
      <c r="C633" s="5" t="str">
        <f>IFERROR(__xludf.DUMMYFUNCTION("""COMPUTED_VALUE"""),"iShares Treasury Bond 7-10 UCITS")</f>
        <v>iShares Treasury Bond 7-10 UCITS</v>
      </c>
      <c r="D633" s="5" t="str">
        <f>IFERROR(__xludf.DUMMYFUNCTION("""COMPUTED_VALUE"""),"SELL")</f>
        <v>SELL</v>
      </c>
      <c r="E633" s="5">
        <f>IFERROR(__xludf.DUMMYFUNCTION("""COMPUTED_VALUE"""),-11.0)</f>
        <v>-11</v>
      </c>
      <c r="F633" s="25">
        <f>IFERROR(__xludf.DUMMYFUNCTION("""COMPUTED_VALUE"""),160.47)</f>
        <v>160.47</v>
      </c>
      <c r="G633" s="10">
        <f>IFERROR(__xludf.DUMMYFUNCTION("""COMPUTED_VALUE"""),1765.17)</f>
        <v>1765.17</v>
      </c>
    </row>
    <row r="634">
      <c r="A634" s="24">
        <f>IFERROR(__xludf.DUMMYFUNCTION("""COMPUTED_VALUE"""),43385.0)</f>
        <v>43385</v>
      </c>
      <c r="B634" s="5" t="str">
        <f>IFERROR(__xludf.DUMMYFUNCTION("""COMPUTED_VALUE"""),"Stocks")</f>
        <v>Stocks</v>
      </c>
      <c r="C634" s="5" t="str">
        <f>IFERROR(__xludf.DUMMYFUNCTION("""COMPUTED_VALUE"""),"Vanguard S&amp;P 500 UCITS")</f>
        <v>Vanguard S&amp;P 500 UCITS</v>
      </c>
      <c r="D634" s="5" t="str">
        <f>IFERROR(__xludf.DUMMYFUNCTION("""COMPUTED_VALUE"""),"BUY")</f>
        <v>BUY</v>
      </c>
      <c r="E634" s="5">
        <f>IFERROR(__xludf.DUMMYFUNCTION("""COMPUTED_VALUE"""),55.0)</f>
        <v>55</v>
      </c>
      <c r="F634" s="25">
        <f>IFERROR(__xludf.DUMMYFUNCTION("""COMPUTED_VALUE"""),45.353)</f>
        <v>45.353</v>
      </c>
      <c r="G634" s="10">
        <f>IFERROR(__xludf.DUMMYFUNCTION("""COMPUTED_VALUE"""),-2494.42)</f>
        <v>-2494.42</v>
      </c>
    </row>
    <row r="635">
      <c r="A635" s="24">
        <f>IFERROR(__xludf.DUMMYFUNCTION("""COMPUTED_VALUE"""),43385.0)</f>
        <v>43385</v>
      </c>
      <c r="B635" s="5" t="str">
        <f>IFERROR(__xludf.DUMMYFUNCTION("""COMPUTED_VALUE"""),"Long term US bonds (20-25 year)")</f>
        <v>Long term US bonds (20-25 year)</v>
      </c>
      <c r="C635" s="5" t="str">
        <f>IFERROR(__xludf.DUMMYFUNCTION("""COMPUTED_VALUE"""),"iShares Treasury Bond 20+ UCITS USD Dist")</f>
        <v>iShares Treasury Bond 20+ UCITS USD Dist</v>
      </c>
      <c r="D635" s="5" t="str">
        <f>IFERROR(__xludf.DUMMYFUNCTION("""COMPUTED_VALUE"""),"COST")</f>
        <v>COST</v>
      </c>
      <c r="E635" s="5"/>
      <c r="F635" s="5"/>
      <c r="G635" s="10">
        <f>IFERROR(__xludf.DUMMYFUNCTION("""COMPUTED_VALUE"""),-4.42)</f>
        <v>-4.42</v>
      </c>
    </row>
    <row r="636">
      <c r="A636" s="24">
        <f>IFERROR(__xludf.DUMMYFUNCTION("""COMPUTED_VALUE"""),43385.0)</f>
        <v>43385</v>
      </c>
      <c r="B636" s="5" t="str">
        <f>IFERROR(__xludf.DUMMYFUNCTION("""COMPUTED_VALUE"""),"Long term US bonds (20-25 year)")</f>
        <v>Long term US bonds (20-25 year)</v>
      </c>
      <c r="C636" s="5" t="str">
        <f>IFERROR(__xludf.DUMMYFUNCTION("""COMPUTED_VALUE"""),"iShares Treasury Bond 20+ UCITS USD Dist")</f>
        <v>iShares Treasury Bond 20+ UCITS USD Dist</v>
      </c>
      <c r="D636" s="5" t="str">
        <f>IFERROR(__xludf.DUMMYFUNCTION("""COMPUTED_VALUE"""),"SELL")</f>
        <v>SELL</v>
      </c>
      <c r="E636" s="21">
        <f>IFERROR(__xludf.DUMMYFUNCTION("""COMPUTED_VALUE"""),-3258.0)</f>
        <v>-3258</v>
      </c>
      <c r="F636" s="25">
        <f>IFERROR(__xludf.DUMMYFUNCTION("""COMPUTED_VALUE"""),3.707)</f>
        <v>3.707</v>
      </c>
      <c r="G636" s="10">
        <f>IFERROR(__xludf.DUMMYFUNCTION("""COMPUTED_VALUE"""),12076.62)</f>
        <v>12076.62</v>
      </c>
    </row>
    <row r="637">
      <c r="A637" s="24">
        <f>IFERROR(__xludf.DUMMYFUNCTION("""COMPUTED_VALUE"""),43385.0)</f>
        <v>43385</v>
      </c>
      <c r="B637" s="5" t="str">
        <f>IFERROR(__xludf.DUMMYFUNCTION("""COMPUTED_VALUE"""),"Gold")</f>
        <v>Gold</v>
      </c>
      <c r="C637" s="5" t="str">
        <f>IFERROR(__xludf.DUMMYFUNCTION("""COMPUTED_VALUE"""),"ETFS Physical Gold")</f>
        <v>ETFS Physical Gold</v>
      </c>
      <c r="D637" s="5" t="str">
        <f>IFERROR(__xludf.DUMMYFUNCTION("""COMPUTED_VALUE"""),"SELL")</f>
        <v>SELL</v>
      </c>
      <c r="E637" s="5">
        <f>IFERROR(__xludf.DUMMYFUNCTION("""COMPUTED_VALUE"""),-10.0)</f>
        <v>-10</v>
      </c>
      <c r="F637" s="25">
        <f>IFERROR(__xludf.DUMMYFUNCTION("""COMPUTED_VALUE"""),100.61)</f>
        <v>100.61</v>
      </c>
      <c r="G637" s="10">
        <f>IFERROR(__xludf.DUMMYFUNCTION("""COMPUTED_VALUE"""),1006.1)</f>
        <v>1006.1</v>
      </c>
    </row>
    <row r="638">
      <c r="A638" s="24">
        <f>IFERROR(__xludf.DUMMYFUNCTION("""COMPUTED_VALUE"""),43385.0)</f>
        <v>43385</v>
      </c>
      <c r="B638" s="5" t="str">
        <f>IFERROR(__xludf.DUMMYFUNCTION("""COMPUTED_VALUE"""),"Intermediate US bonds (7-10 year)")</f>
        <v>Intermediate US bonds (7-10 year)</v>
      </c>
      <c r="C638" s="5" t="str">
        <f>IFERROR(__xludf.DUMMYFUNCTION("""COMPUTED_VALUE"""),"iShares Treasury Bond 7-10 UCITS")</f>
        <v>iShares Treasury Bond 7-10 UCITS</v>
      </c>
      <c r="D638" s="5" t="str">
        <f>IFERROR(__xludf.DUMMYFUNCTION("""COMPUTED_VALUE"""),"SELL")</f>
        <v>SELL</v>
      </c>
      <c r="E638" s="5">
        <f>IFERROR(__xludf.DUMMYFUNCTION("""COMPUTED_VALUE"""),-13.0)</f>
        <v>-13</v>
      </c>
      <c r="F638" s="25">
        <f>IFERROR(__xludf.DUMMYFUNCTION("""COMPUTED_VALUE"""),160.39)</f>
        <v>160.39</v>
      </c>
      <c r="G638" s="10">
        <f>IFERROR(__xludf.DUMMYFUNCTION("""COMPUTED_VALUE"""),2085.07)</f>
        <v>2085.07</v>
      </c>
    </row>
    <row r="639">
      <c r="A639" s="24">
        <f>IFERROR(__xludf.DUMMYFUNCTION("""COMPUTED_VALUE"""),43385.0)</f>
        <v>43385</v>
      </c>
      <c r="B639" s="5" t="str">
        <f>IFERROR(__xludf.DUMMYFUNCTION("""COMPUTED_VALUE"""),"Commodities")</f>
        <v>Commodities</v>
      </c>
      <c r="C639" s="5" t="str">
        <f>IFERROR(__xludf.DUMMYFUNCTION("""COMPUTED_VALUE"""),"ETFS All Commodities ETC")</f>
        <v>ETFS All Commodities ETC</v>
      </c>
      <c r="D639" s="5" t="str">
        <f>IFERROR(__xludf.DUMMYFUNCTION("""COMPUTED_VALUE"""),"SELL")</f>
        <v>SELL</v>
      </c>
      <c r="E639" s="5">
        <f>IFERROR(__xludf.DUMMYFUNCTION("""COMPUTED_VALUE"""),-32.0)</f>
        <v>-32</v>
      </c>
      <c r="F639" s="25">
        <f>IFERROR(__xludf.DUMMYFUNCTION("""COMPUTED_VALUE"""),7.607)</f>
        <v>7.607</v>
      </c>
      <c r="G639" s="10">
        <f>IFERROR(__xludf.DUMMYFUNCTION("""COMPUTED_VALUE"""),243.42)</f>
        <v>243.42</v>
      </c>
    </row>
    <row r="640">
      <c r="A640" s="24">
        <f>IFERROR(__xludf.DUMMYFUNCTION("""COMPUTED_VALUE"""),43385.0)</f>
        <v>43385</v>
      </c>
      <c r="B640" s="5" t="str">
        <f>IFERROR(__xludf.DUMMYFUNCTION("""COMPUTED_VALUE"""),"Commodities")</f>
        <v>Commodities</v>
      </c>
      <c r="C640" s="5" t="str">
        <f>IFERROR(__xludf.DUMMYFUNCTION("""COMPUTED_VALUE"""),"ETFS All Commodities ETC")</f>
        <v>ETFS All Commodities ETC</v>
      </c>
      <c r="D640" s="5" t="str">
        <f>IFERROR(__xludf.DUMMYFUNCTION("""COMPUTED_VALUE"""),"COST")</f>
        <v>COST</v>
      </c>
      <c r="E640" s="5"/>
      <c r="F640" s="5"/>
      <c r="G640" s="10">
        <f>IFERROR(__xludf.DUMMYFUNCTION("""COMPUTED_VALUE"""),-2.05)</f>
        <v>-2.05</v>
      </c>
    </row>
    <row r="641">
      <c r="A641" s="24">
        <f>IFERROR(__xludf.DUMMYFUNCTION("""COMPUTED_VALUE"""),43383.0)</f>
        <v>43383</v>
      </c>
      <c r="B641" s="5" t="str">
        <f>IFERROR(__xludf.DUMMYFUNCTION("""COMPUTED_VALUE"""),"Stocks")</f>
        <v>Stocks</v>
      </c>
      <c r="C641" s="5" t="str">
        <f>IFERROR(__xludf.DUMMYFUNCTION("""COMPUTED_VALUE"""),"Vanguard S&amp;P 500 UCITS")</f>
        <v>Vanguard S&amp;P 500 UCITS</v>
      </c>
      <c r="D641" s="21" t="str">
        <f>IFERROR(__xludf.DUMMYFUNCTION("""COMPUTED_VALUE"""),"DIVIDEND")</f>
        <v>DIVIDEND</v>
      </c>
      <c r="E641" s="5"/>
      <c r="F641" s="5"/>
      <c r="G641" s="10">
        <f>IFERROR(__xludf.DUMMYFUNCTION("""COMPUTED_VALUE"""),-136.05)</f>
        <v>-136.05</v>
      </c>
    </row>
    <row r="642">
      <c r="A642" s="24">
        <f>IFERROR(__xludf.DUMMYFUNCTION("""COMPUTED_VALUE"""),43383.0)</f>
        <v>43383</v>
      </c>
      <c r="B642" s="5" t="str">
        <f>IFERROR(__xludf.DUMMYFUNCTION("""COMPUTED_VALUE"""),"Stocks")</f>
        <v>Stocks</v>
      </c>
      <c r="C642" s="5" t="str">
        <f>IFERROR(__xludf.DUMMYFUNCTION("""COMPUTED_VALUE"""),"Vanguard S&amp;P 500 UCITS")</f>
        <v>Vanguard S&amp;P 500 UCITS</v>
      </c>
      <c r="D642" s="5" t="str">
        <f>IFERROR(__xludf.DUMMYFUNCTION("""COMPUTED_VALUE"""),"DIVIDEND")</f>
        <v>DIVIDEND</v>
      </c>
      <c r="E642" s="5"/>
      <c r="F642" s="5"/>
      <c r="G642" s="10">
        <f>IFERROR(__xludf.DUMMYFUNCTION("""COMPUTED_VALUE"""),1024.7)</f>
        <v>1024.7</v>
      </c>
    </row>
    <row r="643">
      <c r="A643" s="24">
        <f>IFERROR(__xludf.DUMMYFUNCTION("""COMPUTED_VALUE"""),43378.0)</f>
        <v>43378</v>
      </c>
      <c r="B643" s="5" t="str">
        <f>IFERROR(__xludf.DUMMYFUNCTION("""COMPUTED_VALUE"""),"Gold")</f>
        <v>Gold</v>
      </c>
      <c r="C643" s="5" t="str">
        <f>IFERROR(__xludf.DUMMYFUNCTION("""COMPUTED_VALUE"""),"ETFS Physical Gold")</f>
        <v>ETFS Physical Gold</v>
      </c>
      <c r="D643" s="5" t="str">
        <f>IFERROR(__xludf.DUMMYFUNCTION("""COMPUTED_VALUE"""),"SELL")</f>
        <v>SELL</v>
      </c>
      <c r="E643" s="5">
        <f>IFERROR(__xludf.DUMMYFUNCTION("""COMPUTED_VALUE"""),-9.0)</f>
        <v>-9</v>
      </c>
      <c r="F643" s="25">
        <f>IFERROR(__xludf.DUMMYFUNCTION("""COMPUTED_VALUE"""),99.89)</f>
        <v>99.89</v>
      </c>
      <c r="G643" s="10">
        <f>IFERROR(__xludf.DUMMYFUNCTION("""COMPUTED_VALUE"""),899.01)</f>
        <v>899.01</v>
      </c>
    </row>
    <row r="644">
      <c r="A644" s="24">
        <f>IFERROR(__xludf.DUMMYFUNCTION("""COMPUTED_VALUE"""),43377.0)</f>
        <v>43377</v>
      </c>
      <c r="B644" s="5" t="str">
        <f>IFERROR(__xludf.DUMMYFUNCTION("""COMPUTED_VALUE"""),"Commodities")</f>
        <v>Commodities</v>
      </c>
      <c r="C644" s="5" t="str">
        <f>IFERROR(__xludf.DUMMYFUNCTION("""COMPUTED_VALUE"""),"ETFS All Commodities ETC")</f>
        <v>ETFS All Commodities ETC</v>
      </c>
      <c r="D644" s="5" t="str">
        <f>IFERROR(__xludf.DUMMYFUNCTION("""COMPUTED_VALUE"""),"SELL")</f>
        <v>SELL</v>
      </c>
      <c r="E644" s="5">
        <f>IFERROR(__xludf.DUMMYFUNCTION("""COMPUTED_VALUE"""),-238.0)</f>
        <v>-238</v>
      </c>
      <c r="F644" s="25">
        <f>IFERROR(__xludf.DUMMYFUNCTION("""COMPUTED_VALUE"""),7.784)</f>
        <v>7.784</v>
      </c>
      <c r="G644" s="10">
        <f>IFERROR(__xludf.DUMMYFUNCTION("""COMPUTED_VALUE"""),1852.59)</f>
        <v>1852.59</v>
      </c>
    </row>
    <row r="645">
      <c r="A645" s="24">
        <f>IFERROR(__xludf.DUMMYFUNCTION("""COMPUTED_VALUE"""),43377.0)</f>
        <v>43377</v>
      </c>
      <c r="B645" s="5" t="str">
        <f>IFERROR(__xludf.DUMMYFUNCTION("""COMPUTED_VALUE"""),"Intermediate US bonds (7-10 year)")</f>
        <v>Intermediate US bonds (7-10 year)</v>
      </c>
      <c r="C645" s="5" t="str">
        <f>IFERROR(__xludf.DUMMYFUNCTION("""COMPUTED_VALUE"""),"iShares Treasury Bond 7-10 UCITS")</f>
        <v>iShares Treasury Bond 7-10 UCITS</v>
      </c>
      <c r="D645" s="5" t="str">
        <f>IFERROR(__xludf.DUMMYFUNCTION("""COMPUTED_VALUE"""),"SELL")</f>
        <v>SELL</v>
      </c>
      <c r="E645" s="5">
        <f>IFERROR(__xludf.DUMMYFUNCTION("""COMPUTED_VALUE"""),-5.0)</f>
        <v>-5</v>
      </c>
      <c r="F645" s="25">
        <f>IFERROR(__xludf.DUMMYFUNCTION("""COMPUTED_VALUE"""),161.06)</f>
        <v>161.06</v>
      </c>
      <c r="G645" s="10">
        <f>IFERROR(__xludf.DUMMYFUNCTION("""COMPUTED_VALUE"""),805.3)</f>
        <v>805.3</v>
      </c>
    </row>
    <row r="646">
      <c r="A646" s="24">
        <f>IFERROR(__xludf.DUMMYFUNCTION("""COMPUTED_VALUE"""),43377.0)</f>
        <v>43377</v>
      </c>
      <c r="B646" s="5" t="str">
        <f>IFERROR(__xludf.DUMMYFUNCTION("""COMPUTED_VALUE"""),"Long term US bonds (20-25 year)")</f>
        <v>Long term US bonds (20-25 year)</v>
      </c>
      <c r="C646" s="5" t="str">
        <f>IFERROR(__xludf.DUMMYFUNCTION("""COMPUTED_VALUE"""),"iShares Treasury Bond 20+ UCITS USD Dist")</f>
        <v>iShares Treasury Bond 20+ UCITS USD Dist</v>
      </c>
      <c r="D646" s="5" t="str">
        <f>IFERROR(__xludf.DUMMYFUNCTION("""COMPUTED_VALUE"""),"COST")</f>
        <v>COST</v>
      </c>
      <c r="E646" s="5"/>
      <c r="F646" s="5"/>
      <c r="G646" s="10">
        <f>IFERROR(__xludf.DUMMYFUNCTION("""COMPUTED_VALUE"""),-3.76)</f>
        <v>-3.76</v>
      </c>
    </row>
    <row r="647">
      <c r="A647" s="24">
        <f>IFERROR(__xludf.DUMMYFUNCTION("""COMPUTED_VALUE"""),43377.0)</f>
        <v>43377</v>
      </c>
      <c r="B647" s="5" t="str">
        <f>IFERROR(__xludf.DUMMYFUNCTION("""COMPUTED_VALUE"""),"Long term US bonds (20-25 year)")</f>
        <v>Long term US bonds (20-25 year)</v>
      </c>
      <c r="C647" s="5" t="str">
        <f>IFERROR(__xludf.DUMMYFUNCTION("""COMPUTED_VALUE"""),"iShares Treasury Bond 20+ UCITS USD Dist")</f>
        <v>iShares Treasury Bond 20+ UCITS USD Dist</v>
      </c>
      <c r="D647" s="5" t="str">
        <f>IFERROR(__xludf.DUMMYFUNCTION("""COMPUTED_VALUE"""),"BUY")</f>
        <v>BUY</v>
      </c>
      <c r="E647" s="21">
        <f>IFERROR(__xludf.DUMMYFUNCTION("""COMPUTED_VALUE"""),2361.0)</f>
        <v>2361</v>
      </c>
      <c r="F647" s="25">
        <f>IFERROR(__xludf.DUMMYFUNCTION("""COMPUTED_VALUE"""),3.731)</f>
        <v>3.731</v>
      </c>
      <c r="G647" s="10">
        <f>IFERROR(__xludf.DUMMYFUNCTION("""COMPUTED_VALUE"""),-8808.53)</f>
        <v>-8808.53</v>
      </c>
    </row>
    <row r="648">
      <c r="A648" s="24">
        <f>IFERROR(__xludf.DUMMYFUNCTION("""COMPUTED_VALUE"""),43373.0)</f>
        <v>43373</v>
      </c>
      <c r="B648" s="5"/>
      <c r="C648" s="5"/>
      <c r="D648" s="21" t="str">
        <f>IFERROR(__xludf.DUMMYFUNCTION("""COMPUTED_VALUE"""),"COST")</f>
        <v>COST</v>
      </c>
      <c r="E648" s="5"/>
      <c r="F648" s="5"/>
      <c r="G648" s="10">
        <f>IFERROR(__xludf.DUMMYFUNCTION("""COMPUTED_VALUE"""),-501.62)</f>
        <v>-501.62</v>
      </c>
    </row>
    <row r="649">
      <c r="A649" s="24">
        <f>IFERROR(__xludf.DUMMYFUNCTION("""COMPUTED_VALUE"""),43369.0)</f>
        <v>43369</v>
      </c>
      <c r="B649" s="5" t="str">
        <f>IFERROR(__xludf.DUMMYFUNCTION("""COMPUTED_VALUE"""),"Stocks")</f>
        <v>Stocks</v>
      </c>
      <c r="C649" s="5" t="str">
        <f>IFERROR(__xludf.DUMMYFUNCTION("""COMPUTED_VALUE"""),"Vanguard S&amp;P 500 UCITS")</f>
        <v>Vanguard S&amp;P 500 UCITS</v>
      </c>
      <c r="D649" s="5" t="str">
        <f>IFERROR(__xludf.DUMMYFUNCTION("""COMPUTED_VALUE"""),"SELL")</f>
        <v>SELL</v>
      </c>
      <c r="E649" s="5">
        <f>IFERROR(__xludf.DUMMYFUNCTION("""COMPUTED_VALUE"""),-30.0)</f>
        <v>-30</v>
      </c>
      <c r="F649" s="25">
        <f>IFERROR(__xludf.DUMMYFUNCTION("""COMPUTED_VALUE"""),47.288)</f>
        <v>47.288</v>
      </c>
      <c r="G649" s="10">
        <f>IFERROR(__xludf.DUMMYFUNCTION("""COMPUTED_VALUE"""),1418.64)</f>
        <v>1418.64</v>
      </c>
    </row>
    <row r="650">
      <c r="A650" s="24">
        <f>IFERROR(__xludf.DUMMYFUNCTION("""COMPUTED_VALUE"""),43369.0)</f>
        <v>43369</v>
      </c>
      <c r="B650" s="5" t="str">
        <f>IFERROR(__xludf.DUMMYFUNCTION("""COMPUTED_VALUE"""),"Commodities")</f>
        <v>Commodities</v>
      </c>
      <c r="C650" s="5" t="str">
        <f>IFERROR(__xludf.DUMMYFUNCTION("""COMPUTED_VALUE"""),"ETFS All Commodities ETC")</f>
        <v>ETFS All Commodities ETC</v>
      </c>
      <c r="D650" s="5" t="str">
        <f>IFERROR(__xludf.DUMMYFUNCTION("""COMPUTED_VALUE"""),"SELL")</f>
        <v>SELL</v>
      </c>
      <c r="E650" s="5">
        <f>IFERROR(__xludf.DUMMYFUNCTION("""COMPUTED_VALUE"""),-225.0)</f>
        <v>-225</v>
      </c>
      <c r="F650" s="25">
        <f>IFERROR(__xludf.DUMMYFUNCTION("""COMPUTED_VALUE"""),7.373)</f>
        <v>7.373</v>
      </c>
      <c r="G650" s="10">
        <f>IFERROR(__xludf.DUMMYFUNCTION("""COMPUTED_VALUE"""),1658.92)</f>
        <v>1658.92</v>
      </c>
    </row>
    <row r="651">
      <c r="A651" s="24">
        <f>IFERROR(__xludf.DUMMYFUNCTION("""COMPUTED_VALUE"""),43369.0)</f>
        <v>43369</v>
      </c>
      <c r="B651" s="5" t="str">
        <f>IFERROR(__xludf.DUMMYFUNCTION("""COMPUTED_VALUE"""),"Gold")</f>
        <v>Gold</v>
      </c>
      <c r="C651" s="5" t="str">
        <f>IFERROR(__xludf.DUMMYFUNCTION("""COMPUTED_VALUE"""),"ETFS Physical Gold")</f>
        <v>ETFS Physical Gold</v>
      </c>
      <c r="D651" s="5" t="str">
        <f>IFERROR(__xludf.DUMMYFUNCTION("""COMPUTED_VALUE"""),"SELL")</f>
        <v>SELL</v>
      </c>
      <c r="E651" s="5">
        <f>IFERROR(__xludf.DUMMYFUNCTION("""COMPUTED_VALUE"""),-12.0)</f>
        <v>-12</v>
      </c>
      <c r="F651" s="25">
        <f>IFERROR(__xludf.DUMMYFUNCTION("""COMPUTED_VALUE"""),97.53)</f>
        <v>97.53</v>
      </c>
      <c r="G651" s="10">
        <f>IFERROR(__xludf.DUMMYFUNCTION("""COMPUTED_VALUE"""),1170.36)</f>
        <v>1170.36</v>
      </c>
    </row>
    <row r="652">
      <c r="A652" s="24">
        <f>IFERROR(__xludf.DUMMYFUNCTION("""COMPUTED_VALUE"""),43367.0)</f>
        <v>43367</v>
      </c>
      <c r="B652" s="5" t="str">
        <f>IFERROR(__xludf.DUMMYFUNCTION("""COMPUTED_VALUE"""),"Stocks")</f>
        <v>Stocks</v>
      </c>
      <c r="C652" s="5" t="str">
        <f>IFERROR(__xludf.DUMMYFUNCTION("""COMPUTED_VALUE"""),"Vanguard S&amp;P 500 UCITS")</f>
        <v>Vanguard S&amp;P 500 UCITS</v>
      </c>
      <c r="D652" s="5" t="str">
        <f>IFERROR(__xludf.DUMMYFUNCTION("""COMPUTED_VALUE"""),"SELL")</f>
        <v>SELL</v>
      </c>
      <c r="E652" s="5">
        <f>IFERROR(__xludf.DUMMYFUNCTION("""COMPUTED_VALUE"""),-30.0)</f>
        <v>-30</v>
      </c>
      <c r="F652" s="25">
        <f>IFERROR(__xludf.DUMMYFUNCTION("""COMPUTED_VALUE"""),47.385)</f>
        <v>47.385</v>
      </c>
      <c r="G652" s="10">
        <f>IFERROR(__xludf.DUMMYFUNCTION("""COMPUTED_VALUE"""),1421.55)</f>
        <v>1421.55</v>
      </c>
    </row>
    <row r="653">
      <c r="A653" s="24">
        <f>IFERROR(__xludf.DUMMYFUNCTION("""COMPUTED_VALUE"""),43363.0)</f>
        <v>43363</v>
      </c>
      <c r="B653" s="5" t="str">
        <f>IFERROR(__xludf.DUMMYFUNCTION("""COMPUTED_VALUE"""),"Commodities")</f>
        <v>Commodities</v>
      </c>
      <c r="C653" s="5" t="str">
        <f>IFERROR(__xludf.DUMMYFUNCTION("""COMPUTED_VALUE"""),"ETFS All Commodities ETC")</f>
        <v>ETFS All Commodities ETC</v>
      </c>
      <c r="D653" s="5" t="str">
        <f>IFERROR(__xludf.DUMMYFUNCTION("""COMPUTED_VALUE"""),"SELL")</f>
        <v>SELL</v>
      </c>
      <c r="E653" s="5">
        <f>IFERROR(__xludf.DUMMYFUNCTION("""COMPUTED_VALUE"""),-250.0)</f>
        <v>-250</v>
      </c>
      <c r="F653" s="25">
        <f>IFERROR(__xludf.DUMMYFUNCTION("""COMPUTED_VALUE"""),7.261)</f>
        <v>7.261</v>
      </c>
      <c r="G653" s="10">
        <f>IFERROR(__xludf.DUMMYFUNCTION("""COMPUTED_VALUE"""),1815.25)</f>
        <v>1815.25</v>
      </c>
    </row>
    <row r="654">
      <c r="A654" s="24">
        <f>IFERROR(__xludf.DUMMYFUNCTION("""COMPUTED_VALUE"""),43363.0)</f>
        <v>43363</v>
      </c>
      <c r="B654" s="5" t="str">
        <f>IFERROR(__xludf.DUMMYFUNCTION("""COMPUTED_VALUE"""),"Stocks")</f>
        <v>Stocks</v>
      </c>
      <c r="C654" s="5" t="str">
        <f>IFERROR(__xludf.DUMMYFUNCTION("""COMPUTED_VALUE"""),"Vanguard S&amp;P 500 UCITS")</f>
        <v>Vanguard S&amp;P 500 UCITS</v>
      </c>
      <c r="D654" s="5" t="str">
        <f>IFERROR(__xludf.DUMMYFUNCTION("""COMPUTED_VALUE"""),"SELL")</f>
        <v>SELL</v>
      </c>
      <c r="E654" s="5">
        <f>IFERROR(__xludf.DUMMYFUNCTION("""COMPUTED_VALUE"""),-45.0)</f>
        <v>-45</v>
      </c>
      <c r="F654" s="25">
        <f>IFERROR(__xludf.DUMMYFUNCTION("""COMPUTED_VALUE"""),47.386)</f>
        <v>47.386</v>
      </c>
      <c r="G654" s="10">
        <f>IFERROR(__xludf.DUMMYFUNCTION("""COMPUTED_VALUE"""),2132.37)</f>
        <v>2132.37</v>
      </c>
    </row>
    <row r="655">
      <c r="A655" s="24">
        <f>IFERROR(__xludf.DUMMYFUNCTION("""COMPUTED_VALUE"""),43363.0)</f>
        <v>43363</v>
      </c>
      <c r="B655" s="5" t="str">
        <f>IFERROR(__xludf.DUMMYFUNCTION("""COMPUTED_VALUE"""),"Long term US bonds (20-25 year)")</f>
        <v>Long term US bonds (20-25 year)</v>
      </c>
      <c r="C655" s="5" t="str">
        <f>IFERROR(__xludf.DUMMYFUNCTION("""COMPUTED_VALUE"""),"iShares Treasury Bond 20+ UCITS USD Dist")</f>
        <v>iShares Treasury Bond 20+ UCITS USD Dist</v>
      </c>
      <c r="D655" s="5" t="str">
        <f>IFERROR(__xludf.DUMMYFUNCTION("""COMPUTED_VALUE"""),"COST")</f>
        <v>COST</v>
      </c>
      <c r="E655" s="5"/>
      <c r="F655" s="5"/>
      <c r="G655" s="10">
        <f>IFERROR(__xludf.DUMMYFUNCTION("""COMPUTED_VALUE"""),-2.54)</f>
        <v>-2.54</v>
      </c>
    </row>
    <row r="656">
      <c r="A656" s="24">
        <f>IFERROR(__xludf.DUMMYFUNCTION("""COMPUTED_VALUE"""),43363.0)</f>
        <v>43363</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IFERROR(__xludf.DUMMYFUNCTION("""COMPUTED_VALUE"""),"BUY")</f>
        <v>BUY</v>
      </c>
      <c r="E656" s="5">
        <f>IFERROR(__xludf.DUMMYFUNCTION("""COMPUTED_VALUE"""),717.0)</f>
        <v>717</v>
      </c>
      <c r="F656" s="25">
        <f>IFERROR(__xludf.DUMMYFUNCTION("""COMPUTED_VALUE"""),3.757)</f>
        <v>3.757</v>
      </c>
      <c r="G656" s="10">
        <f>IFERROR(__xludf.DUMMYFUNCTION("""COMPUTED_VALUE"""),-2693.88)</f>
        <v>-2693.88</v>
      </c>
    </row>
    <row r="657">
      <c r="A657" s="24">
        <f>IFERROR(__xludf.DUMMYFUNCTION("""COMPUTED_VALUE"""),43361.0)</f>
        <v>43361</v>
      </c>
      <c r="B657" s="5" t="str">
        <f>IFERROR(__xludf.DUMMYFUNCTION("""COMPUTED_VALUE"""),"Long term US bonds (20-25 year)")</f>
        <v>Long term US bonds (20-25 year)</v>
      </c>
      <c r="C657" s="5" t="str">
        <f>IFERROR(__xludf.DUMMYFUNCTION("""COMPUTED_VALUE"""),"iShares Treasury Bond 20+ UCITS USD Dist")</f>
        <v>iShares Treasury Bond 20+ UCITS USD Dist</v>
      </c>
      <c r="D657" s="5" t="str">
        <f>IFERROR(__xludf.DUMMYFUNCTION("""COMPUTED_VALUE"""),"COST")</f>
        <v>COST</v>
      </c>
      <c r="E657" s="5"/>
      <c r="F657" s="5"/>
      <c r="G657" s="10">
        <f>IFERROR(__xludf.DUMMYFUNCTION("""COMPUTED_VALUE"""),-2.4)</f>
        <v>-2.4</v>
      </c>
    </row>
    <row r="658">
      <c r="A658" s="24">
        <f>IFERROR(__xludf.DUMMYFUNCTION("""COMPUTED_VALUE"""),43361.0)</f>
        <v>43361</v>
      </c>
      <c r="B658" s="5" t="str">
        <f>IFERROR(__xludf.DUMMYFUNCTION("""COMPUTED_VALUE"""),"Long term US bonds (20-25 year)")</f>
        <v>Long term US bonds (20-25 year)</v>
      </c>
      <c r="C658" s="5" t="str">
        <f>IFERROR(__xludf.DUMMYFUNCTION("""COMPUTED_VALUE"""),"iShares Treasury Bond 20+ UCITS USD Dist")</f>
        <v>iShares Treasury Bond 20+ UCITS USD Dist</v>
      </c>
      <c r="D658" s="5" t="str">
        <f>IFERROR(__xludf.DUMMYFUNCTION("""COMPUTED_VALUE"""),"BUY")</f>
        <v>BUY</v>
      </c>
      <c r="E658" s="5">
        <f>IFERROR(__xludf.DUMMYFUNCTION("""COMPUTED_VALUE"""),525.0)</f>
        <v>525</v>
      </c>
      <c r="F658" s="25">
        <f>IFERROR(__xludf.DUMMYFUNCTION("""COMPUTED_VALUE"""),3.811)</f>
        <v>3.811</v>
      </c>
      <c r="G658" s="10">
        <f>IFERROR(__xludf.DUMMYFUNCTION("""COMPUTED_VALUE"""),-2000.72)</f>
        <v>-2000.72</v>
      </c>
    </row>
    <row r="659">
      <c r="A659" s="24">
        <f>IFERROR(__xludf.DUMMYFUNCTION("""COMPUTED_VALUE"""),43357.0)</f>
        <v>43357</v>
      </c>
      <c r="B659" s="5"/>
      <c r="C659" s="5"/>
      <c r="D659" s="5" t="str">
        <f>IFERROR(__xludf.DUMMYFUNCTION("""COMPUTED_VALUE"""),"APPROVISIONNEMENT")</f>
        <v>APPROVISIONNEMENT</v>
      </c>
      <c r="E659" s="5"/>
      <c r="F659" s="5"/>
      <c r="G659" s="10">
        <f>IFERROR(__xludf.DUMMYFUNCTION("""COMPUTED_VALUE"""),440.0)</f>
        <v>440</v>
      </c>
    </row>
    <row r="660">
      <c r="A660" s="24">
        <f>IFERROR(__xludf.DUMMYFUNCTION("""COMPUTED_VALUE"""),43354.0)</f>
        <v>43354</v>
      </c>
      <c r="B660" s="5"/>
      <c r="C660" s="5"/>
      <c r="D660" s="5" t="str">
        <f>IFERROR(__xludf.DUMMYFUNCTION("""COMPUTED_VALUE"""),"APPROVISIONNEMENT")</f>
        <v>APPROVISIONNEMENT</v>
      </c>
      <c r="E660" s="5"/>
      <c r="F660" s="5"/>
      <c r="G660" s="10">
        <f>IFERROR(__xludf.DUMMYFUNCTION("""COMPUTED_VALUE"""),-500.0)</f>
        <v>-500</v>
      </c>
    </row>
    <row r="661">
      <c r="A661" s="24">
        <f>IFERROR(__xludf.DUMMYFUNCTION("""COMPUTED_VALUE"""),43349.0)</f>
        <v>43349</v>
      </c>
      <c r="B661" s="5" t="str">
        <f>IFERROR(__xludf.DUMMYFUNCTION("""COMPUTED_VALUE"""),"Long term US bonds (20-25 year)")</f>
        <v>Long term US bonds (20-25 year)</v>
      </c>
      <c r="C661" s="5" t="str">
        <f>IFERROR(__xludf.DUMMYFUNCTION("""COMPUTED_VALUE"""),"iShares Treasury Bond 20+ UCITS USD Dist")</f>
        <v>iShares Treasury Bond 20+ UCITS USD Dist</v>
      </c>
      <c r="D661" s="5" t="str">
        <f>IFERROR(__xludf.DUMMYFUNCTION("""COMPUTED_VALUE"""),"COST")</f>
        <v>COST</v>
      </c>
      <c r="E661" s="5"/>
      <c r="F661" s="5"/>
      <c r="G661" s="10">
        <f>IFERROR(__xludf.DUMMYFUNCTION("""COMPUTED_VALUE"""),-2.26)</f>
        <v>-2.26</v>
      </c>
    </row>
    <row r="662">
      <c r="A662" s="24">
        <f>IFERROR(__xludf.DUMMYFUNCTION("""COMPUTED_VALUE"""),43349.0)</f>
        <v>43349</v>
      </c>
      <c r="B662" s="5" t="str">
        <f>IFERROR(__xludf.DUMMYFUNCTION("""COMPUTED_VALUE"""),"Long term US bonds (20-25 year)")</f>
        <v>Long term US bonds (20-25 year)</v>
      </c>
      <c r="C662" s="5" t="str">
        <f>IFERROR(__xludf.DUMMYFUNCTION("""COMPUTED_VALUE"""),"iShares Treasury Bond 20+ UCITS USD Dist")</f>
        <v>iShares Treasury Bond 20+ UCITS USD Dist</v>
      </c>
      <c r="D662" s="5" t="str">
        <f>IFERROR(__xludf.DUMMYFUNCTION("""COMPUTED_VALUE"""),"BUY")</f>
        <v>BUY</v>
      </c>
      <c r="E662" s="5">
        <f>IFERROR(__xludf.DUMMYFUNCTION("""COMPUTED_VALUE"""),336.0)</f>
        <v>336</v>
      </c>
      <c r="F662" s="25">
        <f>IFERROR(__xludf.DUMMYFUNCTION("""COMPUTED_VALUE"""),3.874)</f>
        <v>3.874</v>
      </c>
      <c r="G662" s="10">
        <f>IFERROR(__xludf.DUMMYFUNCTION("""COMPUTED_VALUE"""),-1301.59)</f>
        <v>-1301.59</v>
      </c>
    </row>
    <row r="663">
      <c r="A663" s="24">
        <f>IFERROR(__xludf.DUMMYFUNCTION("""COMPUTED_VALUE"""),43349.0)</f>
        <v>43349</v>
      </c>
      <c r="B663" s="5" t="str">
        <f>IFERROR(__xludf.DUMMYFUNCTION("""COMPUTED_VALUE"""),"Long term US bonds (20-25 year)")</f>
        <v>Long term US bonds (20-25 year)</v>
      </c>
      <c r="C663" s="5" t="str">
        <f>IFERROR(__xludf.DUMMYFUNCTION("""COMPUTED_VALUE"""),"Vanguard Extended Duration Treasury ETF")</f>
        <v>Vanguard Extended Duration Treasury ETF</v>
      </c>
      <c r="D663" s="21" t="str">
        <f>IFERROR(__xludf.DUMMYFUNCTION("""COMPUTED_VALUE"""),"DIVIDEND")</f>
        <v>DIVIDEND</v>
      </c>
      <c r="E663" s="5"/>
      <c r="F663" s="5"/>
      <c r="G663" s="10">
        <f>IFERROR(__xludf.DUMMYFUNCTION("""COMPUTED_VALUE"""),-12.85)</f>
        <v>-12.85</v>
      </c>
    </row>
    <row r="664">
      <c r="A664" s="24">
        <f>IFERROR(__xludf.DUMMYFUNCTION("""COMPUTED_VALUE"""),43343.0)</f>
        <v>43343</v>
      </c>
      <c r="B664" s="5"/>
      <c r="C664" s="5"/>
      <c r="D664" s="21" t="str">
        <f>IFERROR(__xludf.DUMMYFUNCTION("""COMPUTED_VALUE"""),"COST")</f>
        <v>COST</v>
      </c>
      <c r="E664" s="5"/>
      <c r="F664" s="5"/>
      <c r="G664" s="10">
        <f>IFERROR(__xludf.DUMMYFUNCTION("""COMPUTED_VALUE"""),-573.99)</f>
        <v>-573.99</v>
      </c>
    </row>
    <row r="665">
      <c r="A665" s="24">
        <f>IFERROR(__xludf.DUMMYFUNCTION("""COMPUTED_VALUE"""),43342.0)</f>
        <v>43342</v>
      </c>
      <c r="B665" s="5" t="str">
        <f>IFERROR(__xludf.DUMMYFUNCTION("""COMPUTED_VALUE"""),"Gold")</f>
        <v>Gold</v>
      </c>
      <c r="C665" s="5" t="str">
        <f>IFERROR(__xludf.DUMMYFUNCTION("""COMPUTED_VALUE"""),"ETFS Physical Gold")</f>
        <v>ETFS Physical Gold</v>
      </c>
      <c r="D665" s="5" t="str">
        <f>IFERROR(__xludf.DUMMYFUNCTION("""COMPUTED_VALUE"""),"BUY")</f>
        <v>BUY</v>
      </c>
      <c r="E665" s="5">
        <f>IFERROR(__xludf.DUMMYFUNCTION("""COMPUTED_VALUE"""),12.0)</f>
        <v>12</v>
      </c>
      <c r="F665" s="25">
        <f>IFERROR(__xludf.DUMMYFUNCTION("""COMPUTED_VALUE"""),98.34)</f>
        <v>98.34</v>
      </c>
      <c r="G665" s="10">
        <f>IFERROR(__xludf.DUMMYFUNCTION("""COMPUTED_VALUE"""),-1180.08)</f>
        <v>-1180.08</v>
      </c>
    </row>
    <row r="666">
      <c r="A666" s="24">
        <f>IFERROR(__xludf.DUMMYFUNCTION("""COMPUTED_VALUE"""),43341.0)</f>
        <v>43341</v>
      </c>
      <c r="B666" s="5" t="str">
        <f>IFERROR(__xludf.DUMMYFUNCTION("""COMPUTED_VALUE"""),"Commodities")</f>
        <v>Commodities</v>
      </c>
      <c r="C666" s="5" t="str">
        <f>IFERROR(__xludf.DUMMYFUNCTION("""COMPUTED_VALUE"""),"ETFS All Commodities ETC")</f>
        <v>ETFS All Commodities ETC</v>
      </c>
      <c r="D666" s="5" t="str">
        <f>IFERROR(__xludf.DUMMYFUNCTION("""COMPUTED_VALUE"""),"BUY")</f>
        <v>BUY</v>
      </c>
      <c r="E666" s="5">
        <f>IFERROR(__xludf.DUMMYFUNCTION("""COMPUTED_VALUE"""),305.0)</f>
        <v>305</v>
      </c>
      <c r="F666" s="25">
        <f>IFERROR(__xludf.DUMMYFUNCTION("""COMPUTED_VALUE"""),7.26)</f>
        <v>7.26</v>
      </c>
      <c r="G666" s="10">
        <f>IFERROR(__xludf.DUMMYFUNCTION("""COMPUTED_VALUE"""),-2214.3)</f>
        <v>-2214.3</v>
      </c>
    </row>
    <row r="667">
      <c r="A667" s="24">
        <f>IFERROR(__xludf.DUMMYFUNCTION("""COMPUTED_VALUE"""),43341.0)</f>
        <v>43341</v>
      </c>
      <c r="B667" s="5" t="str">
        <f>IFERROR(__xludf.DUMMYFUNCTION("""COMPUTED_VALUE"""),"Intermediate US bonds (7-10 year)")</f>
        <v>Intermediate US bonds (7-10 year)</v>
      </c>
      <c r="C667" s="5" t="str">
        <f>IFERROR(__xludf.DUMMYFUNCTION("""COMPUTED_VALUE"""),"iShares Treasury Bond 7-10 UCITS")</f>
        <v>iShares Treasury Bond 7-10 UCITS</v>
      </c>
      <c r="D667" s="5" t="str">
        <f>IFERROR(__xludf.DUMMYFUNCTION("""COMPUTED_VALUE"""),"BUY")</f>
        <v>BUY</v>
      </c>
      <c r="E667" s="5">
        <f>IFERROR(__xludf.DUMMYFUNCTION("""COMPUTED_VALUE"""),8.0)</f>
        <v>8</v>
      </c>
      <c r="F667" s="25">
        <f>IFERROR(__xludf.DUMMYFUNCTION("""COMPUTED_VALUE"""),162.34)</f>
        <v>162.34</v>
      </c>
      <c r="G667" s="10">
        <f>IFERROR(__xludf.DUMMYFUNCTION("""COMPUTED_VALUE"""),-1298.72)</f>
        <v>-1298.72</v>
      </c>
    </row>
    <row r="668">
      <c r="A668" s="24">
        <f>IFERROR(__xludf.DUMMYFUNCTION("""COMPUTED_VALUE"""),43341.0)</f>
        <v>43341</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IFERROR(__xludf.DUMMYFUNCTION("""COMPUTED_VALUE"""),"COST")</f>
        <v>COST</v>
      </c>
      <c r="E668" s="5"/>
      <c r="F668" s="5"/>
      <c r="G668" s="10">
        <f>IFERROR(__xludf.DUMMYFUNCTION("""COMPUTED_VALUE"""),-2.39)</f>
        <v>-2.39</v>
      </c>
    </row>
    <row r="669">
      <c r="A669" s="24">
        <f>IFERROR(__xludf.DUMMYFUNCTION("""COMPUTED_VALUE"""),43341.0)</f>
        <v>43341</v>
      </c>
      <c r="B669" s="5" t="str">
        <f>IFERROR(__xludf.DUMMYFUNCTION("""COMPUTED_VALUE"""),"Long term US bonds (20-25 year)")</f>
        <v>Long term US bonds (20-25 year)</v>
      </c>
      <c r="C669" s="5" t="str">
        <f>IFERROR(__xludf.DUMMYFUNCTION("""COMPUTED_VALUE"""),"iShares Treasury Bond 20+ UCITS USD Dist")</f>
        <v>iShares Treasury Bond 20+ UCITS USD Dist</v>
      </c>
      <c r="D669" s="5" t="str">
        <f>IFERROR(__xludf.DUMMYFUNCTION("""COMPUTED_VALUE"""),"BUY")</f>
        <v>BUY</v>
      </c>
      <c r="E669" s="5">
        <f>IFERROR(__xludf.DUMMYFUNCTION("""COMPUTED_VALUE"""),500.0)</f>
        <v>500</v>
      </c>
      <c r="F669" s="25">
        <f>IFERROR(__xludf.DUMMYFUNCTION("""COMPUTED_VALUE"""),3.891)</f>
        <v>3.891</v>
      </c>
      <c r="G669" s="10">
        <f>IFERROR(__xludf.DUMMYFUNCTION("""COMPUTED_VALUE"""),-1945.61)</f>
        <v>-1945.61</v>
      </c>
    </row>
    <row r="670">
      <c r="A670" s="24">
        <f>IFERROR(__xludf.DUMMYFUNCTION("""COMPUTED_VALUE"""),43341.0)</f>
        <v>43341</v>
      </c>
      <c r="B670" s="5" t="str">
        <f>IFERROR(__xludf.DUMMYFUNCTION("""COMPUTED_VALUE"""),"Long term US bonds (20-25 year)")</f>
        <v>Long term US bonds (20-25 year)</v>
      </c>
      <c r="C670" s="5" t="str">
        <f>IFERROR(__xludf.DUMMYFUNCTION("""COMPUTED_VALUE"""),"iShares Treasury Bond 20+ UCITS USD Dist")</f>
        <v>iShares Treasury Bond 20+ UCITS USD Dist</v>
      </c>
      <c r="D670" s="5" t="str">
        <f>IFERROR(__xludf.DUMMYFUNCTION("""COMPUTED_VALUE"""),"COST")</f>
        <v>COST</v>
      </c>
      <c r="E670" s="5"/>
      <c r="F670" s="5"/>
      <c r="G670" s="10">
        <f>IFERROR(__xludf.DUMMYFUNCTION("""COMPUTED_VALUE"""),-3.15)</f>
        <v>-3.15</v>
      </c>
    </row>
    <row r="671">
      <c r="A671" s="24">
        <f>IFERROR(__xludf.DUMMYFUNCTION("""COMPUTED_VALUE"""),43341.0)</f>
        <v>43341</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IFERROR(__xludf.DUMMYFUNCTION("""COMPUTED_VALUE"""),"BUY")</f>
        <v>BUY</v>
      </c>
      <c r="E671" s="21">
        <f>IFERROR(__xludf.DUMMYFUNCTION("""COMPUTED_VALUE"""),1478.0)</f>
        <v>1478</v>
      </c>
      <c r="F671" s="25">
        <f>IFERROR(__xludf.DUMMYFUNCTION("""COMPUTED_VALUE"""),3.885)</f>
        <v>3.885</v>
      </c>
      <c r="G671" s="10">
        <f>IFERROR(__xludf.DUMMYFUNCTION("""COMPUTED_VALUE"""),-5742.57)</f>
        <v>-5742.57</v>
      </c>
    </row>
    <row r="672">
      <c r="A672" s="24">
        <f>IFERROR(__xludf.DUMMYFUNCTION("""COMPUTED_VALUE"""),43341.0)</f>
        <v>43341</v>
      </c>
      <c r="B672" s="5" t="str">
        <f>IFERROR(__xludf.DUMMYFUNCTION("""COMPUTED_VALUE"""),"Intermediate US bonds (7-10 year)")</f>
        <v>Intermediate US bonds (7-10 year)</v>
      </c>
      <c r="C672" s="5" t="str">
        <f>IFERROR(__xludf.DUMMYFUNCTION("""COMPUTED_VALUE"""),"iShares Treasury Bond 7-10 UCITS")</f>
        <v>iShares Treasury Bond 7-10 UCITS</v>
      </c>
      <c r="D672" s="5" t="str">
        <f>IFERROR(__xludf.DUMMYFUNCTION("""COMPUTED_VALUE"""),"BUY")</f>
        <v>BUY</v>
      </c>
      <c r="E672" s="5">
        <f>IFERROR(__xludf.DUMMYFUNCTION("""COMPUTED_VALUE"""),8.0)</f>
        <v>8</v>
      </c>
      <c r="F672" s="25">
        <f>IFERROR(__xludf.DUMMYFUNCTION("""COMPUTED_VALUE"""),162.14)</f>
        <v>162.14</v>
      </c>
      <c r="G672" s="10">
        <f>IFERROR(__xludf.DUMMYFUNCTION("""COMPUTED_VALUE"""),-1297.12)</f>
        <v>-1297.12</v>
      </c>
    </row>
    <row r="673">
      <c r="A673" s="24">
        <f>IFERROR(__xludf.DUMMYFUNCTION("""COMPUTED_VALUE"""),43340.0)</f>
        <v>43340</v>
      </c>
      <c r="B673" s="5" t="str">
        <f>IFERROR(__xludf.DUMMYFUNCTION("""COMPUTED_VALUE"""),"Long term US bonds (20-25 year)")</f>
        <v>Long term US bonds (20-25 year)</v>
      </c>
      <c r="C673" s="5" t="str">
        <f>IFERROR(__xludf.DUMMYFUNCTION("""COMPUTED_VALUE"""),"iShares Treasury Bond 20+ UCITS USD Dist")</f>
        <v>iShares Treasury Bond 20+ UCITS USD Dist</v>
      </c>
      <c r="D673" s="21" t="str">
        <f>IFERROR(__xludf.DUMMYFUNCTION("""COMPUTED_VALUE"""),"COST")</f>
        <v>COST</v>
      </c>
      <c r="E673" s="5"/>
      <c r="F673" s="5"/>
      <c r="G673" s="10">
        <f>IFERROR(__xludf.DUMMYFUNCTION("""COMPUTED_VALUE"""),-2.25)</f>
        <v>-2.25</v>
      </c>
    </row>
    <row r="674">
      <c r="A674" s="24">
        <f>IFERROR(__xludf.DUMMYFUNCTION("""COMPUTED_VALUE"""),43340.0)</f>
        <v>43340</v>
      </c>
      <c r="B674" s="5" t="str">
        <f>IFERROR(__xludf.DUMMYFUNCTION("""COMPUTED_VALUE"""),"Long term US bonds (20-25 year)")</f>
        <v>Long term US bonds (20-25 year)</v>
      </c>
      <c r="C674" s="5" t="str">
        <f>IFERROR(__xludf.DUMMYFUNCTION("""COMPUTED_VALUE"""),"iShares Treasury Bond 20+ UCITS USD Dist")</f>
        <v>iShares Treasury Bond 20+ UCITS USD Dist</v>
      </c>
      <c r="D674" s="21" t="str">
        <f>IFERROR(__xludf.DUMMYFUNCTION("""COMPUTED_VALUE"""),"BUY")</f>
        <v>BUY</v>
      </c>
      <c r="E674" s="21">
        <f>IFERROR(__xludf.DUMMYFUNCTION("""COMPUTED_VALUE"""),1154.0)</f>
        <v>1154</v>
      </c>
      <c r="F674" s="25">
        <f>IFERROR(__xludf.DUMMYFUNCTION("""COMPUTED_VALUE"""),3.9)</f>
        <v>3.9</v>
      </c>
      <c r="G674" s="10">
        <f>IFERROR(__xludf.DUMMYFUNCTION("""COMPUTED_VALUE"""),-4501.07)</f>
        <v>-4501.07</v>
      </c>
    </row>
    <row r="675">
      <c r="A675" s="24">
        <f>IFERROR(__xludf.DUMMYFUNCTION("""COMPUTED_VALUE"""),43339.0)</f>
        <v>43339</v>
      </c>
      <c r="B675" s="5" t="str">
        <f>IFERROR(__xludf.DUMMYFUNCTION("""COMPUTED_VALUE"""),"Stocks")</f>
        <v>Stocks</v>
      </c>
      <c r="C675" s="5" t="str">
        <f>IFERROR(__xludf.DUMMYFUNCTION("""COMPUTED_VALUE"""),"Vanguard S&amp;P 500 UCITS")</f>
        <v>Vanguard S&amp;P 500 UCITS</v>
      </c>
      <c r="D675" s="5" t="str">
        <f>IFERROR(__xludf.DUMMYFUNCTION("""COMPUTED_VALUE"""),"BUY")</f>
        <v>BUY</v>
      </c>
      <c r="E675" s="5">
        <f>IFERROR(__xludf.DUMMYFUNCTION("""COMPUTED_VALUE"""),84.0)</f>
        <v>84</v>
      </c>
      <c r="F675" s="25">
        <f>IFERROR(__xludf.DUMMYFUNCTION("""COMPUTED_VALUE"""),47.252)</f>
        <v>47.252</v>
      </c>
      <c r="G675" s="10">
        <f>IFERROR(__xludf.DUMMYFUNCTION("""COMPUTED_VALUE"""),-3969.17)</f>
        <v>-3969.17</v>
      </c>
    </row>
    <row r="676">
      <c r="A676" s="24">
        <f>IFERROR(__xludf.DUMMYFUNCTION("""COMPUTED_VALUE"""),43339.0)</f>
        <v>43339</v>
      </c>
      <c r="B676" s="5" t="str">
        <f>IFERROR(__xludf.DUMMYFUNCTION("""COMPUTED_VALUE"""),"Commodities")</f>
        <v>Commodities</v>
      </c>
      <c r="C676" s="5" t="str">
        <f>IFERROR(__xludf.DUMMYFUNCTION("""COMPUTED_VALUE"""),"ETFS All Commodities ETC")</f>
        <v>ETFS All Commodities ETC</v>
      </c>
      <c r="D676" s="5" t="str">
        <f>IFERROR(__xludf.DUMMYFUNCTION("""COMPUTED_VALUE"""),"BUY")</f>
        <v>BUY</v>
      </c>
      <c r="E676" s="5">
        <f>IFERROR(__xludf.DUMMYFUNCTION("""COMPUTED_VALUE"""),443.0)</f>
        <v>443</v>
      </c>
      <c r="F676" s="25">
        <f>IFERROR(__xludf.DUMMYFUNCTION("""COMPUTED_VALUE"""),7.358)</f>
        <v>7.358</v>
      </c>
      <c r="G676" s="10">
        <f>IFERROR(__xludf.DUMMYFUNCTION("""COMPUTED_VALUE"""),-3259.59)</f>
        <v>-3259.59</v>
      </c>
    </row>
    <row r="677">
      <c r="A677" s="24">
        <f>IFERROR(__xludf.DUMMYFUNCTION("""COMPUTED_VALUE"""),43339.0)</f>
        <v>43339</v>
      </c>
      <c r="B677" s="5" t="str">
        <f>IFERROR(__xludf.DUMMYFUNCTION("""COMPUTED_VALUE"""),"Intermediate US bonds (7-10 year)")</f>
        <v>Intermediate US bonds (7-10 year)</v>
      </c>
      <c r="C677" s="5" t="str">
        <f>IFERROR(__xludf.DUMMYFUNCTION("""COMPUTED_VALUE"""),"iShares Treasury Bond 7-10 UCITS")</f>
        <v>iShares Treasury Bond 7-10 UCITS</v>
      </c>
      <c r="D677" s="5" t="str">
        <f>IFERROR(__xludf.DUMMYFUNCTION("""COMPUTED_VALUE"""),"BUY")</f>
        <v>BUY</v>
      </c>
      <c r="E677" s="5">
        <f>IFERROR(__xludf.DUMMYFUNCTION("""COMPUTED_VALUE"""),19.0)</f>
        <v>19</v>
      </c>
      <c r="F677" s="25">
        <f>IFERROR(__xludf.DUMMYFUNCTION("""COMPUTED_VALUE"""),163.99)</f>
        <v>163.99</v>
      </c>
      <c r="G677" s="10">
        <f>IFERROR(__xludf.DUMMYFUNCTION("""COMPUTED_VALUE"""),-3115.81)</f>
        <v>-3115.81</v>
      </c>
    </row>
    <row r="678">
      <c r="A678" s="24">
        <f>IFERROR(__xludf.DUMMYFUNCTION("""COMPUTED_VALUE"""),43339.0)</f>
        <v>43339</v>
      </c>
      <c r="B678" s="5" t="str">
        <f>IFERROR(__xludf.DUMMYFUNCTION("""COMPUTED_VALUE"""),"Gold")</f>
        <v>Gold</v>
      </c>
      <c r="C678" s="5" t="str">
        <f>IFERROR(__xludf.DUMMYFUNCTION("""COMPUTED_VALUE"""),"ETFS Physical Gold")</f>
        <v>ETFS Physical Gold</v>
      </c>
      <c r="D678" s="5" t="str">
        <f>IFERROR(__xludf.DUMMYFUNCTION("""COMPUTED_VALUE"""),"BUY")</f>
        <v>BUY</v>
      </c>
      <c r="E678" s="5">
        <f>IFERROR(__xludf.DUMMYFUNCTION("""COMPUTED_VALUE"""),31.0)</f>
        <v>31</v>
      </c>
      <c r="F678" s="25">
        <f>IFERROR(__xludf.DUMMYFUNCTION("""COMPUTED_VALUE"""),99.36)</f>
        <v>99.36</v>
      </c>
      <c r="G678" s="10">
        <f>IFERROR(__xludf.DUMMYFUNCTION("""COMPUTED_VALUE"""),-3080.16)</f>
        <v>-3080.16</v>
      </c>
    </row>
    <row r="679">
      <c r="A679" s="24">
        <f>IFERROR(__xludf.DUMMYFUNCTION("""COMPUTED_VALUE"""),43312.0)</f>
        <v>43312</v>
      </c>
      <c r="B679" s="5" t="str">
        <f>IFERROR(__xludf.DUMMYFUNCTION("""COMPUTED_VALUE"""),"Long term US bonds (20-25 year)")</f>
        <v>Long term US bonds (20-25 year)</v>
      </c>
      <c r="C679" s="5" t="str">
        <f>IFERROR(__xludf.DUMMYFUNCTION("""COMPUTED_VALUE"""),"iShares Treasury Bond 20+ UCITS USD Dist")</f>
        <v>iShares Treasury Bond 20+ UCITS USD Dist</v>
      </c>
      <c r="D679" s="21" t="str">
        <f>IFERROR(__xludf.DUMMYFUNCTION("""COMPUTED_VALUE"""),"COST")</f>
        <v>COST</v>
      </c>
      <c r="E679" s="5"/>
      <c r="F679" s="5"/>
      <c r="G679" s="10">
        <f>IFERROR(__xludf.DUMMYFUNCTION("""COMPUTED_VALUE"""),-4.46)</f>
        <v>-4.46</v>
      </c>
    </row>
    <row r="680">
      <c r="A680" s="24">
        <f>IFERROR(__xludf.DUMMYFUNCTION("""COMPUTED_VALUE"""),43312.0)</f>
        <v>43312</v>
      </c>
      <c r="B680" s="5" t="str">
        <f>IFERROR(__xludf.DUMMYFUNCTION("""COMPUTED_VALUE"""),"Long term US bonds (20-25 year)")</f>
        <v>Long term US bonds (20-25 year)</v>
      </c>
      <c r="C680" s="5" t="str">
        <f>IFERROR(__xludf.DUMMYFUNCTION("""COMPUTED_VALUE"""),"iShares Treasury Bond 20+ UCITS USD Dist")</f>
        <v>iShares Treasury Bond 20+ UCITS USD Dist</v>
      </c>
      <c r="D680" s="21" t="str">
        <f>IFERROR(__xludf.DUMMYFUNCTION("""COMPUTED_VALUE"""),"BUY")</f>
        <v>BUY</v>
      </c>
      <c r="E680" s="21">
        <f>IFERROR(__xludf.DUMMYFUNCTION("""COMPUTED_VALUE"""),4074.0)</f>
        <v>4074</v>
      </c>
      <c r="F680" s="25">
        <f>IFERROR(__xludf.DUMMYFUNCTION("""COMPUTED_VALUE"""),3.83)</f>
        <v>3.83</v>
      </c>
      <c r="G680" s="10">
        <f>IFERROR(__xludf.DUMMYFUNCTION("""COMPUTED_VALUE"""),-15602.16)</f>
        <v>-15602.16</v>
      </c>
    </row>
    <row r="681">
      <c r="A681" s="24">
        <f>IFERROR(__xludf.DUMMYFUNCTION("""COMPUTED_VALUE"""),43312.0)</f>
        <v>43312</v>
      </c>
      <c r="B681" s="5"/>
      <c r="C681" s="5"/>
      <c r="D681" s="21" t="str">
        <f>IFERROR(__xludf.DUMMYFUNCTION("""COMPUTED_VALUE"""),"COST")</f>
        <v>COST</v>
      </c>
      <c r="E681" s="5"/>
      <c r="F681" s="5"/>
      <c r="G681" s="10">
        <f>IFERROR(__xludf.DUMMYFUNCTION("""COMPUTED_VALUE"""),-467.55)</f>
        <v>-467.55</v>
      </c>
    </row>
    <row r="682">
      <c r="A682" s="24">
        <f>IFERROR(__xludf.DUMMYFUNCTION("""COMPUTED_VALUE"""),43312.0)</f>
        <v>43312</v>
      </c>
      <c r="B682" s="5" t="str">
        <f>IFERROR(__xludf.DUMMYFUNCTION("""COMPUTED_VALUE"""),"Stocks")</f>
        <v>Stocks</v>
      </c>
      <c r="C682" s="5" t="str">
        <f>IFERROR(__xludf.DUMMYFUNCTION("""COMPUTED_VALUE"""),"Vanguard S&amp;P 500 UCITS")</f>
        <v>Vanguard S&amp;P 500 UCITS</v>
      </c>
      <c r="D682" s="5" t="str">
        <f>IFERROR(__xludf.DUMMYFUNCTION("""COMPUTED_VALUE"""),"BUY")</f>
        <v>BUY</v>
      </c>
      <c r="E682" s="5">
        <f>IFERROR(__xludf.DUMMYFUNCTION("""COMPUTED_VALUE"""),226.0)</f>
        <v>226</v>
      </c>
      <c r="F682" s="25">
        <f>IFERROR(__xludf.DUMMYFUNCTION("""COMPUTED_VALUE"""),45.477)</f>
        <v>45.477</v>
      </c>
      <c r="G682" s="10">
        <f>IFERROR(__xludf.DUMMYFUNCTION("""COMPUTED_VALUE"""),-10277.8)</f>
        <v>-10277.8</v>
      </c>
    </row>
    <row r="683">
      <c r="A683" s="24">
        <f>IFERROR(__xludf.DUMMYFUNCTION("""COMPUTED_VALUE"""),43312.0)</f>
        <v>43312</v>
      </c>
      <c r="B683" s="5" t="str">
        <f>IFERROR(__xludf.DUMMYFUNCTION("""COMPUTED_VALUE"""),"Commodities")</f>
        <v>Commodities</v>
      </c>
      <c r="C683" s="5" t="str">
        <f>IFERROR(__xludf.DUMMYFUNCTION("""COMPUTED_VALUE"""),"ETFS All Commodities ETC")</f>
        <v>ETFS All Commodities ETC</v>
      </c>
      <c r="D683" s="5" t="str">
        <f>IFERROR(__xludf.DUMMYFUNCTION("""COMPUTED_VALUE"""),"BUY")</f>
        <v>BUY</v>
      </c>
      <c r="E683" s="5">
        <f>IFERROR(__xludf.DUMMYFUNCTION("""COMPUTED_VALUE"""),203.0)</f>
        <v>203</v>
      </c>
      <c r="F683" s="25">
        <f>IFERROR(__xludf.DUMMYFUNCTION("""COMPUTED_VALUE"""),7.404)</f>
        <v>7.404</v>
      </c>
      <c r="G683" s="10">
        <f>IFERROR(__xludf.DUMMYFUNCTION("""COMPUTED_VALUE"""),-1503.01)</f>
        <v>-1503.01</v>
      </c>
    </row>
    <row r="684">
      <c r="A684" s="24">
        <f>IFERROR(__xludf.DUMMYFUNCTION("""COMPUTED_VALUE"""),43312.0)</f>
        <v>43312</v>
      </c>
      <c r="B684" s="5" t="str">
        <f>IFERROR(__xludf.DUMMYFUNCTION("""COMPUTED_VALUE"""),"Intermediate US bonds (7-10 year)")</f>
        <v>Intermediate US bonds (7-10 year)</v>
      </c>
      <c r="C684" s="5" t="str">
        <f>IFERROR(__xludf.DUMMYFUNCTION("""COMPUTED_VALUE"""),"iShares Treasury Bond 7-10 UCITS")</f>
        <v>iShares Treasury Bond 7-10 UCITS</v>
      </c>
      <c r="D684" s="5" t="str">
        <f>IFERROR(__xludf.DUMMYFUNCTION("""COMPUTED_VALUE"""),"BUY")</f>
        <v>BUY</v>
      </c>
      <c r="E684" s="5">
        <f>IFERROR(__xludf.DUMMYFUNCTION("""COMPUTED_VALUE"""),36.0)</f>
        <v>36</v>
      </c>
      <c r="F684" s="25">
        <f>IFERROR(__xludf.DUMMYFUNCTION("""COMPUTED_VALUE"""),160.27)</f>
        <v>160.27</v>
      </c>
      <c r="G684" s="10">
        <f>IFERROR(__xludf.DUMMYFUNCTION("""COMPUTED_VALUE"""),-5769.72)</f>
        <v>-5769.72</v>
      </c>
    </row>
    <row r="685">
      <c r="A685" s="24">
        <f>IFERROR(__xludf.DUMMYFUNCTION("""COMPUTED_VALUE"""),43312.0)</f>
        <v>43312</v>
      </c>
      <c r="B685" s="5" t="str">
        <f>IFERROR(__xludf.DUMMYFUNCTION("""COMPUTED_VALUE"""),"Gold")</f>
        <v>Gold</v>
      </c>
      <c r="C685" s="5" t="str">
        <f>IFERROR(__xludf.DUMMYFUNCTION("""COMPUTED_VALUE"""),"ETFS Physical Gold")</f>
        <v>ETFS Physical Gold</v>
      </c>
      <c r="D685" s="5" t="str">
        <f>IFERROR(__xludf.DUMMYFUNCTION("""COMPUTED_VALUE"""),"BUY")</f>
        <v>BUY</v>
      </c>
      <c r="E685" s="5">
        <f>IFERROR(__xludf.DUMMYFUNCTION("""COMPUTED_VALUE"""),29.0)</f>
        <v>29</v>
      </c>
      <c r="F685" s="25">
        <f>IFERROR(__xludf.DUMMYFUNCTION("""COMPUTED_VALUE"""),99.77)</f>
        <v>99.77</v>
      </c>
      <c r="G685" s="10">
        <f>IFERROR(__xludf.DUMMYFUNCTION("""COMPUTED_VALUE"""),-2893.33)</f>
        <v>-2893.33</v>
      </c>
    </row>
    <row r="686">
      <c r="A686" s="24">
        <f>IFERROR(__xludf.DUMMYFUNCTION("""COMPUTED_VALUE"""),43304.0)</f>
        <v>43304</v>
      </c>
      <c r="B686" s="5" t="str">
        <f>IFERROR(__xludf.DUMMYFUNCTION("""COMPUTED_VALUE"""),"Long term US bonds (20-25 year)")</f>
        <v>Long term US bonds (20-25 year)</v>
      </c>
      <c r="C686" s="5" t="str">
        <f>IFERROR(__xludf.DUMMYFUNCTION("""COMPUTED_VALUE"""),"iShares Treasury Bond 20+ UCITS USD Dist")</f>
        <v>iShares Treasury Bond 20+ UCITS USD Dist</v>
      </c>
      <c r="D686" s="5" t="str">
        <f>IFERROR(__xludf.DUMMYFUNCTION("""COMPUTED_VALUE"""),"COST")</f>
        <v>COST</v>
      </c>
      <c r="E686" s="5"/>
      <c r="F686" s="5"/>
      <c r="G686" s="10">
        <f>IFERROR(__xludf.DUMMYFUNCTION("""COMPUTED_VALUE"""),-25.99)</f>
        <v>-25.99</v>
      </c>
    </row>
    <row r="687">
      <c r="A687" s="24">
        <f>IFERROR(__xludf.DUMMYFUNCTION("""COMPUTED_VALUE"""),43304.0)</f>
        <v>43304</v>
      </c>
      <c r="B687" s="5" t="str">
        <f>IFERROR(__xludf.DUMMYFUNCTION("""COMPUTED_VALUE"""),"Long term US bonds (20-25 year)")</f>
        <v>Long term US bonds (20-25 year)</v>
      </c>
      <c r="C687" s="5" t="str">
        <f>IFERROR(__xludf.DUMMYFUNCTION("""COMPUTED_VALUE"""),"iShares Treasury Bond 20+ UCITS USD Dist")</f>
        <v>iShares Treasury Bond 20+ UCITS USD Dist</v>
      </c>
      <c r="D687" s="5" t="str">
        <f>IFERROR(__xludf.DUMMYFUNCTION("""COMPUTED_VALUE"""),"BUY")</f>
        <v>BUY</v>
      </c>
      <c r="E687" s="21">
        <f>IFERROR(__xludf.DUMMYFUNCTION("""COMPUTED_VALUE"""),31102.0)</f>
        <v>31102</v>
      </c>
      <c r="F687" s="25">
        <f>IFERROR(__xludf.DUMMYFUNCTION("""COMPUTED_VALUE"""),3.857)</f>
        <v>3.857</v>
      </c>
      <c r="G687" s="10">
        <f>IFERROR(__xludf.DUMMYFUNCTION("""COMPUTED_VALUE"""),-119971.61)</f>
        <v>-119971.61</v>
      </c>
    </row>
    <row r="688">
      <c r="A688" s="24">
        <f>IFERROR(__xludf.DUMMYFUNCTION("""COMPUTED_VALUE"""),43304.0)</f>
        <v>43304</v>
      </c>
      <c r="B688" s="5" t="str">
        <f>IFERROR(__xludf.DUMMYFUNCTION("""COMPUTED_VALUE"""),"Stocks")</f>
        <v>Stocks</v>
      </c>
      <c r="C688" s="5" t="str">
        <f>IFERROR(__xludf.DUMMYFUNCTION("""COMPUTED_VALUE"""),"Vanguard S&amp;P 500 UCITS")</f>
        <v>Vanguard S&amp;P 500 UCITS</v>
      </c>
      <c r="D688" s="5" t="str">
        <f>IFERROR(__xludf.DUMMYFUNCTION("""COMPUTED_VALUE"""),"BUY")</f>
        <v>BUY</v>
      </c>
      <c r="E688" s="21">
        <f>IFERROR(__xludf.DUMMYFUNCTION("""COMPUTED_VALUE"""),1926.0)</f>
        <v>1926</v>
      </c>
      <c r="F688" s="25">
        <f>IFERROR(__xludf.DUMMYFUNCTION("""COMPUTED_VALUE"""),45.323)</f>
        <v>45.323</v>
      </c>
      <c r="G688" s="10">
        <f>IFERROR(__xludf.DUMMYFUNCTION("""COMPUTED_VALUE"""),-87292.1)</f>
        <v>-87292.1</v>
      </c>
    </row>
    <row r="689">
      <c r="A689" s="24">
        <f>IFERROR(__xludf.DUMMYFUNCTION("""COMPUTED_VALUE"""),43304.0)</f>
        <v>43304</v>
      </c>
      <c r="B689" s="5" t="str">
        <f>IFERROR(__xludf.DUMMYFUNCTION("""COMPUTED_VALUE"""),"Intermediate US bonds (7-10 year)")</f>
        <v>Intermediate US bonds (7-10 year)</v>
      </c>
      <c r="C689" s="5" t="str">
        <f>IFERROR(__xludf.DUMMYFUNCTION("""COMPUTED_VALUE"""),"iShares Treasury Bond 7-10 UCITS")</f>
        <v>iShares Treasury Bond 7-10 UCITS</v>
      </c>
      <c r="D689" s="5" t="str">
        <f>IFERROR(__xludf.DUMMYFUNCTION("""COMPUTED_VALUE"""),"BUY")</f>
        <v>BUY</v>
      </c>
      <c r="E689" s="21">
        <f>IFERROR(__xludf.DUMMYFUNCTION("""COMPUTED_VALUE"""),273.0)</f>
        <v>273</v>
      </c>
      <c r="F689" s="25">
        <f>IFERROR(__xludf.DUMMYFUNCTION("""COMPUTED_VALUE"""),160.85)</f>
        <v>160.85</v>
      </c>
      <c r="G689" s="10">
        <f>IFERROR(__xludf.DUMMYFUNCTION("""COMPUTED_VALUE"""),-43912.05)</f>
        <v>-43912.05</v>
      </c>
    </row>
    <row r="690">
      <c r="A690" s="24">
        <f>IFERROR(__xludf.DUMMYFUNCTION("""COMPUTED_VALUE"""),43297.0)</f>
        <v>43297</v>
      </c>
      <c r="B690" s="5" t="str">
        <f>IFERROR(__xludf.DUMMYFUNCTION("""COMPUTED_VALUE"""),"Commodities")</f>
        <v>Commodities</v>
      </c>
      <c r="C690" s="5" t="str">
        <f>IFERROR(__xludf.DUMMYFUNCTION("""COMPUTED_VALUE"""),"ETFS All Commodities ETC")</f>
        <v>ETFS All Commodities ETC</v>
      </c>
      <c r="D690" s="5" t="str">
        <f>IFERROR(__xludf.DUMMYFUNCTION("""COMPUTED_VALUE"""),"BUY")</f>
        <v>BUY</v>
      </c>
      <c r="E690" s="21">
        <f>IFERROR(__xludf.DUMMYFUNCTION("""COMPUTED_VALUE"""),3336.0)</f>
        <v>3336</v>
      </c>
      <c r="F690" s="25">
        <f>IFERROR(__xludf.DUMMYFUNCTION("""COMPUTED_VALUE"""),7.303)</f>
        <v>7.303</v>
      </c>
      <c r="G690" s="10">
        <f>IFERROR(__xludf.DUMMYFUNCTION("""COMPUTED_VALUE"""),-24362.81)</f>
        <v>-24362.81</v>
      </c>
    </row>
    <row r="691">
      <c r="A691" s="24">
        <f>IFERROR(__xludf.DUMMYFUNCTION("""COMPUTED_VALUE"""),43297.0)</f>
        <v>43297</v>
      </c>
      <c r="B691" s="5" t="str">
        <f>IFERROR(__xludf.DUMMYFUNCTION("""COMPUTED_VALUE"""),"Gold")</f>
        <v>Gold</v>
      </c>
      <c r="C691" s="5" t="str">
        <f>IFERROR(__xludf.DUMMYFUNCTION("""COMPUTED_VALUE"""),"ETFS Physical Gold")</f>
        <v>ETFS Physical Gold</v>
      </c>
      <c r="D691" s="5" t="str">
        <f>IFERROR(__xludf.DUMMYFUNCTION("""COMPUTED_VALUE"""),"BUY")</f>
        <v>BUY</v>
      </c>
      <c r="E691" s="5">
        <f>IFERROR(__xludf.DUMMYFUNCTION("""COMPUTED_VALUE"""),235.0)</f>
        <v>235</v>
      </c>
      <c r="F691" s="25">
        <f>IFERROR(__xludf.DUMMYFUNCTION("""COMPUTED_VALUE"""),101.75)</f>
        <v>101.75</v>
      </c>
      <c r="G691" s="10">
        <f>IFERROR(__xludf.DUMMYFUNCTION("""COMPUTED_VALUE"""),-23911.25)</f>
        <v>-23911.25</v>
      </c>
    </row>
    <row r="692">
      <c r="A692" s="24">
        <f>IFERROR(__xludf.DUMMYFUNCTION("""COMPUTED_VALUE"""),43291.0)</f>
        <v>43291</v>
      </c>
      <c r="B692" s="5"/>
      <c r="C692" s="5"/>
      <c r="D692" s="5" t="str">
        <f>IFERROR(__xludf.DUMMYFUNCTION("""COMPUTED_VALUE"""),"APPROVISIONNEMENT")</f>
        <v>APPROVISIONNEMENT</v>
      </c>
      <c r="E692" s="5"/>
      <c r="F692" s="5"/>
      <c r="G692" s="10">
        <f>IFERROR(__xludf.DUMMYFUNCTION("""COMPUTED_VALUE"""),108000.0)</f>
        <v>108000</v>
      </c>
    </row>
    <row r="693">
      <c r="A693" s="24">
        <f>IFERROR(__xludf.DUMMYFUNCTION("""COMPUTED_VALUE"""),43286.0)</f>
        <v>43286</v>
      </c>
      <c r="B693" s="5" t="str">
        <f>IFERROR(__xludf.DUMMYFUNCTION("""COMPUTED_VALUE"""),"Stocks")</f>
        <v>Stocks</v>
      </c>
      <c r="C693" s="5" t="str">
        <f>IFERROR(__xludf.DUMMYFUNCTION("""COMPUTED_VALUE"""),"Vanguard S&amp;P 500 UCITS")</f>
        <v>Vanguard S&amp;P 500 UCITS</v>
      </c>
      <c r="D693" s="21" t="str">
        <f>IFERROR(__xludf.DUMMYFUNCTION("""COMPUTED_VALUE"""),"DIVIDEND")</f>
        <v>DIVIDEND</v>
      </c>
      <c r="E693" s="5"/>
      <c r="F693" s="5"/>
      <c r="G693" s="10">
        <f>IFERROR(__xludf.DUMMYFUNCTION("""COMPUTED_VALUE"""),-72.97)</f>
        <v>-72.97</v>
      </c>
    </row>
    <row r="694">
      <c r="A694" s="24">
        <f>IFERROR(__xludf.DUMMYFUNCTION("""COMPUTED_VALUE"""),43286.0)</f>
        <v>43286</v>
      </c>
      <c r="B694" s="5" t="str">
        <f>IFERROR(__xludf.DUMMYFUNCTION("""COMPUTED_VALUE"""),"Stocks")</f>
        <v>Stocks</v>
      </c>
      <c r="C694" s="5" t="str">
        <f>IFERROR(__xludf.DUMMYFUNCTION("""COMPUTED_VALUE"""),"Vanguard S&amp;P 500 UCITS")</f>
        <v>Vanguard S&amp;P 500 UCITS</v>
      </c>
      <c r="D694" s="5" t="str">
        <f>IFERROR(__xludf.DUMMYFUNCTION("""COMPUTED_VALUE"""),"DIVIDEND")</f>
        <v>DIVIDEND</v>
      </c>
      <c r="E694" s="5"/>
      <c r="F694" s="5"/>
      <c r="G694" s="10">
        <f>IFERROR(__xludf.DUMMYFUNCTION("""COMPUTED_VALUE"""),501.26)</f>
        <v>501.26</v>
      </c>
    </row>
    <row r="695">
      <c r="A695" s="24">
        <f>IFERROR(__xludf.DUMMYFUNCTION("""COMPUTED_VALUE"""),43281.0)</f>
        <v>43281</v>
      </c>
      <c r="B695" s="5"/>
      <c r="C695" s="5"/>
      <c r="D695" s="21" t="str">
        <f>IFERROR(__xludf.DUMMYFUNCTION("""COMPUTED_VALUE"""),"COST")</f>
        <v>COST</v>
      </c>
      <c r="E695" s="5"/>
      <c r="F695" s="5"/>
      <c r="G695" s="10">
        <f>IFERROR(__xludf.DUMMYFUNCTION("""COMPUTED_VALUE"""),-276.19)</f>
        <v>-276.19</v>
      </c>
    </row>
    <row r="696">
      <c r="A696" s="24">
        <f>IFERROR(__xludf.DUMMYFUNCTION("""COMPUTED_VALUE"""),43280.0)</f>
        <v>43280</v>
      </c>
      <c r="B696" s="5"/>
      <c r="C696" s="5"/>
      <c r="D696" s="21" t="str">
        <f>IFERROR(__xludf.DUMMYFUNCTION("""COMPUTED_VALUE"""),"COST")</f>
        <v>COST</v>
      </c>
      <c r="E696" s="5"/>
      <c r="F696" s="5"/>
      <c r="G696" s="10">
        <f>IFERROR(__xludf.DUMMYFUNCTION("""COMPUTED_VALUE"""),-0.04)</f>
        <v>-0.04</v>
      </c>
    </row>
    <row r="697">
      <c r="A697" s="24">
        <f>IFERROR(__xludf.DUMMYFUNCTION("""COMPUTED_VALUE"""),43279.0)</f>
        <v>43279</v>
      </c>
      <c r="B697" s="5" t="str">
        <f>IFERROR(__xludf.DUMMYFUNCTION("""COMPUTED_VALUE"""),"Long term US bonds (20-25 year)")</f>
        <v>Long term US bonds (20-25 year)</v>
      </c>
      <c r="C697" s="5" t="str">
        <f>IFERROR(__xludf.DUMMYFUNCTION("""COMPUTED_VALUE"""),"iShares Treasury Bond 20+ UCITS USD Dist")</f>
        <v>iShares Treasury Bond 20+ UCITS USD Dist</v>
      </c>
      <c r="D697" s="21" t="str">
        <f>IFERROR(__xludf.DUMMYFUNCTION("""COMPUTED_VALUE"""),"DIVIDEND")</f>
        <v>DIVIDEND</v>
      </c>
      <c r="E697" s="5"/>
      <c r="F697" s="5"/>
      <c r="G697" s="10">
        <f>IFERROR(__xludf.DUMMYFUNCTION("""COMPUTED_VALUE"""),-329.67)</f>
        <v>-329.67</v>
      </c>
    </row>
    <row r="698">
      <c r="A698" s="24">
        <f>IFERROR(__xludf.DUMMYFUNCTION("""COMPUTED_VALUE"""),43278.0)</f>
        <v>43278</v>
      </c>
      <c r="B698" s="5" t="str">
        <f>IFERROR(__xludf.DUMMYFUNCTION("""COMPUTED_VALUE"""),"Long term US bonds (20-25 year)")</f>
        <v>Long term US bonds (20-25 year)</v>
      </c>
      <c r="C698" s="5" t="str">
        <f>IFERROR(__xludf.DUMMYFUNCTION("""COMPUTED_VALUE"""),"iShares Treasury Bond 20+ UCITS USD Dist")</f>
        <v>iShares Treasury Bond 20+ UCITS USD Dist</v>
      </c>
      <c r="D698" s="21" t="str">
        <f>IFERROR(__xludf.DUMMYFUNCTION("""COMPUTED_VALUE"""),"DIVIDEND")</f>
        <v>DIVIDEND</v>
      </c>
      <c r="E698" s="5"/>
      <c r="F698" s="5"/>
      <c r="G698" s="10">
        <f>IFERROR(__xludf.DUMMYFUNCTION("""COMPUTED_VALUE"""),2415.73)</f>
        <v>2415.73</v>
      </c>
    </row>
    <row r="699">
      <c r="A699" s="24">
        <f>IFERROR(__xludf.DUMMYFUNCTION("""COMPUTED_VALUE"""),43259.0)</f>
        <v>43259</v>
      </c>
      <c r="B699" s="5" t="str">
        <f>IFERROR(__xludf.DUMMYFUNCTION("""COMPUTED_VALUE"""),"Commodities")</f>
        <v>Commodities</v>
      </c>
      <c r="C699" s="5" t="str">
        <f>IFERROR(__xludf.DUMMYFUNCTION("""COMPUTED_VALUE"""),"ETFS All Commodities ETC")</f>
        <v>ETFS All Commodities ETC</v>
      </c>
      <c r="D699" s="5" t="str">
        <f>IFERROR(__xludf.DUMMYFUNCTION("""COMPUTED_VALUE"""),"BUY")</f>
        <v>BUY</v>
      </c>
      <c r="E699" s="5">
        <f>IFERROR(__xludf.DUMMYFUNCTION("""COMPUTED_VALUE"""),897.0)</f>
        <v>897</v>
      </c>
      <c r="F699" s="25">
        <f>IFERROR(__xludf.DUMMYFUNCTION("""COMPUTED_VALUE"""),7.768)</f>
        <v>7.768</v>
      </c>
      <c r="G699" s="10">
        <f>IFERROR(__xludf.DUMMYFUNCTION("""COMPUTED_VALUE"""),-6967.9)</f>
        <v>-6967.9</v>
      </c>
    </row>
    <row r="700">
      <c r="A700" s="24">
        <f>IFERROR(__xludf.DUMMYFUNCTION("""COMPUTED_VALUE"""),43259.0)</f>
        <v>43259</v>
      </c>
      <c r="B700" s="5" t="str">
        <f>IFERROR(__xludf.DUMMYFUNCTION("""COMPUTED_VALUE"""),"Gold")</f>
        <v>Gold</v>
      </c>
      <c r="C700" s="5" t="str">
        <f>IFERROR(__xludf.DUMMYFUNCTION("""COMPUTED_VALUE"""),"ETFS Physical Gold")</f>
        <v>ETFS Physical Gold</v>
      </c>
      <c r="D700" s="5" t="str">
        <f>IFERROR(__xludf.DUMMYFUNCTION("""COMPUTED_VALUE"""),"BUY")</f>
        <v>BUY</v>
      </c>
      <c r="E700" s="5">
        <f>IFERROR(__xludf.DUMMYFUNCTION("""COMPUTED_VALUE"""),68.0)</f>
        <v>68</v>
      </c>
      <c r="F700" s="25">
        <f>IFERROR(__xludf.DUMMYFUNCTION("""COMPUTED_VALUE"""),105.33)</f>
        <v>105.33</v>
      </c>
      <c r="G700" s="10">
        <f>IFERROR(__xludf.DUMMYFUNCTION("""COMPUTED_VALUE"""),-7162.44)</f>
        <v>-7162.44</v>
      </c>
    </row>
    <row r="701">
      <c r="A701" s="24">
        <f>IFERROR(__xludf.DUMMYFUNCTION("""COMPUTED_VALUE"""),43259.0)</f>
        <v>43259</v>
      </c>
      <c r="B701" s="5" t="str">
        <f>IFERROR(__xludf.DUMMYFUNCTION("""COMPUTED_VALUE"""),"Stocks")</f>
        <v>Stocks</v>
      </c>
      <c r="C701" s="5" t="str">
        <f>IFERROR(__xludf.DUMMYFUNCTION("""COMPUTED_VALUE"""),"Vanguard S&amp;P 500 UCITS")</f>
        <v>Vanguard S&amp;P 500 UCITS</v>
      </c>
      <c r="D701" s="5" t="str">
        <f>IFERROR(__xludf.DUMMYFUNCTION("""COMPUTED_VALUE"""),"BUY")</f>
        <v>BUY</v>
      </c>
      <c r="E701" s="5">
        <f>IFERROR(__xludf.DUMMYFUNCTION("""COMPUTED_VALUE"""),630.0)</f>
        <v>630</v>
      </c>
      <c r="F701" s="25">
        <f>IFERROR(__xludf.DUMMYFUNCTION("""COMPUTED_VALUE"""),44.718)</f>
        <v>44.718</v>
      </c>
      <c r="G701" s="10">
        <f>IFERROR(__xludf.DUMMYFUNCTION("""COMPUTED_VALUE"""),-28172.34)</f>
        <v>-28172.34</v>
      </c>
    </row>
    <row r="702">
      <c r="A702" s="24">
        <f>IFERROR(__xludf.DUMMYFUNCTION("""COMPUTED_VALUE"""),43259.0)</f>
        <v>43259</v>
      </c>
      <c r="B702" s="5" t="str">
        <f>IFERROR(__xludf.DUMMYFUNCTION("""COMPUTED_VALUE"""),"Long term US bonds (20-25 year)")</f>
        <v>Long term US bonds (20-25 year)</v>
      </c>
      <c r="C702" s="5" t="str">
        <f>IFERROR(__xludf.DUMMYFUNCTION("""COMPUTED_VALUE"""),"iShares Treasury Bond 20+ UCITS USD Dist")</f>
        <v>iShares Treasury Bond 20+ UCITS USD Dist</v>
      </c>
      <c r="D702" s="5" t="str">
        <f>IFERROR(__xludf.DUMMYFUNCTION("""COMPUTED_VALUE"""),"COST")</f>
        <v>COST</v>
      </c>
      <c r="E702" s="5"/>
      <c r="F702" s="5"/>
      <c r="G702" s="10">
        <f>IFERROR(__xludf.DUMMYFUNCTION("""COMPUTED_VALUE"""),-10.09)</f>
        <v>-10.09</v>
      </c>
    </row>
    <row r="703">
      <c r="A703" s="24">
        <f>IFERROR(__xludf.DUMMYFUNCTION("""COMPUTED_VALUE"""),43259.0)</f>
        <v>43259</v>
      </c>
      <c r="B703" s="5" t="str">
        <f>IFERROR(__xludf.DUMMYFUNCTION("""COMPUTED_VALUE"""),"Long term US bonds (20-25 year)")</f>
        <v>Long term US bonds (20-25 year)</v>
      </c>
      <c r="C703" s="5" t="str">
        <f>IFERROR(__xludf.DUMMYFUNCTION("""COMPUTED_VALUE"""),"iShares Treasury Bond 20+ UCITS USD Dist")</f>
        <v>iShares Treasury Bond 20+ UCITS USD Dist</v>
      </c>
      <c r="D703" s="5" t="str">
        <f>IFERROR(__xludf.DUMMYFUNCTION("""COMPUTED_VALUE"""),"BUY")</f>
        <v>BUY</v>
      </c>
      <c r="E703" s="21">
        <f>IFERROR(__xludf.DUMMYFUNCTION("""COMPUTED_VALUE"""),10452.0)</f>
        <v>10452</v>
      </c>
      <c r="F703" s="25">
        <f>IFERROR(__xludf.DUMMYFUNCTION("""COMPUTED_VALUE"""),3.869)</f>
        <v>3.869</v>
      </c>
      <c r="G703" s="10">
        <f>IFERROR(__xludf.DUMMYFUNCTION("""COMPUTED_VALUE"""),-40435.8)</f>
        <v>-40435.8</v>
      </c>
    </row>
    <row r="704">
      <c r="A704" s="24">
        <f>IFERROR(__xludf.DUMMYFUNCTION("""COMPUTED_VALUE"""),43259.0)</f>
        <v>43259</v>
      </c>
      <c r="B704" s="5" t="str">
        <f>IFERROR(__xludf.DUMMYFUNCTION("""COMPUTED_VALUE"""),"Intermediate US bonds (7-10 year)")</f>
        <v>Intermediate US bonds (7-10 year)</v>
      </c>
      <c r="C704" s="5" t="str">
        <f>IFERROR(__xludf.DUMMYFUNCTION("""COMPUTED_VALUE"""),"iShares Treasury Bond 7-10 UCITS")</f>
        <v>iShares Treasury Bond 7-10 UCITS</v>
      </c>
      <c r="D704" s="5" t="str">
        <f>IFERROR(__xludf.DUMMYFUNCTION("""COMPUTED_VALUE"""),"BUY")</f>
        <v>BUY</v>
      </c>
      <c r="E704" s="5">
        <f>IFERROR(__xludf.DUMMYFUNCTION("""COMPUTED_VALUE"""),93.0)</f>
        <v>93</v>
      </c>
      <c r="F704" s="25">
        <f>IFERROR(__xludf.DUMMYFUNCTION("""COMPUTED_VALUE"""),159.71)</f>
        <v>159.71</v>
      </c>
      <c r="G704" s="10">
        <f>IFERROR(__xludf.DUMMYFUNCTION("""COMPUTED_VALUE"""),-14853.03)</f>
        <v>-14853.03</v>
      </c>
    </row>
    <row r="705">
      <c r="A705" s="24">
        <f>IFERROR(__xludf.DUMMYFUNCTION("""COMPUTED_VALUE"""),43258.0)</f>
        <v>43258</v>
      </c>
      <c r="B705" s="5"/>
      <c r="C705" s="5"/>
      <c r="D705" s="5" t="str">
        <f>IFERROR(__xludf.DUMMYFUNCTION("""COMPUTED_VALUE"""),"APPROVISIONNEMENT")</f>
        <v>APPROVISIONNEMENT</v>
      </c>
      <c r="E705" s="5"/>
      <c r="F705" s="5"/>
      <c r="G705" s="10">
        <f>IFERROR(__xludf.DUMMYFUNCTION("""COMPUTED_VALUE"""),25000.0)</f>
        <v>25000</v>
      </c>
    </row>
    <row r="706">
      <c r="A706" s="24">
        <f>IFERROR(__xludf.DUMMYFUNCTION("""COMPUTED_VALUE"""),43256.0)</f>
        <v>43256</v>
      </c>
      <c r="B706" s="5" t="str">
        <f>IFERROR(__xludf.DUMMYFUNCTION("""COMPUTED_VALUE"""),"Commodities")</f>
        <v>Commodities</v>
      </c>
      <c r="C706" s="5" t="str">
        <f>IFERROR(__xludf.DUMMYFUNCTION("""COMPUTED_VALUE"""),"ETFS All Commodities ETC")</f>
        <v>ETFS All Commodities ETC</v>
      </c>
      <c r="D706" s="5" t="str">
        <f>IFERROR(__xludf.DUMMYFUNCTION("""COMPUTED_VALUE"""),"BUY")</f>
        <v>BUY</v>
      </c>
      <c r="E706" s="5">
        <f>IFERROR(__xludf.DUMMYFUNCTION("""COMPUTED_VALUE"""),163.0)</f>
        <v>163</v>
      </c>
      <c r="F706" s="25">
        <f>IFERROR(__xludf.DUMMYFUNCTION("""COMPUTED_VALUE"""),7.8)</f>
        <v>7.8</v>
      </c>
      <c r="G706" s="10">
        <f>IFERROR(__xludf.DUMMYFUNCTION("""COMPUTED_VALUE"""),-1271.4)</f>
        <v>-1271.4</v>
      </c>
    </row>
    <row r="707">
      <c r="A707" s="24">
        <f>IFERROR(__xludf.DUMMYFUNCTION("""COMPUTED_VALUE"""),43255.0)</f>
        <v>43255</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IFERROR(__xludf.DUMMYFUNCTION("""COMPUTED_VALUE"""),"COST")</f>
        <v>COST</v>
      </c>
      <c r="E707" s="5"/>
      <c r="F707" s="5"/>
      <c r="G707" s="10">
        <f>IFERROR(__xludf.DUMMYFUNCTION("""COMPUTED_VALUE"""),-3.82)</f>
        <v>-3.82</v>
      </c>
    </row>
    <row r="708">
      <c r="A708" s="24">
        <f>IFERROR(__xludf.DUMMYFUNCTION("""COMPUTED_VALUE"""),43255.0)</f>
        <v>43255</v>
      </c>
      <c r="B708" s="5" t="str">
        <f>IFERROR(__xludf.DUMMYFUNCTION("""COMPUTED_VALUE"""),"Long term US bonds (20-25 year)")</f>
        <v>Long term US bonds (20-25 year)</v>
      </c>
      <c r="C708" s="5" t="str">
        <f>IFERROR(__xludf.DUMMYFUNCTION("""COMPUTED_VALUE"""),"iShares Treasury Bond 20+ UCITS USD Dist")</f>
        <v>iShares Treasury Bond 20+ UCITS USD Dist</v>
      </c>
      <c r="D708" s="5" t="str">
        <f>IFERROR(__xludf.DUMMYFUNCTION("""COMPUTED_VALUE"""),"BUY")</f>
        <v>BUY</v>
      </c>
      <c r="E708" s="21">
        <f>IFERROR(__xludf.DUMMYFUNCTION("""COMPUTED_VALUE"""),2338.0)</f>
        <v>2338</v>
      </c>
      <c r="F708" s="25">
        <f>IFERROR(__xludf.DUMMYFUNCTION("""COMPUTED_VALUE"""),3.882)</f>
        <v>3.882</v>
      </c>
      <c r="G708" s="10">
        <f>IFERROR(__xludf.DUMMYFUNCTION("""COMPUTED_VALUE"""),-9076.29)</f>
        <v>-9076.29</v>
      </c>
    </row>
    <row r="709">
      <c r="A709" s="24">
        <f>IFERROR(__xludf.DUMMYFUNCTION("""COMPUTED_VALUE"""),43255.0)</f>
        <v>43255</v>
      </c>
      <c r="B709" s="5" t="str">
        <f>IFERROR(__xludf.DUMMYFUNCTION("""COMPUTED_VALUE"""),"Commodities")</f>
        <v>Commodities</v>
      </c>
      <c r="C709" s="5" t="str">
        <f>IFERROR(__xludf.DUMMYFUNCTION("""COMPUTED_VALUE"""),"ETFS All Commodities ETC")</f>
        <v>ETFS All Commodities ETC</v>
      </c>
      <c r="D709" s="5" t="str">
        <f>IFERROR(__xludf.DUMMYFUNCTION("""COMPUTED_VALUE"""),"BUY")</f>
        <v>BUY</v>
      </c>
      <c r="E709" s="5">
        <f>IFERROR(__xludf.DUMMYFUNCTION("""COMPUTED_VALUE"""),479.0)</f>
        <v>479</v>
      </c>
      <c r="F709" s="25">
        <f>IFERROR(__xludf.DUMMYFUNCTION("""COMPUTED_VALUE"""),7.801)</f>
        <v>7.801</v>
      </c>
      <c r="G709" s="10">
        <f>IFERROR(__xludf.DUMMYFUNCTION("""COMPUTED_VALUE"""),-3736.68)</f>
        <v>-3736.68</v>
      </c>
    </row>
    <row r="710">
      <c r="A710" s="24">
        <f>IFERROR(__xludf.DUMMYFUNCTION("""COMPUTED_VALUE"""),43255.0)</f>
        <v>43255</v>
      </c>
      <c r="B710" s="5" t="str">
        <f>IFERROR(__xludf.DUMMYFUNCTION("""COMPUTED_VALUE"""),"Intermediate US bonds (7-10 year)")</f>
        <v>Intermediate US bonds (7-10 year)</v>
      </c>
      <c r="C710" s="5" t="str">
        <f>IFERROR(__xludf.DUMMYFUNCTION("""COMPUTED_VALUE"""),"iShares Treasury Bond 7-10 UCITS")</f>
        <v>iShares Treasury Bond 7-10 UCITS</v>
      </c>
      <c r="D710" s="5" t="str">
        <f>IFERROR(__xludf.DUMMYFUNCTION("""COMPUTED_VALUE"""),"BUY")</f>
        <v>BUY</v>
      </c>
      <c r="E710" s="5">
        <f>IFERROR(__xludf.DUMMYFUNCTION("""COMPUTED_VALUE"""),23.0)</f>
        <v>23</v>
      </c>
      <c r="F710" s="25">
        <f>IFERROR(__xludf.DUMMYFUNCTION("""COMPUTED_VALUE"""),159.87)</f>
        <v>159.87</v>
      </c>
      <c r="G710" s="10">
        <f>IFERROR(__xludf.DUMMYFUNCTION("""COMPUTED_VALUE"""),-3677.01)</f>
        <v>-3677.01</v>
      </c>
    </row>
    <row r="711">
      <c r="A711" s="24">
        <f>IFERROR(__xludf.DUMMYFUNCTION("""COMPUTED_VALUE"""),43255.0)</f>
        <v>43255</v>
      </c>
      <c r="B711" s="5" t="str">
        <f>IFERROR(__xludf.DUMMYFUNCTION("""COMPUTED_VALUE"""),"Stocks")</f>
        <v>Stocks</v>
      </c>
      <c r="C711" s="5" t="str">
        <f>IFERROR(__xludf.DUMMYFUNCTION("""COMPUTED_VALUE"""),"Vanguard S&amp;P 500 UCITS")</f>
        <v>Vanguard S&amp;P 500 UCITS</v>
      </c>
      <c r="D711" s="5" t="str">
        <f>IFERROR(__xludf.DUMMYFUNCTION("""COMPUTED_VALUE"""),"BUY")</f>
        <v>BUY</v>
      </c>
      <c r="E711" s="5">
        <f>IFERROR(__xludf.DUMMYFUNCTION("""COMPUTED_VALUE"""),93.0)</f>
        <v>93</v>
      </c>
      <c r="F711" s="25">
        <f>IFERROR(__xludf.DUMMYFUNCTION("""COMPUTED_VALUE"""),44.55)</f>
        <v>44.55</v>
      </c>
      <c r="G711" s="10">
        <f>IFERROR(__xludf.DUMMYFUNCTION("""COMPUTED_VALUE"""),-4143.15)</f>
        <v>-4143.15</v>
      </c>
    </row>
    <row r="712">
      <c r="A712" s="24">
        <f>IFERROR(__xludf.DUMMYFUNCTION("""COMPUTED_VALUE"""),43255.0)</f>
        <v>43255</v>
      </c>
      <c r="B712" s="5" t="str">
        <f>IFERROR(__xludf.DUMMYFUNCTION("""COMPUTED_VALUE"""),"Long term US bonds (20-25 year)")</f>
        <v>Long term US bonds (20-25 year)</v>
      </c>
      <c r="C712" s="5" t="str">
        <f>IFERROR(__xludf.DUMMYFUNCTION("""COMPUTED_VALUE"""),"iShares Treasury Bond 20+ UCITS USD Dist")</f>
        <v>iShares Treasury Bond 20+ UCITS USD Dist</v>
      </c>
      <c r="D712" s="5" t="str">
        <f>IFERROR(__xludf.DUMMYFUNCTION("""COMPUTED_VALUE"""),"COST")</f>
        <v>COST</v>
      </c>
      <c r="E712" s="5"/>
      <c r="F712" s="5"/>
      <c r="G712" s="10">
        <f>IFERROR(__xludf.DUMMYFUNCTION("""COMPUTED_VALUE"""),-2.96)</f>
        <v>-2.96</v>
      </c>
    </row>
    <row r="713">
      <c r="A713" s="24">
        <f>IFERROR(__xludf.DUMMYFUNCTION("""COMPUTED_VALUE"""),43255.0)</f>
        <v>43255</v>
      </c>
      <c r="B713" s="5" t="str">
        <f>IFERROR(__xludf.DUMMYFUNCTION("""COMPUTED_VALUE"""),"Long term US bonds (20-25 year)")</f>
        <v>Long term US bonds (20-25 year)</v>
      </c>
      <c r="C713" s="5" t="str">
        <f>IFERROR(__xludf.DUMMYFUNCTION("""COMPUTED_VALUE"""),"iShares Treasury Bond 20+ UCITS USD Dist")</f>
        <v>iShares Treasury Bond 20+ UCITS USD Dist</v>
      </c>
      <c r="D713" s="5" t="str">
        <f>IFERROR(__xludf.DUMMYFUNCTION("""COMPUTED_VALUE"""),"BUY")</f>
        <v>BUY</v>
      </c>
      <c r="E713" s="21">
        <f>IFERROR(__xludf.DUMMYFUNCTION("""COMPUTED_VALUE"""),1235.0)</f>
        <v>1235</v>
      </c>
      <c r="F713" s="25">
        <f>IFERROR(__xludf.DUMMYFUNCTION("""COMPUTED_VALUE"""),3.881)</f>
        <v>3.881</v>
      </c>
      <c r="G713" s="10">
        <f>IFERROR(__xludf.DUMMYFUNCTION("""COMPUTED_VALUE"""),-4793.1)</f>
        <v>-4793.1</v>
      </c>
    </row>
    <row r="714">
      <c r="A714" s="24">
        <f>IFERROR(__xludf.DUMMYFUNCTION("""COMPUTED_VALUE"""),43255.0)</f>
        <v>43255</v>
      </c>
      <c r="B714" s="5" t="str">
        <f>IFERROR(__xludf.DUMMYFUNCTION("""COMPUTED_VALUE"""),"Stocks")</f>
        <v>Stocks</v>
      </c>
      <c r="C714" s="5" t="str">
        <f>IFERROR(__xludf.DUMMYFUNCTION("""COMPUTED_VALUE"""),"Vanguard S&amp;P 500 UCITS")</f>
        <v>Vanguard S&amp;P 500 UCITS</v>
      </c>
      <c r="D714" s="5" t="str">
        <f>IFERROR(__xludf.DUMMYFUNCTION("""COMPUTED_VALUE"""),"BUY")</f>
        <v>BUY</v>
      </c>
      <c r="E714" s="5">
        <f>IFERROR(__xludf.DUMMYFUNCTION("""COMPUTED_VALUE"""),88.0)</f>
        <v>88</v>
      </c>
      <c r="F714" s="25">
        <f>IFERROR(__xludf.DUMMYFUNCTION("""COMPUTED_VALUE"""),44.539)</f>
        <v>44.539</v>
      </c>
      <c r="G714" s="10">
        <f>IFERROR(__xludf.DUMMYFUNCTION("""COMPUTED_VALUE"""),-3919.43)</f>
        <v>-3919.43</v>
      </c>
    </row>
    <row r="715">
      <c r="A715" s="24">
        <f>IFERROR(__xludf.DUMMYFUNCTION("""COMPUTED_VALUE"""),43255.0)</f>
        <v>43255</v>
      </c>
      <c r="B715" s="5" t="str">
        <f>IFERROR(__xludf.DUMMYFUNCTION("""COMPUTED_VALUE"""),"Intermediate US bonds (7-10 year)")</f>
        <v>Intermediate US bonds (7-10 year)</v>
      </c>
      <c r="C715" s="5" t="str">
        <f>IFERROR(__xludf.DUMMYFUNCTION("""COMPUTED_VALUE"""),"iShares Treasury Bond 7-10 UCITS")</f>
        <v>iShares Treasury Bond 7-10 UCITS</v>
      </c>
      <c r="D715" s="5" t="str">
        <f>IFERROR(__xludf.DUMMYFUNCTION("""COMPUTED_VALUE"""),"BUY")</f>
        <v>BUY</v>
      </c>
      <c r="E715" s="5">
        <f>IFERROR(__xludf.DUMMYFUNCTION("""COMPUTED_VALUE"""),13.0)</f>
        <v>13</v>
      </c>
      <c r="F715" s="25">
        <f>IFERROR(__xludf.DUMMYFUNCTION("""COMPUTED_VALUE"""),159.82)</f>
        <v>159.82</v>
      </c>
      <c r="G715" s="10">
        <f>IFERROR(__xludf.DUMMYFUNCTION("""COMPUTED_VALUE"""),-2077.66)</f>
        <v>-2077.66</v>
      </c>
    </row>
    <row r="716">
      <c r="A716" s="24">
        <f>IFERROR(__xludf.DUMMYFUNCTION("""COMPUTED_VALUE"""),43255.0)</f>
        <v>43255</v>
      </c>
      <c r="B716" s="5" t="str">
        <f>IFERROR(__xludf.DUMMYFUNCTION("""COMPUTED_VALUE"""),"Gold")</f>
        <v>Gold</v>
      </c>
      <c r="C716" s="5" t="str">
        <f>IFERROR(__xludf.DUMMYFUNCTION("""COMPUTED_VALUE"""),"ETFS Physical Gold")</f>
        <v>ETFS Physical Gold</v>
      </c>
      <c r="D716" s="5" t="str">
        <f>IFERROR(__xludf.DUMMYFUNCTION("""COMPUTED_VALUE"""),"BUY")</f>
        <v>BUY</v>
      </c>
      <c r="E716" s="5">
        <f>IFERROR(__xludf.DUMMYFUNCTION("""COMPUTED_VALUE"""),11.0)</f>
        <v>11</v>
      </c>
      <c r="F716" s="25">
        <f>IFERROR(__xludf.DUMMYFUNCTION("""COMPUTED_VALUE"""),105.72)</f>
        <v>105.72</v>
      </c>
      <c r="G716" s="10">
        <f>IFERROR(__xludf.DUMMYFUNCTION("""COMPUTED_VALUE"""),-1162.92)</f>
        <v>-1162.92</v>
      </c>
    </row>
    <row r="717">
      <c r="A717" s="24">
        <f>IFERROR(__xludf.DUMMYFUNCTION("""COMPUTED_VALUE"""),43251.0)</f>
        <v>43251</v>
      </c>
      <c r="B717" s="5" t="str">
        <f>IFERROR(__xludf.DUMMYFUNCTION("""COMPUTED_VALUE"""),"Intermediate US bonds (7-10 year)")</f>
        <v>Intermediate US bonds (7-10 year)</v>
      </c>
      <c r="C717" s="5" t="str">
        <f>IFERROR(__xludf.DUMMYFUNCTION("""COMPUTED_VALUE"""),"iShares Treasury Bond 7-10 UCITS")</f>
        <v>iShares Treasury Bond 7-10 UCITS</v>
      </c>
      <c r="D717" s="21" t="str">
        <f>IFERROR(__xludf.DUMMYFUNCTION("""COMPUTED_VALUE"""),"DIVIDEND")</f>
        <v>DIVIDEND</v>
      </c>
      <c r="E717" s="5"/>
      <c r="F717" s="5"/>
      <c r="G717" s="10">
        <f>IFERROR(__xludf.DUMMYFUNCTION("""COMPUTED_VALUE"""),471.2)</f>
        <v>471.2</v>
      </c>
    </row>
    <row r="718">
      <c r="A718" s="24">
        <f>IFERROR(__xludf.DUMMYFUNCTION("""COMPUTED_VALUE"""),43251.0)</f>
        <v>43251</v>
      </c>
      <c r="B718" s="5" t="str">
        <f>IFERROR(__xludf.DUMMYFUNCTION("""COMPUTED_VALUE"""),"Intermediate US bonds (7-10 year)")</f>
        <v>Intermediate US bonds (7-10 year)</v>
      </c>
      <c r="C718" s="5" t="str">
        <f>IFERROR(__xludf.DUMMYFUNCTION("""COMPUTED_VALUE"""),"iShares Treasury Bond 7-10 UCITS")</f>
        <v>iShares Treasury Bond 7-10 UCITS</v>
      </c>
      <c r="D718" s="21" t="str">
        <f>IFERROR(__xludf.DUMMYFUNCTION("""COMPUTED_VALUE"""),"DIVIDEND")</f>
        <v>DIVIDEND</v>
      </c>
      <c r="E718" s="5"/>
      <c r="F718" s="5"/>
      <c r="G718" s="10">
        <f>IFERROR(__xludf.DUMMYFUNCTION("""COMPUTED_VALUE"""),-68.59)</f>
        <v>-68.59</v>
      </c>
    </row>
    <row r="719">
      <c r="A719" s="24">
        <f>IFERROR(__xludf.DUMMYFUNCTION("""COMPUTED_VALUE"""),43251.0)</f>
        <v>43251</v>
      </c>
      <c r="B719" s="5"/>
      <c r="C719" s="5"/>
      <c r="D719" s="21" t="str">
        <f>IFERROR(__xludf.DUMMYFUNCTION("""COMPUTED_VALUE"""),"COST")</f>
        <v>COST</v>
      </c>
      <c r="E719" s="5"/>
      <c r="F719" s="5"/>
      <c r="G719" s="10">
        <f>IFERROR(__xludf.DUMMYFUNCTION("""COMPUTED_VALUE"""),-161.46)</f>
        <v>-161.46</v>
      </c>
    </row>
    <row r="720">
      <c r="A720" s="24">
        <f>IFERROR(__xludf.DUMMYFUNCTION("""COMPUTED_VALUE"""),43251.0)</f>
        <v>43251</v>
      </c>
      <c r="B720" s="5"/>
      <c r="C720" s="5"/>
      <c r="D720" s="21" t="str">
        <f>IFERROR(__xludf.DUMMYFUNCTION("""COMPUTED_VALUE"""),"COST")</f>
        <v>COST</v>
      </c>
      <c r="E720" s="5"/>
      <c r="F720" s="5"/>
      <c r="G720" s="10">
        <f>IFERROR(__xludf.DUMMYFUNCTION("""COMPUTED_VALUE"""),-2.5)</f>
        <v>-2.5</v>
      </c>
    </row>
    <row r="721">
      <c r="A721" s="24">
        <f>IFERROR(__xludf.DUMMYFUNCTION("""COMPUTED_VALUE"""),43224.0)</f>
        <v>43224</v>
      </c>
      <c r="B721" s="5" t="str">
        <f>IFERROR(__xludf.DUMMYFUNCTION("""COMPUTED_VALUE"""),"Intermediate US bonds (7-10 year)")</f>
        <v>Intermediate US bonds (7-10 year)</v>
      </c>
      <c r="C721" s="5" t="str">
        <f>IFERROR(__xludf.DUMMYFUNCTION("""COMPUTED_VALUE"""),"Vanguard Intermediate-Term Treasury ETF")</f>
        <v>Vanguard Intermediate-Term Treasury ETF</v>
      </c>
      <c r="D721" s="21" t="str">
        <f>IFERROR(__xludf.DUMMYFUNCTION("""COMPUTED_VALUE"""),"DIVIDEND")</f>
        <v>DIVIDEND</v>
      </c>
      <c r="E721" s="5"/>
      <c r="F721" s="5"/>
      <c r="G721" s="10">
        <f>IFERROR(__xludf.DUMMYFUNCTION("""COMPUTED_VALUE"""),7.5)</f>
        <v>7.5</v>
      </c>
    </row>
    <row r="722">
      <c r="A722" s="24">
        <f>IFERROR(__xludf.DUMMYFUNCTION("""COMPUTED_VALUE"""),43224.0)</f>
        <v>43224</v>
      </c>
      <c r="B722" s="5" t="str">
        <f>IFERROR(__xludf.DUMMYFUNCTION("""COMPUTED_VALUE"""),"Intermediate US bonds (7-10 year)")</f>
        <v>Intermediate US bonds (7-10 year)</v>
      </c>
      <c r="C722" s="5" t="str">
        <f>IFERROR(__xludf.DUMMYFUNCTION("""COMPUTED_VALUE"""),"Vanguard Intermediate-Term Treasury ETF")</f>
        <v>Vanguard Intermediate-Term Treasury ETF</v>
      </c>
      <c r="D722" s="21" t="str">
        <f>IFERROR(__xludf.DUMMYFUNCTION("""COMPUTED_VALUE"""),"DIVIDEND")</f>
        <v>DIVIDEND</v>
      </c>
      <c r="E722" s="5"/>
      <c r="F722" s="5"/>
      <c r="G722" s="10">
        <f>IFERROR(__xludf.DUMMYFUNCTION("""COMPUTED_VALUE"""),-7.01)</f>
        <v>-7.01</v>
      </c>
    </row>
    <row r="723">
      <c r="A723" s="24">
        <f>IFERROR(__xludf.DUMMYFUNCTION("""COMPUTED_VALUE"""),43224.0)</f>
        <v>43224</v>
      </c>
      <c r="B723" s="5" t="str">
        <f>IFERROR(__xludf.DUMMYFUNCTION("""COMPUTED_VALUE"""),"Intermediate US bonds (7-10 year)")</f>
        <v>Intermediate US bonds (7-10 year)</v>
      </c>
      <c r="C723" s="5" t="str">
        <f>IFERROR(__xludf.DUMMYFUNCTION("""COMPUTED_VALUE"""),"Vanguard Intermediate-Term Treasury ETF")</f>
        <v>Vanguard Intermediate-Term Treasury ETF</v>
      </c>
      <c r="D723" s="21" t="str">
        <f>IFERROR(__xludf.DUMMYFUNCTION("""COMPUTED_VALUE"""),"DIVIDEND")</f>
        <v>DIVIDEND</v>
      </c>
      <c r="E723" s="5"/>
      <c r="F723" s="5"/>
      <c r="G723" s="10">
        <f>IFERROR(__xludf.DUMMYFUNCTION("""COMPUTED_VALUE"""),42.49)</f>
        <v>42.49</v>
      </c>
    </row>
    <row r="724">
      <c r="A724" s="24">
        <f>IFERROR(__xludf.DUMMYFUNCTION("""COMPUTED_VALUE"""),43224.0)</f>
        <v>43224</v>
      </c>
      <c r="B724" s="5" t="str">
        <f>IFERROR(__xludf.DUMMYFUNCTION("""COMPUTED_VALUE"""),"Long term US bonds (20-25 year)")</f>
        <v>Long term US bonds (20-25 year)</v>
      </c>
      <c r="C724" s="5" t="str">
        <f>IFERROR(__xludf.DUMMYFUNCTION("""COMPUTED_VALUE"""),"iShares Treasury Bond 20+ UCITS USD Dist")</f>
        <v>iShares Treasury Bond 20+ UCITS USD Dist</v>
      </c>
      <c r="D724" s="21" t="str">
        <f>IFERROR(__xludf.DUMMYFUNCTION("""COMPUTED_VALUE"""),"COST")</f>
        <v>COST</v>
      </c>
      <c r="E724" s="5"/>
      <c r="F724" s="5"/>
      <c r="G724" s="10">
        <f>IFERROR(__xludf.DUMMYFUNCTION("""COMPUTED_VALUE"""),-5.42)</f>
        <v>-5.42</v>
      </c>
    </row>
    <row r="725">
      <c r="A725" s="24">
        <f>IFERROR(__xludf.DUMMYFUNCTION("""COMPUTED_VALUE"""),43224.0)</f>
        <v>43224</v>
      </c>
      <c r="B725" s="5" t="str">
        <f>IFERROR(__xludf.DUMMYFUNCTION("""COMPUTED_VALUE"""),"Long term US bonds (20-25 year)")</f>
        <v>Long term US bonds (20-25 year)</v>
      </c>
      <c r="C725" s="5" t="str">
        <f>IFERROR(__xludf.DUMMYFUNCTION("""COMPUTED_VALUE"""),"iShares Treasury Bond 20+ UCITS USD Dist")</f>
        <v>iShares Treasury Bond 20+ UCITS USD Dist</v>
      </c>
      <c r="D725" s="21" t="str">
        <f>IFERROR(__xludf.DUMMYFUNCTION("""COMPUTED_VALUE"""),"BUY")</f>
        <v>BUY</v>
      </c>
      <c r="E725" s="21">
        <f>IFERROR(__xludf.DUMMYFUNCTION("""COMPUTED_VALUE"""),4546.0)</f>
        <v>4546</v>
      </c>
      <c r="F725" s="25">
        <f>IFERROR(__xludf.DUMMYFUNCTION("""COMPUTED_VALUE"""),3.767)</f>
        <v>3.767</v>
      </c>
      <c r="G725" s="10">
        <f>IFERROR(__xludf.DUMMYFUNCTION("""COMPUTED_VALUE"""),-17125.03)</f>
        <v>-17125.03</v>
      </c>
    </row>
    <row r="726">
      <c r="A726" s="24">
        <f>IFERROR(__xludf.DUMMYFUNCTION("""COMPUTED_VALUE"""),43224.0)</f>
        <v>43224</v>
      </c>
      <c r="B726" s="5" t="str">
        <f>IFERROR(__xludf.DUMMYFUNCTION("""COMPUTED_VALUE"""),"Intermediate US bonds (7-10 year)")</f>
        <v>Intermediate US bonds (7-10 year)</v>
      </c>
      <c r="C726" s="5" t="str">
        <f>IFERROR(__xludf.DUMMYFUNCTION("""COMPUTED_VALUE"""),"iShares Treasury Bond 7-10 UCITS")</f>
        <v>iShares Treasury Bond 7-10 UCITS</v>
      </c>
      <c r="D726" s="21" t="str">
        <f>IFERROR(__xludf.DUMMYFUNCTION("""COMPUTED_VALUE"""),"BUY")</f>
        <v>BUY</v>
      </c>
      <c r="E726" s="21">
        <f>IFERROR(__xludf.DUMMYFUNCTION("""COMPUTED_VALUE"""),19.0)</f>
        <v>19</v>
      </c>
      <c r="F726" s="25">
        <f>IFERROR(__xludf.DUMMYFUNCTION("""COMPUTED_VALUE"""),158.01)</f>
        <v>158.01</v>
      </c>
      <c r="G726" s="10">
        <f>IFERROR(__xludf.DUMMYFUNCTION("""COMPUTED_VALUE"""),-3002.19)</f>
        <v>-3002.19</v>
      </c>
    </row>
    <row r="727">
      <c r="A727" s="24">
        <f>IFERROR(__xludf.DUMMYFUNCTION("""COMPUTED_VALUE"""),43224.0)</f>
        <v>43224</v>
      </c>
      <c r="B727" s="5" t="str">
        <f>IFERROR(__xludf.DUMMYFUNCTION("""COMPUTED_VALUE"""),"Long term US bonds (20-25 year)")</f>
        <v>Long term US bonds (20-25 year)</v>
      </c>
      <c r="C727" s="5" t="str">
        <f>IFERROR(__xludf.DUMMYFUNCTION("""COMPUTED_VALUE"""),"Vanguard Extended Duration Treasury ETF")</f>
        <v>Vanguard Extended Duration Treasury ETF</v>
      </c>
      <c r="D727" s="21" t="str">
        <f>IFERROR(__xludf.DUMMYFUNCTION("""COMPUTED_VALUE"""),"SELL")</f>
        <v>SELL</v>
      </c>
      <c r="E727" s="21">
        <f>IFERROR(__xludf.DUMMYFUNCTION("""COMPUTED_VALUE"""),-707.0)</f>
        <v>-707</v>
      </c>
      <c r="F727" s="25">
        <f>IFERROR(__xludf.DUMMYFUNCTION("""COMPUTED_VALUE"""),93.145)</f>
        <v>93.145</v>
      </c>
      <c r="G727" s="10">
        <f>IFERROR(__xludf.DUMMYFUNCTION("""COMPUTED_VALUE"""),65853.53)</f>
        <v>65853.53</v>
      </c>
    </row>
    <row r="728">
      <c r="A728" s="24">
        <f>IFERROR(__xludf.DUMMYFUNCTION("""COMPUTED_VALUE"""),43224.0)</f>
        <v>43224</v>
      </c>
      <c r="B728" s="5" t="str">
        <f>IFERROR(__xludf.DUMMYFUNCTION("""COMPUTED_VALUE"""),"Long term US bonds (20-25 year)")</f>
        <v>Long term US bonds (20-25 year)</v>
      </c>
      <c r="C728" s="5" t="str">
        <f>IFERROR(__xludf.DUMMYFUNCTION("""COMPUTED_VALUE"""),"iShares Treasury Bond 20+ UCITS USD Dist")</f>
        <v>iShares Treasury Bond 20+ UCITS USD Dist</v>
      </c>
      <c r="D728" s="21" t="str">
        <f>IFERROR(__xludf.DUMMYFUNCTION("""COMPUTED_VALUE"""),"COST")</f>
        <v>COST</v>
      </c>
      <c r="E728" s="5"/>
      <c r="F728" s="5"/>
      <c r="G728" s="10">
        <f>IFERROR(__xludf.DUMMYFUNCTION("""COMPUTED_VALUE"""),-17.04)</f>
        <v>-17.04</v>
      </c>
    </row>
    <row r="729">
      <c r="A729" s="24">
        <f>IFERROR(__xludf.DUMMYFUNCTION("""COMPUTED_VALUE"""),43224.0)</f>
        <v>43224</v>
      </c>
      <c r="B729" s="5" t="str">
        <f>IFERROR(__xludf.DUMMYFUNCTION("""COMPUTED_VALUE"""),"Long term US bonds (20-25 year)")</f>
        <v>Long term US bonds (20-25 year)</v>
      </c>
      <c r="C729" s="5" t="str">
        <f>IFERROR(__xludf.DUMMYFUNCTION("""COMPUTED_VALUE"""),"iShares Treasury Bond 20+ UCITS USD Dist")</f>
        <v>iShares Treasury Bond 20+ UCITS USD Dist</v>
      </c>
      <c r="D729" s="21" t="str">
        <f>IFERROR(__xludf.DUMMYFUNCTION("""COMPUTED_VALUE"""),"BUY")</f>
        <v>BUY</v>
      </c>
      <c r="E729" s="21">
        <f>IFERROR(__xludf.DUMMYFUNCTION("""COMPUTED_VALUE"""),20019.0)</f>
        <v>20019</v>
      </c>
      <c r="F729" s="25">
        <f>IFERROR(__xludf.DUMMYFUNCTION("""COMPUTED_VALUE"""),3.758)</f>
        <v>3.758</v>
      </c>
      <c r="G729" s="10">
        <f>IFERROR(__xludf.DUMMYFUNCTION("""COMPUTED_VALUE"""),-75232.62)</f>
        <v>-75232.62</v>
      </c>
    </row>
    <row r="730">
      <c r="A730" s="24">
        <f>IFERROR(__xludf.DUMMYFUNCTION("""COMPUTED_VALUE"""),43224.0)</f>
        <v>43224</v>
      </c>
      <c r="B730" s="5" t="str">
        <f>IFERROR(__xludf.DUMMYFUNCTION("""COMPUTED_VALUE"""),"Stocks")</f>
        <v>Stocks</v>
      </c>
      <c r="C730" s="5" t="str">
        <f>IFERROR(__xludf.DUMMYFUNCTION("""COMPUTED_VALUE"""),"Vanguard S&amp;P 500 UCITS")</f>
        <v>Vanguard S&amp;P 500 UCITS</v>
      </c>
      <c r="D730" s="21" t="str">
        <f>IFERROR(__xludf.DUMMYFUNCTION("""COMPUTED_VALUE"""),"BUY")</f>
        <v>BUY</v>
      </c>
      <c r="E730" s="21">
        <f>IFERROR(__xludf.DUMMYFUNCTION("""COMPUTED_VALUE"""),85.0)</f>
        <v>85</v>
      </c>
      <c r="F730" s="25">
        <f>IFERROR(__xludf.DUMMYFUNCTION("""COMPUTED_VALUE"""),42.11)</f>
        <v>42.11</v>
      </c>
      <c r="G730" s="10">
        <f>IFERROR(__xludf.DUMMYFUNCTION("""COMPUTED_VALUE"""),-3579.35)</f>
        <v>-3579.35</v>
      </c>
    </row>
    <row r="731">
      <c r="A731" s="24">
        <f>IFERROR(__xludf.DUMMYFUNCTION("""COMPUTED_VALUE"""),43224.0)</f>
        <v>43224</v>
      </c>
      <c r="B731" s="5" t="str">
        <f>IFERROR(__xludf.DUMMYFUNCTION("""COMPUTED_VALUE"""),"Intermediate US bonds (7-10 year)")</f>
        <v>Intermediate US bonds (7-10 year)</v>
      </c>
      <c r="C731" s="5" t="str">
        <f>IFERROR(__xludf.DUMMYFUNCTION("""COMPUTED_VALUE"""),"iShares Treasury Bond 7-10 UCITS")</f>
        <v>iShares Treasury Bond 7-10 UCITS</v>
      </c>
      <c r="D731" s="21" t="str">
        <f>IFERROR(__xludf.DUMMYFUNCTION("""COMPUTED_VALUE"""),"BUY")</f>
        <v>BUY</v>
      </c>
      <c r="E731" s="21">
        <f>IFERROR(__xludf.DUMMYFUNCTION("""COMPUTED_VALUE"""),16.0)</f>
        <v>16</v>
      </c>
      <c r="F731" s="25">
        <f>IFERROR(__xludf.DUMMYFUNCTION("""COMPUTED_VALUE"""),158.17)</f>
        <v>158.17</v>
      </c>
      <c r="G731" s="10">
        <f>IFERROR(__xludf.DUMMYFUNCTION("""COMPUTED_VALUE"""),-2530.72)</f>
        <v>-2530.72</v>
      </c>
    </row>
    <row r="732">
      <c r="A732" s="24">
        <f>IFERROR(__xludf.DUMMYFUNCTION("""COMPUTED_VALUE"""),43224.0)</f>
        <v>43224</v>
      </c>
      <c r="B732" s="5" t="str">
        <f>IFERROR(__xludf.DUMMYFUNCTION("""COMPUTED_VALUE"""),"Gold")</f>
        <v>Gold</v>
      </c>
      <c r="C732" s="5" t="str">
        <f>IFERROR(__xludf.DUMMYFUNCTION("""COMPUTED_VALUE"""),"ETFS Physical Gold")</f>
        <v>ETFS Physical Gold</v>
      </c>
      <c r="D732" s="21" t="str">
        <f>IFERROR(__xludf.DUMMYFUNCTION("""COMPUTED_VALUE"""),"BUY")</f>
        <v>BUY</v>
      </c>
      <c r="E732" s="21">
        <f>IFERROR(__xludf.DUMMYFUNCTION("""COMPUTED_VALUE"""),39.0)</f>
        <v>39</v>
      </c>
      <c r="F732" s="25">
        <f>IFERROR(__xludf.DUMMYFUNCTION("""COMPUTED_VALUE"""),105.24)</f>
        <v>105.24</v>
      </c>
      <c r="G732" s="10">
        <f>IFERROR(__xludf.DUMMYFUNCTION("""COMPUTED_VALUE"""),-4104.36)</f>
        <v>-4104.36</v>
      </c>
    </row>
    <row r="733">
      <c r="A733" s="24">
        <f>IFERROR(__xludf.DUMMYFUNCTION("""COMPUTED_VALUE"""),43223.0)</f>
        <v>43223</v>
      </c>
      <c r="B733" s="5" t="str">
        <f>IFERROR(__xludf.DUMMYFUNCTION("""COMPUTED_VALUE"""),"Gold")</f>
        <v>Gold</v>
      </c>
      <c r="C733" s="5" t="str">
        <f>IFERROR(__xludf.DUMMYFUNCTION("""COMPUTED_VALUE"""),"iShares Gold Trust")</f>
        <v>iShares Gold Trust</v>
      </c>
      <c r="D733" s="21" t="str">
        <f>IFERROR(__xludf.DUMMYFUNCTION("""COMPUTED_VALUE"""),"SELL")</f>
        <v>SELL</v>
      </c>
      <c r="E733" s="21">
        <f>IFERROR(__xludf.DUMMYFUNCTION("""COMPUTED_VALUE"""),-1319.0)</f>
        <v>-1319</v>
      </c>
      <c r="F733" s="25">
        <f>IFERROR(__xludf.DUMMYFUNCTION("""COMPUTED_VALUE"""),10.527)</f>
        <v>10.527</v>
      </c>
      <c r="G733" s="10">
        <f>IFERROR(__xludf.DUMMYFUNCTION("""COMPUTED_VALUE"""),13885.34)</f>
        <v>13885.34</v>
      </c>
    </row>
    <row r="734">
      <c r="A734" s="24">
        <f>IFERROR(__xludf.DUMMYFUNCTION("""COMPUTED_VALUE"""),43223.0)</f>
        <v>43223</v>
      </c>
      <c r="B734" s="5" t="str">
        <f>IFERROR(__xludf.DUMMYFUNCTION("""COMPUTED_VALUE"""),"Gold")</f>
        <v>Gold</v>
      </c>
      <c r="C734" s="5" t="str">
        <f>IFERROR(__xludf.DUMMYFUNCTION("""COMPUTED_VALUE"""),"ETFS Physical Gold")</f>
        <v>ETFS Physical Gold</v>
      </c>
      <c r="D734" s="21" t="str">
        <f>IFERROR(__xludf.DUMMYFUNCTION("""COMPUTED_VALUE"""),"BUY")</f>
        <v>BUY</v>
      </c>
      <c r="E734" s="21">
        <f>IFERROR(__xludf.DUMMYFUNCTION("""COMPUTED_VALUE"""),144.0)</f>
        <v>144</v>
      </c>
      <c r="F734" s="25">
        <f>IFERROR(__xludf.DUMMYFUNCTION("""COMPUTED_VALUE"""),105.161)</f>
        <v>105.161</v>
      </c>
      <c r="G734" s="10">
        <f>IFERROR(__xludf.DUMMYFUNCTION("""COMPUTED_VALUE"""),-15143.25)</f>
        <v>-15143.25</v>
      </c>
    </row>
    <row r="735">
      <c r="A735" s="24">
        <f>IFERROR(__xludf.DUMMYFUNCTION("""COMPUTED_VALUE"""),43223.0)</f>
        <v>43223</v>
      </c>
      <c r="B735" s="5" t="str">
        <f>IFERROR(__xludf.DUMMYFUNCTION("""COMPUTED_VALUE"""),"Commodities")</f>
        <v>Commodities</v>
      </c>
      <c r="C735" s="5" t="str">
        <f>IFERROR(__xludf.DUMMYFUNCTION("""COMPUTED_VALUE"""),"ETFS All Commodities ETC")</f>
        <v>ETFS All Commodities ETC</v>
      </c>
      <c r="D735" s="21" t="str">
        <f>IFERROR(__xludf.DUMMYFUNCTION("""COMPUTED_VALUE"""),"SELL")</f>
        <v>SELL</v>
      </c>
      <c r="E735" s="21">
        <f>IFERROR(__xludf.DUMMYFUNCTION("""COMPUTED_VALUE"""),-180.0)</f>
        <v>-180</v>
      </c>
      <c r="F735" s="25">
        <f>IFERROR(__xludf.DUMMYFUNCTION("""COMPUTED_VALUE"""),7.566)</f>
        <v>7.566</v>
      </c>
      <c r="G735" s="10">
        <f>IFERROR(__xludf.DUMMYFUNCTION("""COMPUTED_VALUE"""),1361.88)</f>
        <v>1361.88</v>
      </c>
    </row>
    <row r="736">
      <c r="A736" s="24">
        <f>IFERROR(__xludf.DUMMYFUNCTION("""COMPUTED_VALUE"""),43223.0)</f>
        <v>43223</v>
      </c>
      <c r="B736" s="5" t="str">
        <f>IFERROR(__xludf.DUMMYFUNCTION("""COMPUTED_VALUE"""),"Intermediate US bonds (7-10 year)")</f>
        <v>Intermediate US bonds (7-10 year)</v>
      </c>
      <c r="C736" s="5" t="str">
        <f>IFERROR(__xludf.DUMMYFUNCTION("""COMPUTED_VALUE"""),"Vanguard Intermediate-Term Treasury ETF")</f>
        <v>Vanguard Intermediate-Term Treasury ETF</v>
      </c>
      <c r="D736" s="21" t="str">
        <f>IFERROR(__xludf.DUMMYFUNCTION("""COMPUTED_VALUE"""),"COST")</f>
        <v>COST</v>
      </c>
      <c r="E736" s="5"/>
      <c r="F736" s="5"/>
      <c r="G736" s="10">
        <f>IFERROR(__xludf.DUMMYFUNCTION("""COMPUTED_VALUE"""),-7.14)</f>
        <v>-7.14</v>
      </c>
    </row>
    <row r="737">
      <c r="A737" s="24">
        <f>IFERROR(__xludf.DUMMYFUNCTION("""COMPUTED_VALUE"""),43223.0)</f>
        <v>43223</v>
      </c>
      <c r="B737" s="5" t="str">
        <f>IFERROR(__xludf.DUMMYFUNCTION("""COMPUTED_VALUE"""),"Intermediate US bonds (7-10 year)")</f>
        <v>Intermediate US bonds (7-10 year)</v>
      </c>
      <c r="C737" s="5" t="str">
        <f>IFERROR(__xludf.DUMMYFUNCTION("""COMPUTED_VALUE"""),"Vanguard Intermediate-Term Treasury ETF")</f>
        <v>Vanguard Intermediate-Term Treasury ETF</v>
      </c>
      <c r="D737" s="21" t="str">
        <f>IFERROR(__xludf.DUMMYFUNCTION("""COMPUTED_VALUE"""),"SELL")</f>
        <v>SELL</v>
      </c>
      <c r="E737" s="21">
        <f>IFERROR(__xludf.DUMMYFUNCTION("""COMPUTED_VALUE"""),-493.0)</f>
        <v>-493</v>
      </c>
      <c r="F737" s="25">
        <f>IFERROR(__xludf.DUMMYFUNCTION("""COMPUTED_VALUE"""),52.066)</f>
        <v>52.066</v>
      </c>
      <c r="G737" s="10">
        <f>IFERROR(__xludf.DUMMYFUNCTION("""COMPUTED_VALUE"""),25668.61)</f>
        <v>25668.61</v>
      </c>
    </row>
    <row r="738">
      <c r="A738" s="24">
        <f>IFERROR(__xludf.DUMMYFUNCTION("""COMPUTED_VALUE"""),43223.0)</f>
        <v>43223</v>
      </c>
      <c r="B738" s="5" t="str">
        <f>IFERROR(__xludf.DUMMYFUNCTION("""COMPUTED_VALUE"""),"Intermediate US bonds (7-10 year)")</f>
        <v>Intermediate US bonds (7-10 year)</v>
      </c>
      <c r="C738" s="5" t="str">
        <f>IFERROR(__xludf.DUMMYFUNCTION("""COMPUTED_VALUE"""),"iShares Treasury Bond 7-10 UCITS")</f>
        <v>iShares Treasury Bond 7-10 UCITS</v>
      </c>
      <c r="D738" s="21" t="str">
        <f>IFERROR(__xludf.DUMMYFUNCTION("""COMPUTED_VALUE"""),"BUY")</f>
        <v>BUY</v>
      </c>
      <c r="E738" s="21">
        <f>IFERROR(__xludf.DUMMYFUNCTION("""COMPUTED_VALUE"""),185.0)</f>
        <v>185</v>
      </c>
      <c r="F738" s="25">
        <f>IFERROR(__xludf.DUMMYFUNCTION("""COMPUTED_VALUE"""),158.21)</f>
        <v>158.21</v>
      </c>
      <c r="G738" s="10">
        <f>IFERROR(__xludf.DUMMYFUNCTION("""COMPUTED_VALUE"""),-29268.85)</f>
        <v>-29268.85</v>
      </c>
    </row>
    <row r="739">
      <c r="A739" s="24">
        <f>IFERROR(__xludf.DUMMYFUNCTION("""COMPUTED_VALUE"""),43220.0)</f>
        <v>43220</v>
      </c>
      <c r="B739" s="5"/>
      <c r="C739" s="5"/>
      <c r="D739" s="21" t="str">
        <f>IFERROR(__xludf.DUMMYFUNCTION("""COMPUTED_VALUE"""),"COST")</f>
        <v>COST</v>
      </c>
      <c r="E739" s="5"/>
      <c r="F739" s="5"/>
      <c r="G739" s="10">
        <f>IFERROR(__xludf.DUMMYFUNCTION("""COMPUTED_VALUE"""),-140.97)</f>
        <v>-140.97</v>
      </c>
    </row>
    <row r="740">
      <c r="A740" s="24">
        <f>IFERROR(__xludf.DUMMYFUNCTION("""COMPUTED_VALUE"""),43220.0)</f>
        <v>43220</v>
      </c>
      <c r="B740" s="5" t="str">
        <f>IFERROR(__xludf.DUMMYFUNCTION("""COMPUTED_VALUE"""),"Commodities")</f>
        <v>Commodities</v>
      </c>
      <c r="C740" s="5" t="str">
        <f>IFERROR(__xludf.DUMMYFUNCTION("""COMPUTED_VALUE"""),"ETFS All Commodities ETC")</f>
        <v>ETFS All Commodities ETC</v>
      </c>
      <c r="D740" s="21" t="str">
        <f>IFERROR(__xludf.DUMMYFUNCTION("""COMPUTED_VALUE"""),"SELL")</f>
        <v>SELL</v>
      </c>
      <c r="E740" s="21">
        <f>IFERROR(__xludf.DUMMYFUNCTION("""COMPUTED_VALUE"""),-1893.0)</f>
        <v>-1893</v>
      </c>
      <c r="F740" s="25">
        <f>IFERROR(__xludf.DUMMYFUNCTION("""COMPUTED_VALUE"""),7.451)</f>
        <v>7.451</v>
      </c>
      <c r="G740" s="10">
        <f>IFERROR(__xludf.DUMMYFUNCTION("""COMPUTED_VALUE"""),14104.74)</f>
        <v>14104.74</v>
      </c>
    </row>
    <row r="741">
      <c r="A741" s="24">
        <f>IFERROR(__xludf.DUMMYFUNCTION("""COMPUTED_VALUE"""),43220.0)</f>
        <v>43220</v>
      </c>
      <c r="B741" s="5" t="str">
        <f>IFERROR(__xludf.DUMMYFUNCTION("""COMPUTED_VALUE"""),"Stocks")</f>
        <v>Stocks</v>
      </c>
      <c r="C741" s="5" t="str">
        <f>IFERROR(__xludf.DUMMYFUNCTION("""COMPUTED_VALUE"""),"Vanguard S&amp;P 500 UCITS")</f>
        <v>Vanguard S&amp;P 500 UCITS</v>
      </c>
      <c r="D741" s="21" t="str">
        <f>IFERROR(__xludf.DUMMYFUNCTION("""COMPUTED_VALUE"""),"SELL")</f>
        <v>SELL</v>
      </c>
      <c r="E741" s="21">
        <f>IFERROR(__xludf.DUMMYFUNCTION("""COMPUTED_VALUE"""),-449.0)</f>
        <v>-449</v>
      </c>
      <c r="F741" s="25">
        <f>IFERROR(__xludf.DUMMYFUNCTION("""COMPUTED_VALUE"""),41.972)</f>
        <v>41.972</v>
      </c>
      <c r="G741" s="10">
        <f>IFERROR(__xludf.DUMMYFUNCTION("""COMPUTED_VALUE"""),18845.44)</f>
        <v>18845.44</v>
      </c>
    </row>
    <row r="742">
      <c r="A742" s="24">
        <f>IFERROR(__xludf.DUMMYFUNCTION("""COMPUTED_VALUE"""),43197.0)</f>
        <v>43197</v>
      </c>
      <c r="B742" s="5" t="str">
        <f>IFERROR(__xludf.DUMMYFUNCTION("""COMPUTED_VALUE"""),"Stocks")</f>
        <v>Stocks</v>
      </c>
      <c r="C742" s="5" t="str">
        <f>IFERROR(__xludf.DUMMYFUNCTION("""COMPUTED_VALUE"""),"Vanguard S&amp;P 500 UCITS")</f>
        <v>Vanguard S&amp;P 500 UCITS</v>
      </c>
      <c r="D742" s="21" t="str">
        <f>IFERROR(__xludf.DUMMYFUNCTION("""COMPUTED_VALUE"""),"DIVIDEND")</f>
        <v>DIVIDEND</v>
      </c>
      <c r="E742" s="5"/>
      <c r="F742" s="5"/>
      <c r="G742" s="10">
        <f>IFERROR(__xludf.DUMMYFUNCTION("""COMPUTED_VALUE"""),7.05)</f>
        <v>7.05</v>
      </c>
    </row>
    <row r="743">
      <c r="A743" s="24">
        <f>IFERROR(__xludf.DUMMYFUNCTION("""COMPUTED_VALUE"""),43197.0)</f>
        <v>43197</v>
      </c>
      <c r="B743" s="5" t="str">
        <f>IFERROR(__xludf.DUMMYFUNCTION("""COMPUTED_VALUE"""),"Intermediate US bonds (7-10 year)")</f>
        <v>Intermediate US bonds (7-10 year)</v>
      </c>
      <c r="C743" s="5" t="str">
        <f>IFERROR(__xludf.DUMMYFUNCTION("""COMPUTED_VALUE"""),"Vanguard Intermediate-Term Treasury ETF")</f>
        <v>Vanguard Intermediate-Term Treasury ETF</v>
      </c>
      <c r="D743" s="21" t="str">
        <f>IFERROR(__xludf.DUMMYFUNCTION("""COMPUTED_VALUE"""),"DIVIDEND")</f>
        <v>DIVIDEND</v>
      </c>
      <c r="E743" s="5"/>
      <c r="F743" s="5"/>
      <c r="G743" s="10">
        <f>IFERROR(__xludf.DUMMYFUNCTION("""COMPUTED_VALUE"""),-7.05)</f>
        <v>-7.05</v>
      </c>
    </row>
    <row r="744">
      <c r="A744" s="24">
        <f>IFERROR(__xludf.DUMMYFUNCTION("""COMPUTED_VALUE"""),43196.0)</f>
        <v>43196</v>
      </c>
      <c r="B744" s="5" t="str">
        <f>IFERROR(__xludf.DUMMYFUNCTION("""COMPUTED_VALUE"""),"Stocks")</f>
        <v>Stocks</v>
      </c>
      <c r="C744" s="5" t="str">
        <f>IFERROR(__xludf.DUMMYFUNCTION("""COMPUTED_VALUE"""),"Vanguard S&amp;P 500 UCITS")</f>
        <v>Vanguard S&amp;P 500 UCITS</v>
      </c>
      <c r="D744" s="21" t="str">
        <f>IFERROR(__xludf.DUMMYFUNCTION("""COMPUTED_VALUE"""),"DIVIDEND")</f>
        <v>DIVIDEND</v>
      </c>
      <c r="E744" s="5"/>
      <c r="F744" s="5"/>
      <c r="G744" s="10">
        <f>IFERROR(__xludf.DUMMYFUNCTION("""COMPUTED_VALUE"""),-86.57)</f>
        <v>-86.57</v>
      </c>
    </row>
    <row r="745">
      <c r="A745" s="24">
        <f>IFERROR(__xludf.DUMMYFUNCTION("""COMPUTED_VALUE"""),43195.0)</f>
        <v>43195</v>
      </c>
      <c r="B745" s="5" t="str">
        <f>IFERROR(__xludf.DUMMYFUNCTION("""COMPUTED_VALUE"""),"Intermediate US bonds (7-10 year)")</f>
        <v>Intermediate US bonds (7-10 year)</v>
      </c>
      <c r="C745" s="5" t="str">
        <f>IFERROR(__xludf.DUMMYFUNCTION("""COMPUTED_VALUE"""),"Vanguard Intermediate-Term Treasury ETF")</f>
        <v>Vanguard Intermediate-Term Treasury ETF</v>
      </c>
      <c r="D745" s="21" t="str">
        <f>IFERROR(__xludf.DUMMYFUNCTION("""COMPUTED_VALUE"""),"DIVIDEND")</f>
        <v>DIVIDEND</v>
      </c>
      <c r="E745" s="5"/>
      <c r="F745" s="5"/>
      <c r="G745" s="10">
        <f>IFERROR(__xludf.DUMMYFUNCTION("""COMPUTED_VALUE"""),7.7)</f>
        <v>7.7</v>
      </c>
    </row>
    <row r="746">
      <c r="A746" s="24">
        <f>IFERROR(__xludf.DUMMYFUNCTION("""COMPUTED_VALUE"""),43195.0)</f>
        <v>43195</v>
      </c>
      <c r="B746" s="5" t="str">
        <f>IFERROR(__xludf.DUMMYFUNCTION("""COMPUTED_VALUE"""),"Intermediate US bonds (7-10 year)")</f>
        <v>Intermediate US bonds (7-10 year)</v>
      </c>
      <c r="C746" s="5" t="str">
        <f>IFERROR(__xludf.DUMMYFUNCTION("""COMPUTED_VALUE"""),"Vanguard Intermediate-Term Treasury ETF")</f>
        <v>Vanguard Intermediate-Term Treasury ETF</v>
      </c>
      <c r="D746" s="21" t="str">
        <f>IFERROR(__xludf.DUMMYFUNCTION("""COMPUTED_VALUE"""),"DIVIDEND")</f>
        <v>DIVIDEND</v>
      </c>
      <c r="E746" s="5"/>
      <c r="F746" s="5"/>
      <c r="G746" s="10">
        <f>IFERROR(__xludf.DUMMYFUNCTION("""COMPUTED_VALUE"""),43.62)</f>
        <v>43.62</v>
      </c>
    </row>
    <row r="747">
      <c r="A747" s="24">
        <f>IFERROR(__xludf.DUMMYFUNCTION("""COMPUTED_VALUE"""),43194.0)</f>
        <v>43194</v>
      </c>
      <c r="B747" s="5" t="str">
        <f>IFERROR(__xludf.DUMMYFUNCTION("""COMPUTED_VALUE"""),"Stocks")</f>
        <v>Stocks</v>
      </c>
      <c r="C747" s="5" t="str">
        <f>IFERROR(__xludf.DUMMYFUNCTION("""COMPUTED_VALUE"""),"Vanguard S&amp;P 500 UCITS")</f>
        <v>Vanguard S&amp;P 500 UCITS</v>
      </c>
      <c r="D747" s="21" t="str">
        <f>IFERROR(__xludf.DUMMYFUNCTION("""COMPUTED_VALUE"""),"DIVIDEND")</f>
        <v>DIVIDEND</v>
      </c>
      <c r="E747" s="5"/>
      <c r="F747" s="5"/>
      <c r="G747" s="10">
        <f>IFERROR(__xludf.DUMMYFUNCTION("""COMPUTED_VALUE"""),420.27)</f>
        <v>420.27</v>
      </c>
    </row>
    <row r="748">
      <c r="A748" s="24">
        <f>IFERROR(__xludf.DUMMYFUNCTION("""COMPUTED_VALUE"""),43194.0)</f>
        <v>43194</v>
      </c>
      <c r="B748" s="5"/>
      <c r="C748" s="5"/>
      <c r="D748" s="21" t="str">
        <f>IFERROR(__xludf.DUMMYFUNCTION("""COMPUTED_VALUE"""),"COST")</f>
        <v>COST</v>
      </c>
      <c r="E748" s="5"/>
      <c r="F748" s="5"/>
      <c r="G748" s="10">
        <f>IFERROR(__xludf.DUMMYFUNCTION("""COMPUTED_VALUE"""),-0.01)</f>
        <v>-0.01</v>
      </c>
    </row>
    <row r="749">
      <c r="A749" s="24">
        <f>IFERROR(__xludf.DUMMYFUNCTION("""COMPUTED_VALUE"""),43190.0)</f>
        <v>43190</v>
      </c>
      <c r="B749" s="5"/>
      <c r="C749" s="5"/>
      <c r="D749" s="21" t="str">
        <f>IFERROR(__xludf.DUMMYFUNCTION("""COMPUTED_VALUE"""),"COST")</f>
        <v>COST</v>
      </c>
      <c r="E749" s="5"/>
      <c r="F749" s="5"/>
      <c r="G749" s="10">
        <f>IFERROR(__xludf.DUMMYFUNCTION("""COMPUTED_VALUE"""),-155.56)</f>
        <v>-155.56</v>
      </c>
    </row>
    <row r="750">
      <c r="A750" s="24">
        <f>IFERROR(__xludf.DUMMYFUNCTION("""COMPUTED_VALUE"""),43190.0)</f>
        <v>43190</v>
      </c>
      <c r="B750" s="5"/>
      <c r="C750" s="5"/>
      <c r="D750" s="21" t="str">
        <f>IFERROR(__xludf.DUMMYFUNCTION("""COMPUTED_VALUE"""),"COST")</f>
        <v>COST</v>
      </c>
      <c r="E750" s="5"/>
      <c r="F750" s="5"/>
      <c r="G750" s="10">
        <f>IFERROR(__xludf.DUMMYFUNCTION("""COMPUTED_VALUE"""),0.03)</f>
        <v>0.03</v>
      </c>
    </row>
    <row r="751">
      <c r="A751" s="24">
        <f>IFERROR(__xludf.DUMMYFUNCTION("""COMPUTED_VALUE"""),43181.0)</f>
        <v>43181</v>
      </c>
      <c r="B751" s="5" t="str">
        <f>IFERROR(__xludf.DUMMYFUNCTION("""COMPUTED_VALUE"""),"Long term US bonds (20-25 year)")</f>
        <v>Long term US bonds (20-25 year)</v>
      </c>
      <c r="C751" s="5" t="str">
        <f>IFERROR(__xludf.DUMMYFUNCTION("""COMPUTED_VALUE"""),"Vanguard Extended Duration Treasury ETF")</f>
        <v>Vanguard Extended Duration Treasury ETF</v>
      </c>
      <c r="D751" s="21" t="str">
        <f>IFERROR(__xludf.DUMMYFUNCTION("""COMPUTED_VALUE"""),"DIVIDEND")</f>
        <v>DIVIDEND</v>
      </c>
      <c r="E751" s="5"/>
      <c r="F751" s="5"/>
      <c r="G751" s="10">
        <f>IFERROR(__xludf.DUMMYFUNCTION("""COMPUTED_VALUE"""),-89.96)</f>
        <v>-89.96</v>
      </c>
    </row>
    <row r="752">
      <c r="A752" s="24">
        <f>IFERROR(__xludf.DUMMYFUNCTION("""COMPUTED_VALUE"""),43180.0)</f>
        <v>43180</v>
      </c>
      <c r="B752" s="5" t="str">
        <f>IFERROR(__xludf.DUMMYFUNCTION("""COMPUTED_VALUE"""),"Long term US bonds (20-25 year)")</f>
        <v>Long term US bonds (20-25 year)</v>
      </c>
      <c r="C752" s="5" t="str">
        <f>IFERROR(__xludf.DUMMYFUNCTION("""COMPUTED_VALUE"""),"Vanguard Extended Duration Treasury ETF")</f>
        <v>Vanguard Extended Duration Treasury ETF</v>
      </c>
      <c r="D752" s="21" t="str">
        <f>IFERROR(__xludf.DUMMYFUNCTION("""COMPUTED_VALUE"""),"DIVIDEND")</f>
        <v>DIVIDEND</v>
      </c>
      <c r="E752" s="5"/>
      <c r="F752" s="5"/>
      <c r="G752" s="10">
        <f>IFERROR(__xludf.DUMMYFUNCTION("""COMPUTED_VALUE"""),84.01)</f>
        <v>84.01</v>
      </c>
    </row>
    <row r="753">
      <c r="A753" s="24">
        <f>IFERROR(__xludf.DUMMYFUNCTION("""COMPUTED_VALUE"""),43180.0)</f>
        <v>43180</v>
      </c>
      <c r="B753" s="5" t="str">
        <f>IFERROR(__xludf.DUMMYFUNCTION("""COMPUTED_VALUE"""),"Long term US bonds (20-25 year)")</f>
        <v>Long term US bonds (20-25 year)</v>
      </c>
      <c r="C753" s="5" t="str">
        <f>IFERROR(__xludf.DUMMYFUNCTION("""COMPUTED_VALUE"""),"Vanguard Extended Duration Treasury ETF")</f>
        <v>Vanguard Extended Duration Treasury ETF</v>
      </c>
      <c r="D753" s="21" t="str">
        <f>IFERROR(__xludf.DUMMYFUNCTION("""COMPUTED_VALUE"""),"DIVIDEND")</f>
        <v>DIVIDEND</v>
      </c>
      <c r="E753" s="5"/>
      <c r="F753" s="5"/>
      <c r="G753" s="10">
        <f>IFERROR(__xludf.DUMMYFUNCTION("""COMPUTED_VALUE"""),476.2)</f>
        <v>476.2</v>
      </c>
    </row>
    <row r="754">
      <c r="A754" s="24">
        <f>IFERROR(__xludf.DUMMYFUNCTION("""COMPUTED_VALUE"""),43168.0)</f>
        <v>43168</v>
      </c>
      <c r="B754" s="5" t="str">
        <f>IFERROR(__xludf.DUMMYFUNCTION("""COMPUTED_VALUE"""),"Intermediate US bonds (7-10 year)")</f>
        <v>Intermediate US bonds (7-10 year)</v>
      </c>
      <c r="C754" s="5" t="str">
        <f>IFERROR(__xludf.DUMMYFUNCTION("""COMPUTED_VALUE"""),"Vanguard Intermediate-Term Treasury ETF")</f>
        <v>Vanguard Intermediate-Term Treasury ETF</v>
      </c>
      <c r="D754" s="21" t="str">
        <f>IFERROR(__xludf.DUMMYFUNCTION("""COMPUTED_VALUE"""),"DIVIDEND")</f>
        <v>DIVIDEND</v>
      </c>
      <c r="E754" s="5"/>
      <c r="F754" s="5"/>
      <c r="G754" s="10">
        <f>IFERROR(__xludf.DUMMYFUNCTION("""COMPUTED_VALUE"""),-7.17)</f>
        <v>-7.17</v>
      </c>
    </row>
    <row r="755">
      <c r="A755" s="24">
        <f>IFERROR(__xludf.DUMMYFUNCTION("""COMPUTED_VALUE"""),43165.0)</f>
        <v>43165</v>
      </c>
      <c r="B755" s="5" t="str">
        <f>IFERROR(__xludf.DUMMYFUNCTION("""COMPUTED_VALUE"""),"Intermediate US bonds (7-10 year)")</f>
        <v>Intermediate US bonds (7-10 year)</v>
      </c>
      <c r="C755" s="5" t="str">
        <f>IFERROR(__xludf.DUMMYFUNCTION("""COMPUTED_VALUE"""),"Vanguard Intermediate-Term Treasury ETF")</f>
        <v>Vanguard Intermediate-Term Treasury ETF</v>
      </c>
      <c r="D755" s="21" t="str">
        <f>IFERROR(__xludf.DUMMYFUNCTION("""COMPUTED_VALUE"""),"DIVIDEND")</f>
        <v>DIVIDEND</v>
      </c>
      <c r="E755" s="5"/>
      <c r="F755" s="5"/>
      <c r="G755" s="10">
        <f>IFERROR(__xludf.DUMMYFUNCTION("""COMPUTED_VALUE"""),6.72)</f>
        <v>6.72</v>
      </c>
    </row>
    <row r="756">
      <c r="A756" s="24">
        <f>IFERROR(__xludf.DUMMYFUNCTION("""COMPUTED_VALUE"""),43165.0)</f>
        <v>43165</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IFERROR(__xludf.DUMMYFUNCTION("""COMPUTED_VALUE"""),"DIVIDEND")</f>
        <v>DIVIDEND</v>
      </c>
      <c r="E756" s="5"/>
      <c r="F756" s="5"/>
      <c r="G756" s="10">
        <f>IFERROR(__xludf.DUMMYFUNCTION("""COMPUTED_VALUE"""),38.09)</f>
        <v>38.09</v>
      </c>
    </row>
    <row r="757">
      <c r="A757" s="24">
        <f>IFERROR(__xludf.DUMMYFUNCTION("""COMPUTED_VALUE"""),43159.0)</f>
        <v>43159</v>
      </c>
      <c r="B757" s="5"/>
      <c r="C757" s="5"/>
      <c r="D757" s="21" t="str">
        <f>IFERROR(__xludf.DUMMYFUNCTION("""COMPUTED_VALUE"""),"COST")</f>
        <v>COST</v>
      </c>
      <c r="E757" s="5"/>
      <c r="F757" s="5"/>
      <c r="G757" s="10">
        <f>IFERROR(__xludf.DUMMYFUNCTION("""COMPUTED_VALUE"""),-166.36)</f>
        <v>-166.36</v>
      </c>
    </row>
    <row r="758">
      <c r="A758" s="24">
        <f>IFERROR(__xludf.DUMMYFUNCTION("""COMPUTED_VALUE"""),43143.0)</f>
        <v>43143</v>
      </c>
      <c r="B758" s="5" t="str">
        <f>IFERROR(__xludf.DUMMYFUNCTION("""COMPUTED_VALUE"""),"Stocks")</f>
        <v>Stocks</v>
      </c>
      <c r="C758" s="5" t="str">
        <f>IFERROR(__xludf.DUMMYFUNCTION("""COMPUTED_VALUE"""),"Vanguard S&amp;P 500 UCITS")</f>
        <v>Vanguard S&amp;P 500 UCITS</v>
      </c>
      <c r="D758" s="21" t="str">
        <f>IFERROR(__xludf.DUMMYFUNCTION("""COMPUTED_VALUE"""),"SELL")</f>
        <v>SELL</v>
      </c>
      <c r="E758" s="21">
        <f>IFERROR(__xludf.DUMMYFUNCTION("""COMPUTED_VALUE"""),-30.0)</f>
        <v>-30</v>
      </c>
      <c r="F758" s="25">
        <f>IFERROR(__xludf.DUMMYFUNCTION("""COMPUTED_VALUE"""),40.931)</f>
        <v>40.931</v>
      </c>
      <c r="G758" s="10">
        <f>IFERROR(__xludf.DUMMYFUNCTION("""COMPUTED_VALUE"""),1227.93)</f>
        <v>1227.93</v>
      </c>
    </row>
    <row r="759">
      <c r="A759" s="24">
        <f>IFERROR(__xludf.DUMMYFUNCTION("""COMPUTED_VALUE"""),43143.0)</f>
        <v>43143</v>
      </c>
      <c r="B759" s="5" t="str">
        <f>IFERROR(__xludf.DUMMYFUNCTION("""COMPUTED_VALUE"""),"Stocks")</f>
        <v>Stocks</v>
      </c>
      <c r="C759" s="5" t="str">
        <f>IFERROR(__xludf.DUMMYFUNCTION("""COMPUTED_VALUE"""),"Vanguard S&amp;P 500 UCITS")</f>
        <v>Vanguard S&amp;P 500 UCITS</v>
      </c>
      <c r="D759" s="21" t="str">
        <f>IFERROR(__xludf.DUMMYFUNCTION("""COMPUTED_VALUE"""),"SELL")</f>
        <v>SELL</v>
      </c>
      <c r="E759" s="21">
        <f>IFERROR(__xludf.DUMMYFUNCTION("""COMPUTED_VALUE"""),-60.0)</f>
        <v>-60</v>
      </c>
      <c r="F759" s="25">
        <f>IFERROR(__xludf.DUMMYFUNCTION("""COMPUTED_VALUE"""),40.961)</f>
        <v>40.961</v>
      </c>
      <c r="G759" s="10">
        <f>IFERROR(__xludf.DUMMYFUNCTION("""COMPUTED_VALUE"""),2457.66)</f>
        <v>2457.66</v>
      </c>
    </row>
    <row r="760">
      <c r="A760" s="24">
        <f>IFERROR(__xludf.DUMMYFUNCTION("""COMPUTED_VALUE"""),43143.0)</f>
        <v>43143</v>
      </c>
      <c r="B760" s="5" t="str">
        <f>IFERROR(__xludf.DUMMYFUNCTION("""COMPUTED_VALUE"""),"Stocks")</f>
        <v>Stocks</v>
      </c>
      <c r="C760" s="5" t="str">
        <f>IFERROR(__xludf.DUMMYFUNCTION("""COMPUTED_VALUE"""),"Vanguard S&amp;P 500 UCITS")</f>
        <v>Vanguard S&amp;P 500 UCITS</v>
      </c>
      <c r="D760" s="21" t="str">
        <f>IFERROR(__xludf.DUMMYFUNCTION("""COMPUTED_VALUE"""),"SELL")</f>
        <v>SELL</v>
      </c>
      <c r="E760" s="21">
        <f>IFERROR(__xludf.DUMMYFUNCTION("""COMPUTED_VALUE"""),-30.0)</f>
        <v>-30</v>
      </c>
      <c r="F760" s="25">
        <f>IFERROR(__xludf.DUMMYFUNCTION("""COMPUTED_VALUE"""),40.966)</f>
        <v>40.966</v>
      </c>
      <c r="G760" s="10">
        <f>IFERROR(__xludf.DUMMYFUNCTION("""COMPUTED_VALUE"""),1228.98)</f>
        <v>1228.98</v>
      </c>
    </row>
    <row r="761">
      <c r="A761" s="24">
        <f>IFERROR(__xludf.DUMMYFUNCTION("""COMPUTED_VALUE"""),43143.0)</f>
        <v>43143</v>
      </c>
      <c r="B761" s="5" t="str">
        <f>IFERROR(__xludf.DUMMYFUNCTION("""COMPUTED_VALUE"""),"Stocks")</f>
        <v>Stocks</v>
      </c>
      <c r="C761" s="5" t="str">
        <f>IFERROR(__xludf.DUMMYFUNCTION("""COMPUTED_VALUE"""),"Vanguard S&amp;P 500 UCITS")</f>
        <v>Vanguard S&amp;P 500 UCITS</v>
      </c>
      <c r="D761" s="21" t="str">
        <f>IFERROR(__xludf.DUMMYFUNCTION("""COMPUTED_VALUE"""),"SELL")</f>
        <v>SELL</v>
      </c>
      <c r="E761" s="21">
        <f>IFERROR(__xludf.DUMMYFUNCTION("""COMPUTED_VALUE"""),-30.0)</f>
        <v>-30</v>
      </c>
      <c r="F761" s="25">
        <f>IFERROR(__xludf.DUMMYFUNCTION("""COMPUTED_VALUE"""),40.986)</f>
        <v>40.986</v>
      </c>
      <c r="G761" s="10">
        <f>IFERROR(__xludf.DUMMYFUNCTION("""COMPUTED_VALUE"""),1229.58)</f>
        <v>1229.58</v>
      </c>
    </row>
    <row r="762">
      <c r="A762" s="24">
        <f>IFERROR(__xludf.DUMMYFUNCTION("""COMPUTED_VALUE"""),43138.0)</f>
        <v>43138</v>
      </c>
      <c r="B762" s="5" t="str">
        <f>IFERROR(__xludf.DUMMYFUNCTION("""COMPUTED_VALUE"""),"Intermediate US bonds (7-10 year)")</f>
        <v>Intermediate US bonds (7-10 year)</v>
      </c>
      <c r="C762" s="5" t="str">
        <f>IFERROR(__xludf.DUMMYFUNCTION("""COMPUTED_VALUE"""),"Vanguard Intermediate-Term Treasury ETF")</f>
        <v>Vanguard Intermediate-Term Treasury ETF</v>
      </c>
      <c r="D762" s="21" t="str">
        <f>IFERROR(__xludf.DUMMYFUNCTION("""COMPUTED_VALUE"""),"DIVIDEND")</f>
        <v>DIVIDEND</v>
      </c>
      <c r="E762" s="5"/>
      <c r="F762" s="5"/>
      <c r="G762" s="10">
        <f>IFERROR(__xludf.DUMMYFUNCTION("""COMPUTED_VALUE"""),-7.02)</f>
        <v>-7.02</v>
      </c>
    </row>
    <row r="763">
      <c r="A763" s="24">
        <f>IFERROR(__xludf.DUMMYFUNCTION("""COMPUTED_VALUE"""),43137.0)</f>
        <v>43137</v>
      </c>
      <c r="B763" s="5" t="str">
        <f>IFERROR(__xludf.DUMMYFUNCTION("""COMPUTED_VALUE"""),"Intermediate US bonds (7-10 year)")</f>
        <v>Intermediate US bonds (7-10 year)</v>
      </c>
      <c r="C763" s="5" t="str">
        <f>IFERROR(__xludf.DUMMYFUNCTION("""COMPUTED_VALUE"""),"Vanguard Intermediate-Term Treasury ETF")</f>
        <v>Vanguard Intermediate-Term Treasury ETF</v>
      </c>
      <c r="D763" s="21" t="str">
        <f>IFERROR(__xludf.DUMMYFUNCTION("""COMPUTED_VALUE"""),"DIVIDEND")</f>
        <v>DIVIDEND</v>
      </c>
      <c r="E763" s="5"/>
      <c r="F763" s="5"/>
      <c r="G763" s="10">
        <f>IFERROR(__xludf.DUMMYFUNCTION("""COMPUTED_VALUE"""),6.69)</f>
        <v>6.69</v>
      </c>
    </row>
    <row r="764">
      <c r="A764" s="24">
        <f>IFERROR(__xludf.DUMMYFUNCTION("""COMPUTED_VALUE"""),43137.0)</f>
        <v>43137</v>
      </c>
      <c r="B764" s="5" t="str">
        <f>IFERROR(__xludf.DUMMYFUNCTION("""COMPUTED_VALUE"""),"Intermediate US bonds (7-10 year)")</f>
        <v>Intermediate US bonds (7-10 year)</v>
      </c>
      <c r="C764" s="5" t="str">
        <f>IFERROR(__xludf.DUMMYFUNCTION("""COMPUTED_VALUE"""),"Vanguard Intermediate-Term Treasury ETF")</f>
        <v>Vanguard Intermediate-Term Treasury ETF</v>
      </c>
      <c r="D764" s="21" t="str">
        <f>IFERROR(__xludf.DUMMYFUNCTION("""COMPUTED_VALUE"""),"DIVIDEND")</f>
        <v>DIVIDEND</v>
      </c>
      <c r="E764" s="5"/>
      <c r="F764" s="5"/>
      <c r="G764" s="10">
        <f>IFERROR(__xludf.DUMMYFUNCTION("""COMPUTED_VALUE"""),37.88)</f>
        <v>37.88</v>
      </c>
    </row>
    <row r="765">
      <c r="A765" s="24">
        <f>IFERROR(__xludf.DUMMYFUNCTION("""COMPUTED_VALUE"""),43136.0)</f>
        <v>43136</v>
      </c>
      <c r="B765" s="5"/>
      <c r="C765" s="5"/>
      <c r="D765" s="21" t="str">
        <f>IFERROR(__xludf.DUMMYFUNCTION("""COMPUTED_VALUE"""),"COST")</f>
        <v>COST</v>
      </c>
      <c r="E765" s="5"/>
      <c r="F765" s="5"/>
      <c r="G765" s="10">
        <f>IFERROR(__xludf.DUMMYFUNCTION("""COMPUTED_VALUE"""),-0.01)</f>
        <v>-0.01</v>
      </c>
    </row>
    <row r="766">
      <c r="A766" s="24">
        <f>IFERROR(__xludf.DUMMYFUNCTION("""COMPUTED_VALUE"""),43136.0)</f>
        <v>43136</v>
      </c>
      <c r="B766" s="5" t="str">
        <f>IFERROR(__xludf.DUMMYFUNCTION("""COMPUTED_VALUE"""),"Stocks")</f>
        <v>Stocks</v>
      </c>
      <c r="C766" s="5" t="str">
        <f>IFERROR(__xludf.DUMMYFUNCTION("""COMPUTED_VALUE"""),"Vanguard S&amp;P 500 UCITS")</f>
        <v>Vanguard S&amp;P 500 UCITS</v>
      </c>
      <c r="D766" s="21" t="str">
        <f>IFERROR(__xludf.DUMMYFUNCTION("""COMPUTED_VALUE"""),"SELL")</f>
        <v>SELL</v>
      </c>
      <c r="E766" s="21">
        <f>IFERROR(__xludf.DUMMYFUNCTION("""COMPUTED_VALUE"""),-77.0)</f>
        <v>-77</v>
      </c>
      <c r="F766" s="25">
        <f>IFERROR(__xludf.DUMMYFUNCTION("""COMPUTED_VALUE"""),41.946)</f>
        <v>41.946</v>
      </c>
      <c r="G766" s="10">
        <f>IFERROR(__xludf.DUMMYFUNCTION("""COMPUTED_VALUE"""),3229.86)</f>
        <v>3229.86</v>
      </c>
    </row>
    <row r="767">
      <c r="A767" s="24">
        <f>IFERROR(__xludf.DUMMYFUNCTION("""COMPUTED_VALUE"""),43136.0)</f>
        <v>43136</v>
      </c>
      <c r="B767" s="5" t="str">
        <f>IFERROR(__xludf.DUMMYFUNCTION("""COMPUTED_VALUE"""),"Stocks")</f>
        <v>Stocks</v>
      </c>
      <c r="C767" s="5" t="str">
        <f>IFERROR(__xludf.DUMMYFUNCTION("""COMPUTED_VALUE"""),"Vanguard S&amp;P 500 UCITS")</f>
        <v>Vanguard S&amp;P 500 UCITS</v>
      </c>
      <c r="D767" s="21" t="str">
        <f>IFERROR(__xludf.DUMMYFUNCTION("""COMPUTED_VALUE"""),"SELL")</f>
        <v>SELL</v>
      </c>
      <c r="E767" s="21">
        <f>IFERROR(__xludf.DUMMYFUNCTION("""COMPUTED_VALUE"""),-98.0)</f>
        <v>-98</v>
      </c>
      <c r="F767" s="25">
        <f>IFERROR(__xludf.DUMMYFUNCTION("""COMPUTED_VALUE"""),42.011)</f>
        <v>42.011</v>
      </c>
      <c r="G767" s="10">
        <f>IFERROR(__xludf.DUMMYFUNCTION("""COMPUTED_VALUE"""),4117.08)</f>
        <v>4117.08</v>
      </c>
    </row>
    <row r="768">
      <c r="A768" s="24">
        <f>IFERROR(__xludf.DUMMYFUNCTION("""COMPUTED_VALUE"""),43136.0)</f>
        <v>43136</v>
      </c>
      <c r="B768" s="5" t="str">
        <f>IFERROR(__xludf.DUMMYFUNCTION("""COMPUTED_VALUE"""),"Stocks")</f>
        <v>Stocks</v>
      </c>
      <c r="C768" s="5" t="str">
        <f>IFERROR(__xludf.DUMMYFUNCTION("""COMPUTED_VALUE"""),"Vanguard S&amp;P 500 UCITS")</f>
        <v>Vanguard S&amp;P 500 UCITS</v>
      </c>
      <c r="D768" s="21" t="str">
        <f>IFERROR(__xludf.DUMMYFUNCTION("""COMPUTED_VALUE"""),"SELL")</f>
        <v>SELL</v>
      </c>
      <c r="E768" s="21">
        <f>IFERROR(__xludf.DUMMYFUNCTION("""COMPUTED_VALUE"""),-240.0)</f>
        <v>-240</v>
      </c>
      <c r="F768" s="25">
        <f>IFERROR(__xludf.DUMMYFUNCTION("""COMPUTED_VALUE"""),41.868)</f>
        <v>41.868</v>
      </c>
      <c r="G768" s="10">
        <f>IFERROR(__xludf.DUMMYFUNCTION("""COMPUTED_VALUE"""),10048.32)</f>
        <v>10048.32</v>
      </c>
    </row>
    <row r="769">
      <c r="A769" s="24">
        <f>IFERROR(__xludf.DUMMYFUNCTION("""COMPUTED_VALUE"""),43136.0)</f>
        <v>43136</v>
      </c>
      <c r="B769" s="5" t="str">
        <f>IFERROR(__xludf.DUMMYFUNCTION("""COMPUTED_VALUE"""),"Stocks")</f>
        <v>Stocks</v>
      </c>
      <c r="C769" s="5" t="str">
        <f>IFERROR(__xludf.DUMMYFUNCTION("""COMPUTED_VALUE"""),"Vanguard S&amp;P 500 UCITS")</f>
        <v>Vanguard S&amp;P 500 UCITS</v>
      </c>
      <c r="D769" s="21" t="str">
        <f>IFERROR(__xludf.DUMMYFUNCTION("""COMPUTED_VALUE"""),"SELL")</f>
        <v>SELL</v>
      </c>
      <c r="E769" s="21">
        <f>IFERROR(__xludf.DUMMYFUNCTION("""COMPUTED_VALUE"""),-38.0)</f>
        <v>-38</v>
      </c>
      <c r="F769" s="25">
        <f>IFERROR(__xludf.DUMMYFUNCTION("""COMPUTED_VALUE"""),41.848)</f>
        <v>41.848</v>
      </c>
      <c r="G769" s="10">
        <f>IFERROR(__xludf.DUMMYFUNCTION("""COMPUTED_VALUE"""),1590.24)</f>
        <v>1590.24</v>
      </c>
    </row>
    <row r="770">
      <c r="A770" s="24">
        <f>IFERROR(__xludf.DUMMYFUNCTION("""COMPUTED_VALUE"""),43136.0)</f>
        <v>43136</v>
      </c>
      <c r="B770" s="5" t="str">
        <f>IFERROR(__xludf.DUMMYFUNCTION("""COMPUTED_VALUE"""),"Stocks")</f>
        <v>Stocks</v>
      </c>
      <c r="C770" s="5" t="str">
        <f>IFERROR(__xludf.DUMMYFUNCTION("""COMPUTED_VALUE"""),"Vanguard S&amp;P 500 UCITS")</f>
        <v>Vanguard S&amp;P 500 UCITS</v>
      </c>
      <c r="D770" s="21" t="str">
        <f>IFERROR(__xludf.DUMMYFUNCTION("""COMPUTED_VALUE"""),"SELL")</f>
        <v>SELL</v>
      </c>
      <c r="E770" s="21">
        <f>IFERROR(__xludf.DUMMYFUNCTION("""COMPUTED_VALUE"""),-30.0)</f>
        <v>-30</v>
      </c>
      <c r="F770" s="25">
        <f>IFERROR(__xludf.DUMMYFUNCTION("""COMPUTED_VALUE"""),41.792)</f>
        <v>41.792</v>
      </c>
      <c r="G770" s="10">
        <f>IFERROR(__xludf.DUMMYFUNCTION("""COMPUTED_VALUE"""),1253.76)</f>
        <v>1253.76</v>
      </c>
    </row>
    <row r="771">
      <c r="A771" s="24">
        <f>IFERROR(__xludf.DUMMYFUNCTION("""COMPUTED_VALUE"""),43136.0)</f>
        <v>43136</v>
      </c>
      <c r="B771" s="5" t="str">
        <f>IFERROR(__xludf.DUMMYFUNCTION("""COMPUTED_VALUE"""),"Stocks")</f>
        <v>Stocks</v>
      </c>
      <c r="C771" s="5" t="str">
        <f>IFERROR(__xludf.DUMMYFUNCTION("""COMPUTED_VALUE"""),"Vanguard S&amp;P 500 UCITS")</f>
        <v>Vanguard S&amp;P 500 UCITS</v>
      </c>
      <c r="D771" s="21" t="str">
        <f>IFERROR(__xludf.DUMMYFUNCTION("""COMPUTED_VALUE"""),"SELL")</f>
        <v>SELL</v>
      </c>
      <c r="E771" s="21">
        <f>IFERROR(__xludf.DUMMYFUNCTION("""COMPUTED_VALUE"""),-45.0)</f>
        <v>-45</v>
      </c>
      <c r="F771" s="25">
        <f>IFERROR(__xludf.DUMMYFUNCTION("""COMPUTED_VALUE"""),41.811)</f>
        <v>41.811</v>
      </c>
      <c r="G771" s="10">
        <f>IFERROR(__xludf.DUMMYFUNCTION("""COMPUTED_VALUE"""),1881.5)</f>
        <v>1881.5</v>
      </c>
    </row>
    <row r="772">
      <c r="A772" s="24">
        <f>IFERROR(__xludf.DUMMYFUNCTION("""COMPUTED_VALUE"""),43136.0)</f>
        <v>43136</v>
      </c>
      <c r="B772" s="5" t="str">
        <f>IFERROR(__xludf.DUMMYFUNCTION("""COMPUTED_VALUE"""),"Stocks")</f>
        <v>Stocks</v>
      </c>
      <c r="C772" s="5" t="str">
        <f>IFERROR(__xludf.DUMMYFUNCTION("""COMPUTED_VALUE"""),"Vanguard S&amp;P 500 UCITS")</f>
        <v>Vanguard S&amp;P 500 UCITS</v>
      </c>
      <c r="D772" s="21" t="str">
        <f>IFERROR(__xludf.DUMMYFUNCTION("""COMPUTED_VALUE"""),"SELL")</f>
        <v>SELL</v>
      </c>
      <c r="E772" s="21">
        <f>IFERROR(__xludf.DUMMYFUNCTION("""COMPUTED_VALUE"""),-50.0)</f>
        <v>-50</v>
      </c>
      <c r="F772" s="25">
        <f>IFERROR(__xludf.DUMMYFUNCTION("""COMPUTED_VALUE"""),41.796)</f>
        <v>41.796</v>
      </c>
      <c r="G772" s="10">
        <f>IFERROR(__xludf.DUMMYFUNCTION("""COMPUTED_VALUE"""),2089.8)</f>
        <v>2089.8</v>
      </c>
    </row>
    <row r="773">
      <c r="A773" s="24">
        <f>IFERROR(__xludf.DUMMYFUNCTION("""COMPUTED_VALUE"""),43136.0)</f>
        <v>43136</v>
      </c>
      <c r="B773" s="5" t="str">
        <f>IFERROR(__xludf.DUMMYFUNCTION("""COMPUTED_VALUE"""),"Stocks")</f>
        <v>Stocks</v>
      </c>
      <c r="C773" s="5" t="str">
        <f>IFERROR(__xludf.DUMMYFUNCTION("""COMPUTED_VALUE"""),"Vanguard S&amp;P 500 UCITS")</f>
        <v>Vanguard S&amp;P 500 UCITS</v>
      </c>
      <c r="D773" s="21" t="str">
        <f>IFERROR(__xludf.DUMMYFUNCTION("""COMPUTED_VALUE"""),"SELL")</f>
        <v>SELL</v>
      </c>
      <c r="E773" s="21">
        <f>IFERROR(__xludf.DUMMYFUNCTION("""COMPUTED_VALUE"""),-20.0)</f>
        <v>-20</v>
      </c>
      <c r="F773" s="25">
        <f>IFERROR(__xludf.DUMMYFUNCTION("""COMPUTED_VALUE"""),41.796)</f>
        <v>41.796</v>
      </c>
      <c r="G773" s="10">
        <f>IFERROR(__xludf.DUMMYFUNCTION("""COMPUTED_VALUE"""),835.92)</f>
        <v>835.92</v>
      </c>
    </row>
    <row r="774">
      <c r="A774" s="24">
        <f>IFERROR(__xludf.DUMMYFUNCTION("""COMPUTED_VALUE"""),43136.0)</f>
        <v>43136</v>
      </c>
      <c r="B774" s="5" t="str">
        <f>IFERROR(__xludf.DUMMYFUNCTION("""COMPUTED_VALUE"""),"Stocks")</f>
        <v>Stocks</v>
      </c>
      <c r="C774" s="5" t="str">
        <f>IFERROR(__xludf.DUMMYFUNCTION("""COMPUTED_VALUE"""),"Vanguard S&amp;P 500 UCITS")</f>
        <v>Vanguard S&amp;P 500 UCITS</v>
      </c>
      <c r="D774" s="21" t="str">
        <f>IFERROR(__xludf.DUMMYFUNCTION("""COMPUTED_VALUE"""),"COST")</f>
        <v>COST</v>
      </c>
      <c r="E774" s="5"/>
      <c r="F774" s="5"/>
      <c r="G774" s="10">
        <f>IFERROR(__xludf.DUMMYFUNCTION("""COMPUTED_VALUE"""),-2.17)</f>
        <v>-2.17</v>
      </c>
    </row>
    <row r="775">
      <c r="A775" s="24">
        <f>IFERROR(__xludf.DUMMYFUNCTION("""COMPUTED_VALUE"""),43136.0)</f>
        <v>43136</v>
      </c>
      <c r="B775" s="5" t="str">
        <f>IFERROR(__xludf.DUMMYFUNCTION("""COMPUTED_VALUE"""),"Stocks")</f>
        <v>Stocks</v>
      </c>
      <c r="C775" s="5" t="str">
        <f>IFERROR(__xludf.DUMMYFUNCTION("""COMPUTED_VALUE"""),"Vanguard S&amp;P 500 UCITS")</f>
        <v>Vanguard S&amp;P 500 UCITS</v>
      </c>
      <c r="D775" s="21" t="str">
        <f>IFERROR(__xludf.DUMMYFUNCTION("""COMPUTED_VALUE"""),"SELL")</f>
        <v>SELL</v>
      </c>
      <c r="E775" s="21">
        <f>IFERROR(__xludf.DUMMYFUNCTION("""COMPUTED_VALUE"""),-10.0)</f>
        <v>-10</v>
      </c>
      <c r="F775" s="25">
        <f>IFERROR(__xludf.DUMMYFUNCTION("""COMPUTED_VALUE"""),41.796)</f>
        <v>41.796</v>
      </c>
      <c r="G775" s="10">
        <f>IFERROR(__xludf.DUMMYFUNCTION("""COMPUTED_VALUE"""),417.96)</f>
        <v>417.96</v>
      </c>
    </row>
    <row r="776">
      <c r="A776" s="24">
        <f>IFERROR(__xludf.DUMMYFUNCTION("""COMPUTED_VALUE"""),43136.0)</f>
        <v>43136</v>
      </c>
      <c r="B776" s="5" t="str">
        <f>IFERROR(__xludf.DUMMYFUNCTION("""COMPUTED_VALUE"""),"Stocks")</f>
        <v>Stocks</v>
      </c>
      <c r="C776" s="5" t="str">
        <f>IFERROR(__xludf.DUMMYFUNCTION("""COMPUTED_VALUE"""),"Vanguard S&amp;P 500 UCITS")</f>
        <v>Vanguard S&amp;P 500 UCITS</v>
      </c>
      <c r="D776" s="21" t="str">
        <f>IFERROR(__xludf.DUMMYFUNCTION("""COMPUTED_VALUE"""),"COST")</f>
        <v>COST</v>
      </c>
      <c r="E776" s="5"/>
      <c r="F776" s="5"/>
      <c r="G776" s="10">
        <f>IFERROR(__xludf.DUMMYFUNCTION("""COMPUTED_VALUE"""),-2.08)</f>
        <v>-2.08</v>
      </c>
    </row>
    <row r="777">
      <c r="A777" s="24">
        <f>IFERROR(__xludf.DUMMYFUNCTION("""COMPUTED_VALUE"""),43131.0)</f>
        <v>43131</v>
      </c>
      <c r="B777" s="5"/>
      <c r="C777" s="5"/>
      <c r="D777" s="21" t="str">
        <f>IFERROR(__xludf.DUMMYFUNCTION("""COMPUTED_VALUE"""),"COST")</f>
        <v>COST</v>
      </c>
      <c r="E777" s="5"/>
      <c r="F777" s="5"/>
      <c r="G777" s="10">
        <f>IFERROR(__xludf.DUMMYFUNCTION("""COMPUTED_VALUE"""),0.02)</f>
        <v>0.02</v>
      </c>
    </row>
    <row r="778">
      <c r="A778" s="24">
        <f>IFERROR(__xludf.DUMMYFUNCTION("""COMPUTED_VALUE"""),43131.0)</f>
        <v>43131</v>
      </c>
      <c r="B778" s="5"/>
      <c r="C778" s="5"/>
      <c r="D778" s="21" t="str">
        <f>IFERROR(__xludf.DUMMYFUNCTION("""COMPUTED_VALUE"""),"COST")</f>
        <v>COST</v>
      </c>
      <c r="E778" s="5"/>
      <c r="F778" s="5"/>
      <c r="G778" s="10">
        <f>IFERROR(__xludf.DUMMYFUNCTION("""COMPUTED_VALUE"""),-193.75)</f>
        <v>-193.75</v>
      </c>
    </row>
    <row r="779">
      <c r="A779" s="24">
        <f>IFERROR(__xludf.DUMMYFUNCTION("""COMPUTED_VALUE"""),43131.0)</f>
        <v>43131</v>
      </c>
      <c r="B779" s="5"/>
      <c r="C779" s="5"/>
      <c r="D779" s="21" t="str">
        <f>IFERROR(__xludf.DUMMYFUNCTION("""COMPUTED_VALUE"""),"COST")</f>
        <v>COST</v>
      </c>
      <c r="E779" s="5"/>
      <c r="F779" s="5"/>
      <c r="G779" s="10">
        <f>IFERROR(__xludf.DUMMYFUNCTION("""COMPUTED_VALUE"""),-7.5)</f>
        <v>-7.5</v>
      </c>
    </row>
    <row r="780">
      <c r="A780" s="24">
        <f>IFERROR(__xludf.DUMMYFUNCTION("""COMPUTED_VALUE"""),43126.0)</f>
        <v>43126</v>
      </c>
      <c r="B780" s="5" t="str">
        <f>IFERROR(__xludf.DUMMYFUNCTION("""COMPUTED_VALUE"""),"Commodities")</f>
        <v>Commodities</v>
      </c>
      <c r="C780" s="5" t="str">
        <f>IFERROR(__xludf.DUMMYFUNCTION("""COMPUTED_VALUE"""),"ETFS All Commodities ETC")</f>
        <v>ETFS All Commodities ETC</v>
      </c>
      <c r="D780" s="21" t="str">
        <f>IFERROR(__xludf.DUMMYFUNCTION("""COMPUTED_VALUE"""),"BUY")</f>
        <v>BUY</v>
      </c>
      <c r="E780" s="21">
        <f>IFERROR(__xludf.DUMMYFUNCTION("""COMPUTED_VALUE"""),1375.0)</f>
        <v>1375</v>
      </c>
      <c r="F780" s="25">
        <f>IFERROR(__xludf.DUMMYFUNCTION("""COMPUTED_VALUE"""),7.35)</f>
        <v>7.35</v>
      </c>
      <c r="G780" s="10">
        <f>IFERROR(__xludf.DUMMYFUNCTION("""COMPUTED_VALUE"""),-10106.25)</f>
        <v>-10106.25</v>
      </c>
    </row>
    <row r="781">
      <c r="A781" s="24">
        <f>IFERROR(__xludf.DUMMYFUNCTION("""COMPUTED_VALUE"""),43126.0)</f>
        <v>43126</v>
      </c>
      <c r="B781" s="5" t="str">
        <f>IFERROR(__xludf.DUMMYFUNCTION("""COMPUTED_VALUE"""),"Stocks")</f>
        <v>Stocks</v>
      </c>
      <c r="C781" s="5" t="str">
        <f>IFERROR(__xludf.DUMMYFUNCTION("""COMPUTED_VALUE"""),"Vanguard S&amp;P 500 UCITS")</f>
        <v>Vanguard S&amp;P 500 UCITS</v>
      </c>
      <c r="D781" s="21" t="str">
        <f>IFERROR(__xludf.DUMMYFUNCTION("""COMPUTED_VALUE"""),"BUY")</f>
        <v>BUY</v>
      </c>
      <c r="E781" s="21">
        <f>IFERROR(__xludf.DUMMYFUNCTION("""COMPUTED_VALUE"""),937.0)</f>
        <v>937</v>
      </c>
      <c r="F781" s="25">
        <f>IFERROR(__xludf.DUMMYFUNCTION("""COMPUTED_VALUE"""),43.31)</f>
        <v>43.31</v>
      </c>
      <c r="G781" s="10">
        <f>IFERROR(__xludf.DUMMYFUNCTION("""COMPUTED_VALUE"""),-40581.47)</f>
        <v>-40581.47</v>
      </c>
    </row>
    <row r="782">
      <c r="A782" s="24">
        <f>IFERROR(__xludf.DUMMYFUNCTION("""COMPUTED_VALUE"""),43124.0)</f>
        <v>43124</v>
      </c>
      <c r="B782" s="5"/>
      <c r="C782" s="5"/>
      <c r="D782" s="21" t="str">
        <f>IFERROR(__xludf.DUMMYFUNCTION("""COMPUTED_VALUE"""),"COST")</f>
        <v>COST</v>
      </c>
      <c r="E782" s="5"/>
      <c r="F782" s="5"/>
      <c r="G782" s="10">
        <f>IFERROR(__xludf.DUMMYFUNCTION("""COMPUTED_VALUE"""),-0.01)</f>
        <v>-0.01</v>
      </c>
    </row>
    <row r="783">
      <c r="A783" s="24">
        <f>IFERROR(__xludf.DUMMYFUNCTION("""COMPUTED_VALUE"""),43115.0)</f>
        <v>43115</v>
      </c>
      <c r="B783" s="5" t="str">
        <f>IFERROR(__xludf.DUMMYFUNCTION("""COMPUTED_VALUE"""),"Commodities")</f>
        <v>Commodities</v>
      </c>
      <c r="C783" s="5" t="str">
        <f>IFERROR(__xludf.DUMMYFUNCTION("""COMPUTED_VALUE"""),"ETFS All Commodities ETC")</f>
        <v>ETFS All Commodities ETC</v>
      </c>
      <c r="D783" s="21" t="str">
        <f>IFERROR(__xludf.DUMMYFUNCTION("""COMPUTED_VALUE"""),"BUY")</f>
        <v>BUY</v>
      </c>
      <c r="E783" s="21">
        <f>IFERROR(__xludf.DUMMYFUNCTION("""COMPUTED_VALUE"""),860.0)</f>
        <v>860</v>
      </c>
      <c r="F783" s="25">
        <f>IFERROR(__xludf.DUMMYFUNCTION("""COMPUTED_VALUE"""),7.395)</f>
        <v>7.395</v>
      </c>
      <c r="G783" s="10">
        <f>IFERROR(__xludf.DUMMYFUNCTION("""COMPUTED_VALUE"""),-6359.7)</f>
        <v>-6359.7</v>
      </c>
    </row>
    <row r="784">
      <c r="A784" s="24">
        <f>IFERROR(__xludf.DUMMYFUNCTION("""COMPUTED_VALUE"""),43115.0)</f>
        <v>43115</v>
      </c>
      <c r="B784" s="5" t="str">
        <f>IFERROR(__xludf.DUMMYFUNCTION("""COMPUTED_VALUE"""),"Stocks")</f>
        <v>Stocks</v>
      </c>
      <c r="C784" s="5" t="str">
        <f>IFERROR(__xludf.DUMMYFUNCTION("""COMPUTED_VALUE"""),"Vanguard S&amp;P 500 UCITS")</f>
        <v>Vanguard S&amp;P 500 UCITS</v>
      </c>
      <c r="D784" s="21" t="str">
        <f>IFERROR(__xludf.DUMMYFUNCTION("""COMPUTED_VALUE"""),"BUY")</f>
        <v>BUY</v>
      </c>
      <c r="E784" s="21">
        <f>IFERROR(__xludf.DUMMYFUNCTION("""COMPUTED_VALUE"""),615.0)</f>
        <v>615</v>
      </c>
      <c r="F784" s="25">
        <f>IFERROR(__xludf.DUMMYFUNCTION("""COMPUTED_VALUE"""),43.436)</f>
        <v>43.436</v>
      </c>
      <c r="G784" s="10">
        <f>IFERROR(__xludf.DUMMYFUNCTION("""COMPUTED_VALUE"""),-26713.14)</f>
        <v>-26713.14</v>
      </c>
    </row>
    <row r="785">
      <c r="A785" s="24">
        <f>IFERROR(__xludf.DUMMYFUNCTION("""COMPUTED_VALUE"""),43109.0)</f>
        <v>43109</v>
      </c>
      <c r="B785" s="5" t="str">
        <f>IFERROR(__xludf.DUMMYFUNCTION("""COMPUTED_VALUE"""),"Stocks")</f>
        <v>Stocks</v>
      </c>
      <c r="C785" s="5" t="str">
        <f>IFERROR(__xludf.DUMMYFUNCTION("""COMPUTED_VALUE"""),"Vanguard S&amp;P 500 UCITS")</f>
        <v>Vanguard S&amp;P 500 UCITS</v>
      </c>
      <c r="D785" s="21" t="str">
        <f>IFERROR(__xludf.DUMMYFUNCTION("""COMPUTED_VALUE"""),"DIVIDEND")</f>
        <v>DIVIDEND</v>
      </c>
      <c r="E785" s="5"/>
      <c r="F785" s="5"/>
      <c r="G785" s="10">
        <f>IFERROR(__xludf.DUMMYFUNCTION("""COMPUTED_VALUE"""),-42.4)</f>
        <v>-42.4</v>
      </c>
    </row>
    <row r="786">
      <c r="A786" s="24">
        <f>IFERROR(__xludf.DUMMYFUNCTION("""COMPUTED_VALUE"""),43108.0)</f>
        <v>43108</v>
      </c>
      <c r="B786" s="5" t="str">
        <f>IFERROR(__xludf.DUMMYFUNCTION("""COMPUTED_VALUE"""),"Stocks")</f>
        <v>Stocks</v>
      </c>
      <c r="C786" s="5" t="str">
        <f>IFERROR(__xludf.DUMMYFUNCTION("""COMPUTED_VALUE"""),"Vanguard S&amp;P 500 UCITS")</f>
        <v>Vanguard S&amp;P 500 UCITS</v>
      </c>
      <c r="D786" s="21" t="str">
        <f>IFERROR(__xludf.DUMMYFUNCTION("""COMPUTED_VALUE"""),"DIVIDEND")</f>
        <v>DIVIDEND</v>
      </c>
      <c r="E786" s="5"/>
      <c r="F786" s="5"/>
      <c r="G786" s="10">
        <f>IFERROR(__xludf.DUMMYFUNCTION("""COMPUTED_VALUE"""),259.89)</f>
        <v>259.89</v>
      </c>
    </row>
    <row r="787">
      <c r="A787" s="24">
        <f>IFERROR(__xludf.DUMMYFUNCTION("""COMPUTED_VALUE"""),43105.0)</f>
        <v>43105</v>
      </c>
      <c r="B787" s="5"/>
      <c r="C787" s="5"/>
      <c r="D787" s="21" t="str">
        <f>IFERROR(__xludf.DUMMYFUNCTION("""COMPUTED_VALUE"""),"APPROVISIONNEMENT")</f>
        <v>APPROVISIONNEMENT</v>
      </c>
      <c r="E787" s="5"/>
      <c r="F787" s="5"/>
      <c r="G787" s="10">
        <f>IFERROR(__xludf.DUMMYFUNCTION("""COMPUTED_VALUE"""),30000.0)</f>
        <v>30000</v>
      </c>
    </row>
    <row r="788">
      <c r="A788" s="24">
        <f>IFERROR(__xludf.DUMMYFUNCTION("""COMPUTED_VALUE"""),43102.0)</f>
        <v>43102</v>
      </c>
      <c r="B788" s="5" t="str">
        <f>IFERROR(__xludf.DUMMYFUNCTION("""COMPUTED_VALUE"""),"Intermediate US bonds (7-10 year)")</f>
        <v>Intermediate US bonds (7-10 year)</v>
      </c>
      <c r="C788" s="5" t="str">
        <f>IFERROR(__xludf.DUMMYFUNCTION("""COMPUTED_VALUE"""),"Vanguard Intermediate-Term Treasury ETF")</f>
        <v>Vanguard Intermediate-Term Treasury ETF</v>
      </c>
      <c r="D788" s="21" t="str">
        <f>IFERROR(__xludf.DUMMYFUNCTION("""COMPUTED_VALUE"""),"DIVIDEND")</f>
        <v>DIVIDEND</v>
      </c>
      <c r="E788" s="5"/>
      <c r="F788" s="5"/>
      <c r="G788" s="10">
        <f>IFERROR(__xludf.DUMMYFUNCTION("""COMPUTED_VALUE"""),-132.32)</f>
        <v>-132.32</v>
      </c>
    </row>
    <row r="789">
      <c r="A789" s="24">
        <f>IFERROR(__xludf.DUMMYFUNCTION("""COMPUTED_VALUE"""),43100.0)</f>
        <v>43100</v>
      </c>
      <c r="B789" s="5"/>
      <c r="C789" s="5"/>
      <c r="D789" s="21" t="str">
        <f>IFERROR(__xludf.DUMMYFUNCTION("""COMPUTED_VALUE"""),"COST")</f>
        <v>COST</v>
      </c>
      <c r="E789" s="5"/>
      <c r="F789" s="5"/>
      <c r="G789" s="10">
        <f>IFERROR(__xludf.DUMMYFUNCTION("""COMPUTED_VALUE"""),0.05)</f>
        <v>0.05</v>
      </c>
    </row>
    <row r="790">
      <c r="A790" s="24">
        <f>IFERROR(__xludf.DUMMYFUNCTION("""COMPUTED_VALUE"""),43100.0)</f>
        <v>43100</v>
      </c>
      <c r="B790" s="5"/>
      <c r="C790" s="5"/>
      <c r="D790" s="21" t="str">
        <f>IFERROR(__xludf.DUMMYFUNCTION("""COMPUTED_VALUE"""),"COST")</f>
        <v>COST</v>
      </c>
      <c r="E790" s="5"/>
      <c r="F790" s="5"/>
      <c r="G790" s="10">
        <f>IFERROR(__xludf.DUMMYFUNCTION("""COMPUTED_VALUE"""),-127.19)</f>
        <v>-127.19</v>
      </c>
    </row>
    <row r="791">
      <c r="A791" s="24">
        <f>IFERROR(__xludf.DUMMYFUNCTION("""COMPUTED_VALUE"""),43098.0)</f>
        <v>43098</v>
      </c>
      <c r="B791" s="5" t="str">
        <f>IFERROR(__xludf.DUMMYFUNCTION("""COMPUTED_VALUE"""),"Long term US bonds (20-25 year)")</f>
        <v>Long term US bonds (20-25 year)</v>
      </c>
      <c r="C791" s="5" t="str">
        <f>IFERROR(__xludf.DUMMYFUNCTION("""COMPUTED_VALUE"""),"Vanguard Extended Duration Treasury ETF")</f>
        <v>Vanguard Extended Duration Treasury ETF</v>
      </c>
      <c r="D791" s="5" t="str">
        <f>IFERROR(__xludf.DUMMYFUNCTION("""COMPUTED_VALUE"""),"DIVIDEND")</f>
        <v>DIVIDEND</v>
      </c>
      <c r="E791" s="5"/>
      <c r="F791" s="5"/>
      <c r="G791" s="10">
        <f>IFERROR(__xludf.DUMMYFUNCTION("""COMPUTED_VALUE"""),91.39)</f>
        <v>91.39</v>
      </c>
    </row>
    <row r="792">
      <c r="A792" s="24">
        <f>IFERROR(__xludf.DUMMYFUNCTION("""COMPUTED_VALUE"""),43098.0)</f>
        <v>43098</v>
      </c>
      <c r="B792" s="5" t="str">
        <f>IFERROR(__xludf.DUMMYFUNCTION("""COMPUTED_VALUE"""),"Long term US bonds (20-25 year)")</f>
        <v>Long term US bonds (20-25 year)</v>
      </c>
      <c r="C792" s="5" t="str">
        <f>IFERROR(__xludf.DUMMYFUNCTION("""COMPUTED_VALUE"""),"Vanguard Extended Duration Treasury ETF")</f>
        <v>Vanguard Extended Duration Treasury ETF</v>
      </c>
      <c r="D792" s="21" t="str">
        <f>IFERROR(__xludf.DUMMYFUNCTION("""COMPUTED_VALUE"""),"DIVIDEND")</f>
        <v>DIVIDEND</v>
      </c>
      <c r="E792" s="5"/>
      <c r="F792" s="5"/>
      <c r="G792" s="10">
        <f>IFERROR(__xludf.DUMMYFUNCTION("""COMPUTED_VALUE"""),208.14)</f>
        <v>208.14</v>
      </c>
    </row>
    <row r="793">
      <c r="A793" s="24">
        <f>IFERROR(__xludf.DUMMYFUNCTION("""COMPUTED_VALUE"""),43098.0)</f>
        <v>43098</v>
      </c>
      <c r="B793" s="5" t="str">
        <f>IFERROR(__xludf.DUMMYFUNCTION("""COMPUTED_VALUE"""),"Intermediate US bonds (7-10 year)")</f>
        <v>Intermediate US bonds (7-10 year)</v>
      </c>
      <c r="C793" s="5" t="str">
        <f>IFERROR(__xludf.DUMMYFUNCTION("""COMPUTED_VALUE"""),"Vanguard Intermediate-Term Treasury ETF")</f>
        <v>Vanguard Intermediate-Term Treasury ETF</v>
      </c>
      <c r="D793" s="21" t="str">
        <f>IFERROR(__xludf.DUMMYFUNCTION("""COMPUTED_VALUE"""),"DIVIDEND")</f>
        <v>DIVIDEND</v>
      </c>
      <c r="E793" s="5"/>
      <c r="F793" s="5"/>
      <c r="G793" s="10">
        <f>IFERROR(__xludf.DUMMYFUNCTION("""COMPUTED_VALUE"""),43.79)</f>
        <v>43.79</v>
      </c>
    </row>
    <row r="794">
      <c r="A794" s="24">
        <f>IFERROR(__xludf.DUMMYFUNCTION("""COMPUTED_VALUE"""),43098.0)</f>
        <v>43098</v>
      </c>
      <c r="B794" s="5" t="str">
        <f>IFERROR(__xludf.DUMMYFUNCTION("""COMPUTED_VALUE"""),"Long term US bonds (20-25 year)")</f>
        <v>Long term US bonds (20-25 year)</v>
      </c>
      <c r="C794" s="5" t="str">
        <f>IFERROR(__xludf.DUMMYFUNCTION("""COMPUTED_VALUE"""),"Vanguard Extended Duration Treasury ETF")</f>
        <v>Vanguard Extended Duration Treasury ETF</v>
      </c>
      <c r="D794" s="21" t="str">
        <f>IFERROR(__xludf.DUMMYFUNCTION("""COMPUTED_VALUE"""),"DIVIDEND")</f>
        <v>DIVIDEND</v>
      </c>
      <c r="E794" s="5"/>
      <c r="F794" s="5"/>
      <c r="G794" s="10">
        <f>IFERROR(__xludf.DUMMYFUNCTION("""COMPUTED_VALUE"""),519.88)</f>
        <v>519.88</v>
      </c>
    </row>
    <row r="795">
      <c r="A795" s="24">
        <f>IFERROR(__xludf.DUMMYFUNCTION("""COMPUTED_VALUE"""),43090.0)</f>
        <v>43090</v>
      </c>
      <c r="B795" s="5" t="str">
        <f>IFERROR(__xludf.DUMMYFUNCTION("""COMPUTED_VALUE"""),"Stocks")</f>
        <v>Stocks</v>
      </c>
      <c r="C795" s="5" t="str">
        <f>IFERROR(__xludf.DUMMYFUNCTION("""COMPUTED_VALUE"""),"Vanguard S&amp;P 500 UCITS")</f>
        <v>Vanguard S&amp;P 500 UCITS</v>
      </c>
      <c r="D795" s="21" t="str">
        <f>IFERROR(__xludf.DUMMYFUNCTION("""COMPUTED_VALUE"""),"SELL")</f>
        <v>SELL</v>
      </c>
      <c r="E795" s="21">
        <f>IFERROR(__xludf.DUMMYFUNCTION("""COMPUTED_VALUE"""),-26.0)</f>
        <v>-26</v>
      </c>
      <c r="F795" s="25">
        <f>IFERROR(__xludf.DUMMYFUNCTION("""COMPUTED_VALUE"""),42.848)</f>
        <v>42.848</v>
      </c>
      <c r="G795" s="10">
        <f>IFERROR(__xludf.DUMMYFUNCTION("""COMPUTED_VALUE"""),1114.05)</f>
        <v>1114.05</v>
      </c>
    </row>
    <row r="796">
      <c r="A796" s="24">
        <f>IFERROR(__xludf.DUMMYFUNCTION("""COMPUTED_VALUE"""),43090.0)</f>
        <v>43090</v>
      </c>
      <c r="B796" s="5" t="str">
        <f>IFERROR(__xludf.DUMMYFUNCTION("""COMPUTED_VALUE"""),"Stocks")</f>
        <v>Stocks</v>
      </c>
      <c r="C796" s="5" t="str">
        <f>IFERROR(__xludf.DUMMYFUNCTION("""COMPUTED_VALUE"""),"Vanguard S&amp;P 500 UCITS")</f>
        <v>Vanguard S&amp;P 500 UCITS</v>
      </c>
      <c r="D796" s="21" t="str">
        <f>IFERROR(__xludf.DUMMYFUNCTION("""COMPUTED_VALUE"""),"COST")</f>
        <v>COST</v>
      </c>
      <c r="E796" s="5"/>
      <c r="F796" s="5"/>
      <c r="G796" s="10">
        <f>IFERROR(__xludf.DUMMYFUNCTION("""COMPUTED_VALUE"""),-2.22)</f>
        <v>-2.22</v>
      </c>
    </row>
    <row r="797">
      <c r="A797" s="24">
        <f>IFERROR(__xludf.DUMMYFUNCTION("""COMPUTED_VALUE"""),43089.0)</f>
        <v>43089</v>
      </c>
      <c r="B797" s="5" t="str">
        <f>IFERROR(__xludf.DUMMYFUNCTION("""COMPUTED_VALUE"""),"Long term US bonds (20-25 year)")</f>
        <v>Long term US bonds (20-25 year)</v>
      </c>
      <c r="C797" s="5" t="str">
        <f>IFERROR(__xludf.DUMMYFUNCTION("""COMPUTED_VALUE"""),"Vanguard Extended Duration Treasury ETF")</f>
        <v>Vanguard Extended Duration Treasury ETF</v>
      </c>
      <c r="D797" s="21" t="str">
        <f>IFERROR(__xludf.DUMMYFUNCTION("""COMPUTED_VALUE"""),"BUY")</f>
        <v>BUY</v>
      </c>
      <c r="E797" s="21">
        <f>IFERROR(__xludf.DUMMYFUNCTION("""COMPUTED_VALUE"""),11.0)</f>
        <v>11</v>
      </c>
      <c r="F797" s="25">
        <f>IFERROR(__xludf.DUMMYFUNCTION("""COMPUTED_VALUE"""),99.46)</f>
        <v>99.46</v>
      </c>
      <c r="G797" s="10">
        <f>IFERROR(__xludf.DUMMYFUNCTION("""COMPUTED_VALUE"""),-1094.1)</f>
        <v>-1094.1</v>
      </c>
    </row>
    <row r="798">
      <c r="A798" s="24">
        <f>IFERROR(__xludf.DUMMYFUNCTION("""COMPUTED_VALUE"""),43080.0)</f>
        <v>43080</v>
      </c>
      <c r="B798" s="5" t="str">
        <f>IFERROR(__xludf.DUMMYFUNCTION("""COMPUTED_VALUE"""),"Commodities")</f>
        <v>Commodities</v>
      </c>
      <c r="C798" s="5" t="str">
        <f>IFERROR(__xludf.DUMMYFUNCTION("""COMPUTED_VALUE"""),"ETFS All Commodities ETC")</f>
        <v>ETFS All Commodities ETC</v>
      </c>
      <c r="D798" s="21" t="str">
        <f>IFERROR(__xludf.DUMMYFUNCTION("""COMPUTED_VALUE"""),"BUY")</f>
        <v>BUY</v>
      </c>
      <c r="E798" s="21">
        <f>IFERROR(__xludf.DUMMYFUNCTION("""COMPUTED_VALUE"""),311.0)</f>
        <v>311</v>
      </c>
      <c r="F798" s="25">
        <f>IFERROR(__xludf.DUMMYFUNCTION("""COMPUTED_VALUE"""),7.225)</f>
        <v>7.225</v>
      </c>
      <c r="G798" s="10">
        <f>IFERROR(__xludf.DUMMYFUNCTION("""COMPUTED_VALUE"""),-2246.97)</f>
        <v>-2246.97</v>
      </c>
    </row>
    <row r="799">
      <c r="A799" s="24">
        <f>IFERROR(__xludf.DUMMYFUNCTION("""COMPUTED_VALUE"""),43080.0)</f>
        <v>43080</v>
      </c>
      <c r="B799" s="5" t="str">
        <f>IFERROR(__xludf.DUMMYFUNCTION("""COMPUTED_VALUE"""),"Stocks")</f>
        <v>Stocks</v>
      </c>
      <c r="C799" s="5" t="str">
        <f>IFERROR(__xludf.DUMMYFUNCTION("""COMPUTED_VALUE"""),"Vanguard S&amp;P 500 UCITS")</f>
        <v>Vanguard S&amp;P 500 UCITS</v>
      </c>
      <c r="D799" s="21" t="str">
        <f>IFERROR(__xludf.DUMMYFUNCTION("""COMPUTED_VALUE"""),"BUY")</f>
        <v>BUY</v>
      </c>
      <c r="E799" s="21">
        <f>IFERROR(__xludf.DUMMYFUNCTION("""COMPUTED_VALUE"""),206.0)</f>
        <v>206</v>
      </c>
      <c r="F799" s="25">
        <f>IFERROR(__xludf.DUMMYFUNCTION("""COMPUTED_VALUE"""),42.94)</f>
        <v>42.94</v>
      </c>
      <c r="G799" s="10">
        <f>IFERROR(__xludf.DUMMYFUNCTION("""COMPUTED_VALUE"""),-8845.64)</f>
        <v>-8845.64</v>
      </c>
    </row>
    <row r="800">
      <c r="A800" s="24">
        <f>IFERROR(__xludf.DUMMYFUNCTION("""COMPUTED_VALUE"""),43080.0)</f>
        <v>43080</v>
      </c>
      <c r="B800" s="5" t="str">
        <f>IFERROR(__xludf.DUMMYFUNCTION("""COMPUTED_VALUE"""),"Gold")</f>
        <v>Gold</v>
      </c>
      <c r="C800" s="5" t="str">
        <f>IFERROR(__xludf.DUMMYFUNCTION("""COMPUTED_VALUE"""),"iShares Gold Trust")</f>
        <v>iShares Gold Trust</v>
      </c>
      <c r="D800" s="21" t="str">
        <f>IFERROR(__xludf.DUMMYFUNCTION("""COMPUTED_VALUE"""),"BUY")</f>
        <v>BUY</v>
      </c>
      <c r="E800" s="21">
        <f>IFERROR(__xludf.DUMMYFUNCTION("""COMPUTED_VALUE"""),267.0)</f>
        <v>267</v>
      </c>
      <c r="F800" s="25">
        <f>IFERROR(__xludf.DUMMYFUNCTION("""COMPUTED_VALUE"""),10.17)</f>
        <v>10.17</v>
      </c>
      <c r="G800" s="10">
        <f>IFERROR(__xludf.DUMMYFUNCTION("""COMPUTED_VALUE"""),-2714.52)</f>
        <v>-2714.52</v>
      </c>
    </row>
    <row r="801">
      <c r="A801" s="24">
        <f>IFERROR(__xludf.DUMMYFUNCTION("""COMPUTED_VALUE"""),43080.0)</f>
        <v>43080</v>
      </c>
      <c r="B801" s="5" t="str">
        <f>IFERROR(__xludf.DUMMYFUNCTION("""COMPUTED_VALUE"""),"Long term US bonds (20-25 year)")</f>
        <v>Long term US bonds (20-25 year)</v>
      </c>
      <c r="C801" s="5" t="str">
        <f>IFERROR(__xludf.DUMMYFUNCTION("""COMPUTED_VALUE"""),"Vanguard Extended Duration Treasury ETF")</f>
        <v>Vanguard Extended Duration Treasury ETF</v>
      </c>
      <c r="D801" s="21" t="str">
        <f>IFERROR(__xludf.DUMMYFUNCTION("""COMPUTED_VALUE"""),"BUY")</f>
        <v>BUY</v>
      </c>
      <c r="E801" s="21">
        <f>IFERROR(__xludf.DUMMYFUNCTION("""COMPUTED_VALUE"""),108.0)</f>
        <v>108</v>
      </c>
      <c r="F801" s="25">
        <f>IFERROR(__xludf.DUMMYFUNCTION("""COMPUTED_VALUE"""),103.18)</f>
        <v>103.18</v>
      </c>
      <c r="G801" s="10">
        <f>IFERROR(__xludf.DUMMYFUNCTION("""COMPUTED_VALUE"""),-11143.33)</f>
        <v>-11143.33</v>
      </c>
    </row>
    <row r="802">
      <c r="A802" s="24">
        <f>IFERROR(__xludf.DUMMYFUNCTION("""COMPUTED_VALUE"""),43080.0)</f>
        <v>43080</v>
      </c>
      <c r="B802" s="5" t="str">
        <f>IFERROR(__xludf.DUMMYFUNCTION("""COMPUTED_VALUE"""),"Intermediate US bonds (7-10 year)")</f>
        <v>Intermediate US bonds (7-10 year)</v>
      </c>
      <c r="C802" s="5" t="str">
        <f>IFERROR(__xludf.DUMMYFUNCTION("""COMPUTED_VALUE"""),"Vanguard Intermediate-Term Treasury ETF")</f>
        <v>Vanguard Intermediate-Term Treasury ETF</v>
      </c>
      <c r="D802" s="21" t="str">
        <f>IFERROR(__xludf.DUMMYFUNCTION("""COMPUTED_VALUE"""),"COST")</f>
        <v>COST</v>
      </c>
      <c r="E802" s="5"/>
      <c r="F802" s="5"/>
      <c r="G802" s="10">
        <f>IFERROR(__xludf.DUMMYFUNCTION("""COMPUTED_VALUE"""),-3.0)</f>
        <v>-3</v>
      </c>
    </row>
    <row r="803">
      <c r="A803" s="24">
        <f>IFERROR(__xludf.DUMMYFUNCTION("""COMPUTED_VALUE"""),43080.0)</f>
        <v>43080</v>
      </c>
      <c r="B803" s="5" t="str">
        <f>IFERROR(__xludf.DUMMYFUNCTION("""COMPUTED_VALUE"""),"Intermediate US bonds (7-10 year)")</f>
        <v>Intermediate US bonds (7-10 year)</v>
      </c>
      <c r="C803" s="5" t="str">
        <f>IFERROR(__xludf.DUMMYFUNCTION("""COMPUTED_VALUE"""),"Vanguard Intermediate-Term Treasury ETF")</f>
        <v>Vanguard Intermediate-Term Treasury ETF</v>
      </c>
      <c r="D803" s="21" t="str">
        <f>IFERROR(__xludf.DUMMYFUNCTION("""COMPUTED_VALUE"""),"BUY")</f>
        <v>BUY</v>
      </c>
      <c r="E803" s="21">
        <f>IFERROR(__xludf.DUMMYFUNCTION("""COMPUTED_VALUE"""),92.0)</f>
        <v>92</v>
      </c>
      <c r="F803" s="25">
        <f>IFERROR(__xludf.DUMMYFUNCTION("""COMPUTED_VALUE"""),54.49)</f>
        <v>54.49</v>
      </c>
      <c r="G803" s="10">
        <f>IFERROR(__xludf.DUMMYFUNCTION("""COMPUTED_VALUE"""),-5013.47)</f>
        <v>-5013.47</v>
      </c>
    </row>
    <row r="804">
      <c r="A804" s="24">
        <f>IFERROR(__xludf.DUMMYFUNCTION("""COMPUTED_VALUE"""),43076.0)</f>
        <v>43076</v>
      </c>
      <c r="B804" s="5" t="str">
        <f>IFERROR(__xludf.DUMMYFUNCTION("""COMPUTED_VALUE"""),"Intermediate US bonds (7-10 year)")</f>
        <v>Intermediate US bonds (7-10 year)</v>
      </c>
      <c r="C804" s="5" t="str">
        <f>IFERROR(__xludf.DUMMYFUNCTION("""COMPUTED_VALUE"""),"Vanguard Intermediate-Term Treasury ETF")</f>
        <v>Vanguard Intermediate-Term Treasury ETF</v>
      </c>
      <c r="D804" s="21" t="str">
        <f>IFERROR(__xludf.DUMMYFUNCTION("""COMPUTED_VALUE"""),"DIVIDEND")</f>
        <v>DIVIDEND</v>
      </c>
      <c r="E804" s="5"/>
      <c r="F804" s="5"/>
      <c r="G804" s="10">
        <f>IFERROR(__xludf.DUMMYFUNCTION("""COMPUTED_VALUE"""),-4.96)</f>
        <v>-4.96</v>
      </c>
    </row>
    <row r="805">
      <c r="A805" s="24">
        <f>IFERROR(__xludf.DUMMYFUNCTION("""COMPUTED_VALUE"""),43075.0)</f>
        <v>43075</v>
      </c>
      <c r="B805" s="5" t="str">
        <f>IFERROR(__xludf.DUMMYFUNCTION("""COMPUTED_VALUE"""),"Intermediate US bonds (7-10 year)")</f>
        <v>Intermediate US bonds (7-10 year)</v>
      </c>
      <c r="C805" s="5" t="str">
        <f>IFERROR(__xludf.DUMMYFUNCTION("""COMPUTED_VALUE"""),"Vanguard Intermediate-Term Treasury ETF")</f>
        <v>Vanguard Intermediate-Term Treasury ETF</v>
      </c>
      <c r="D805" s="21" t="str">
        <f>IFERROR(__xludf.DUMMYFUNCTION("""COMPUTED_VALUE"""),"DIVIDEND")</f>
        <v>DIVIDEND</v>
      </c>
      <c r="E805" s="5"/>
      <c r="F805" s="5"/>
      <c r="G805" s="10">
        <f>IFERROR(__xludf.DUMMYFUNCTION("""COMPUTED_VALUE"""),32.39)</f>
        <v>32.39</v>
      </c>
    </row>
    <row r="806">
      <c r="A806" s="24">
        <f>IFERROR(__xludf.DUMMYFUNCTION("""COMPUTED_VALUE"""),43069.0)</f>
        <v>43069</v>
      </c>
      <c r="B806" s="5"/>
      <c r="C806" s="5"/>
      <c r="D806" s="21" t="str">
        <f>IFERROR(__xludf.DUMMYFUNCTION("""COMPUTED_VALUE"""),"COST")</f>
        <v>COST</v>
      </c>
      <c r="E806" s="5"/>
      <c r="F806" s="5"/>
      <c r="G806" s="10">
        <f>IFERROR(__xludf.DUMMYFUNCTION("""COMPUTED_VALUE"""),-102.08)</f>
        <v>-102.08</v>
      </c>
    </row>
    <row r="807">
      <c r="A807" s="24">
        <f>IFERROR(__xludf.DUMMYFUNCTION("""COMPUTED_VALUE"""),43069.0)</f>
        <v>43069</v>
      </c>
      <c r="B807" s="5"/>
      <c r="C807" s="5"/>
      <c r="D807" s="21" t="str">
        <f>IFERROR(__xludf.DUMMYFUNCTION("""COMPUTED_VALUE"""),"APPROVISIONNEMENT")</f>
        <v>APPROVISIONNEMENT</v>
      </c>
      <c r="E807" s="5"/>
      <c r="F807" s="5"/>
      <c r="G807" s="10">
        <f>IFERROR(__xludf.DUMMYFUNCTION("""COMPUTED_VALUE"""),10000.0)</f>
        <v>10000</v>
      </c>
    </row>
    <row r="808">
      <c r="A808" s="24">
        <f>IFERROR(__xludf.DUMMYFUNCTION("""COMPUTED_VALUE"""),43066.0)</f>
        <v>43066</v>
      </c>
      <c r="B808" s="5" t="str">
        <f>IFERROR(__xludf.DUMMYFUNCTION("""COMPUTED_VALUE"""),"Long term US bonds (20-25 year)")</f>
        <v>Long term US bonds (20-25 year)</v>
      </c>
      <c r="C808" s="5" t="str">
        <f>IFERROR(__xludf.DUMMYFUNCTION("""COMPUTED_VALUE"""),"Vanguard Extended Duration Treasury ETF")</f>
        <v>Vanguard Extended Duration Treasury ETF</v>
      </c>
      <c r="D808" s="21" t="str">
        <f>IFERROR(__xludf.DUMMYFUNCTION("""COMPUTED_VALUE"""),"BUY")</f>
        <v>BUY</v>
      </c>
      <c r="E808" s="21">
        <f>IFERROR(__xludf.DUMMYFUNCTION("""COMPUTED_VALUE"""),10.0)</f>
        <v>10</v>
      </c>
      <c r="F808" s="25">
        <f>IFERROR(__xludf.DUMMYFUNCTION("""COMPUTED_VALUE"""),101.56)</f>
        <v>101.56</v>
      </c>
      <c r="G808" s="10">
        <f>IFERROR(__xludf.DUMMYFUNCTION("""COMPUTED_VALUE"""),-1015.59)</f>
        <v>-1015.59</v>
      </c>
    </row>
    <row r="809">
      <c r="A809" s="24">
        <f>IFERROR(__xludf.DUMMYFUNCTION("""COMPUTED_VALUE"""),43056.0)</f>
        <v>43056</v>
      </c>
      <c r="B809" s="5"/>
      <c r="C809" s="5"/>
      <c r="D809" s="21" t="str">
        <f>IFERROR(__xludf.DUMMYFUNCTION("""COMPUTED_VALUE"""),"APPROVISIONNEMENT")</f>
        <v>APPROVISIONNEMENT</v>
      </c>
      <c r="E809" s="5"/>
      <c r="F809" s="5"/>
      <c r="G809" s="10">
        <f>IFERROR(__xludf.DUMMYFUNCTION("""COMPUTED_VALUE"""),1000.0)</f>
        <v>1000</v>
      </c>
    </row>
    <row r="810">
      <c r="A810" s="24">
        <f>IFERROR(__xludf.DUMMYFUNCTION("""COMPUTED_VALUE"""),43046.0)</f>
        <v>43046</v>
      </c>
      <c r="B810" s="5" t="str">
        <f>IFERROR(__xludf.DUMMYFUNCTION("""COMPUTED_VALUE"""),"Intermediate US bonds (7-10 year)")</f>
        <v>Intermediate US bonds (7-10 year)</v>
      </c>
      <c r="C810" s="5" t="str">
        <f>IFERROR(__xludf.DUMMYFUNCTION("""COMPUTED_VALUE"""),"Vanguard Intermediate-Term Treasury ETF")</f>
        <v>Vanguard Intermediate-Term Treasury ETF</v>
      </c>
      <c r="D810" s="21" t="str">
        <f>IFERROR(__xludf.DUMMYFUNCTION("""COMPUTED_VALUE"""),"DIVIDEND")</f>
        <v>DIVIDEND</v>
      </c>
      <c r="E810" s="5"/>
      <c r="F810" s="5"/>
      <c r="G810" s="10">
        <f>IFERROR(__xludf.DUMMYFUNCTION("""COMPUTED_VALUE"""),-3.92)</f>
        <v>-3.92</v>
      </c>
    </row>
    <row r="811">
      <c r="A811" s="24">
        <f>IFERROR(__xludf.DUMMYFUNCTION("""COMPUTED_VALUE"""),43046.0)</f>
        <v>43046</v>
      </c>
      <c r="B811" s="5" t="str">
        <f>IFERROR(__xludf.DUMMYFUNCTION("""COMPUTED_VALUE"""),"Stocks")</f>
        <v>Stocks</v>
      </c>
      <c r="C811" s="5" t="str">
        <f>IFERROR(__xludf.DUMMYFUNCTION("""COMPUTED_VALUE"""),"Vanguard S&amp;P 500 UCITS")</f>
        <v>Vanguard S&amp;P 500 UCITS</v>
      </c>
      <c r="D811" s="21" t="str">
        <f>IFERROR(__xludf.DUMMYFUNCTION("""COMPUTED_VALUE"""),"BUY")</f>
        <v>BUY</v>
      </c>
      <c r="E811" s="21">
        <f>IFERROR(__xludf.DUMMYFUNCTION("""COMPUTED_VALUE"""),48.0)</f>
        <v>48</v>
      </c>
      <c r="F811" s="25">
        <f>IFERROR(__xludf.DUMMYFUNCTION("""COMPUTED_VALUE"""),42.6)</f>
        <v>42.6</v>
      </c>
      <c r="G811" s="10">
        <f>IFERROR(__xludf.DUMMYFUNCTION("""COMPUTED_VALUE"""),-2044.75)</f>
        <v>-2044.75</v>
      </c>
    </row>
    <row r="812">
      <c r="A812" s="24">
        <f>IFERROR(__xludf.DUMMYFUNCTION("""COMPUTED_VALUE"""),43046.0)</f>
        <v>43046</v>
      </c>
      <c r="B812" s="5" t="str">
        <f>IFERROR(__xludf.DUMMYFUNCTION("""COMPUTED_VALUE"""),"Intermediate US bonds (7-10 year)")</f>
        <v>Intermediate US bonds (7-10 year)</v>
      </c>
      <c r="C812" s="5" t="str">
        <f>IFERROR(__xludf.DUMMYFUNCTION("""COMPUTED_VALUE"""),"Vanguard Intermediate-Term Treasury ETF")</f>
        <v>Vanguard Intermediate-Term Treasury ETF</v>
      </c>
      <c r="D812" s="21" t="str">
        <f>IFERROR(__xludf.DUMMYFUNCTION("""COMPUTED_VALUE"""),"COST")</f>
        <v>COST</v>
      </c>
      <c r="E812" s="5"/>
      <c r="F812" s="5"/>
      <c r="G812" s="10">
        <f>IFERROR(__xludf.DUMMYFUNCTION("""COMPUTED_VALUE"""),-2.31)</f>
        <v>-2.31</v>
      </c>
    </row>
    <row r="813">
      <c r="A813" s="24">
        <f>IFERROR(__xludf.DUMMYFUNCTION("""COMPUTED_VALUE"""),43046.0)</f>
        <v>43046</v>
      </c>
      <c r="B813" s="5" t="str">
        <f>IFERROR(__xludf.DUMMYFUNCTION("""COMPUTED_VALUE"""),"Commodities")</f>
        <v>Commodities</v>
      </c>
      <c r="C813" s="5" t="str">
        <f>IFERROR(__xludf.DUMMYFUNCTION("""COMPUTED_VALUE"""),"ETFS All Commodities ETC")</f>
        <v>ETFS All Commodities ETC</v>
      </c>
      <c r="D813" s="21" t="str">
        <f>IFERROR(__xludf.DUMMYFUNCTION("""COMPUTED_VALUE"""),"BUY")</f>
        <v>BUY</v>
      </c>
      <c r="E813" s="21">
        <f>IFERROR(__xludf.DUMMYFUNCTION("""COMPUTED_VALUE"""),132.0)</f>
        <v>132</v>
      </c>
      <c r="F813" s="25">
        <f>IFERROR(__xludf.DUMMYFUNCTION("""COMPUTED_VALUE"""),7.675)</f>
        <v>7.675</v>
      </c>
      <c r="G813" s="10">
        <f>IFERROR(__xludf.DUMMYFUNCTION("""COMPUTED_VALUE"""),-1013.1)</f>
        <v>-1013.1</v>
      </c>
    </row>
    <row r="814">
      <c r="A814" s="24">
        <f>IFERROR(__xludf.DUMMYFUNCTION("""COMPUTED_VALUE"""),43046.0)</f>
        <v>43046</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IFERROR(__xludf.DUMMYFUNCTION("""COMPUTED_VALUE"""),"BUY")</f>
        <v>BUY</v>
      </c>
      <c r="E814" s="21">
        <f>IFERROR(__xludf.DUMMYFUNCTION("""COMPUTED_VALUE"""),27.0)</f>
        <v>27</v>
      </c>
      <c r="F814" s="25">
        <f>IFERROR(__xludf.DUMMYFUNCTION("""COMPUTED_VALUE"""),103.66)</f>
        <v>103.66</v>
      </c>
      <c r="G814" s="10">
        <f>IFERROR(__xludf.DUMMYFUNCTION("""COMPUTED_VALUE"""),-2798.71)</f>
        <v>-2798.71</v>
      </c>
    </row>
    <row r="815">
      <c r="A815" s="24">
        <f>IFERROR(__xludf.DUMMYFUNCTION("""COMPUTED_VALUE"""),43046.0)</f>
        <v>43046</v>
      </c>
      <c r="B815" s="5" t="str">
        <f>IFERROR(__xludf.DUMMYFUNCTION("""COMPUTED_VALUE"""),"Gold")</f>
        <v>Gold</v>
      </c>
      <c r="C815" s="5" t="str">
        <f>IFERROR(__xludf.DUMMYFUNCTION("""COMPUTED_VALUE"""),"iShares Gold Trust")</f>
        <v>iShares Gold Trust</v>
      </c>
      <c r="D815" s="21" t="str">
        <f>IFERROR(__xludf.DUMMYFUNCTION("""COMPUTED_VALUE"""),"BUY")</f>
        <v>BUY</v>
      </c>
      <c r="E815" s="21">
        <f>IFERROR(__xludf.DUMMYFUNCTION("""COMPUTED_VALUE"""),64.0)</f>
        <v>64</v>
      </c>
      <c r="F815" s="25">
        <f>IFERROR(__xludf.DUMMYFUNCTION("""COMPUTED_VALUE"""),10.63)</f>
        <v>10.63</v>
      </c>
      <c r="G815" s="10">
        <f>IFERROR(__xludf.DUMMYFUNCTION("""COMPUTED_VALUE"""),-680.11)</f>
        <v>-680.11</v>
      </c>
    </row>
    <row r="816">
      <c r="A816" s="24">
        <f>IFERROR(__xludf.DUMMYFUNCTION("""COMPUTED_VALUE"""),43046.0)</f>
        <v>43046</v>
      </c>
      <c r="B816" s="5" t="str">
        <f>IFERROR(__xludf.DUMMYFUNCTION("""COMPUTED_VALUE"""),"Intermediate US bonds (7-10 year)")</f>
        <v>Intermediate US bonds (7-10 year)</v>
      </c>
      <c r="C816" s="5" t="str">
        <f>IFERROR(__xludf.DUMMYFUNCTION("""COMPUTED_VALUE"""),"Vanguard Intermediate-Term Treasury ETF")</f>
        <v>Vanguard Intermediate-Term Treasury ETF</v>
      </c>
      <c r="D816" s="21" t="str">
        <f>IFERROR(__xludf.DUMMYFUNCTION("""COMPUTED_VALUE"""),"BUY")</f>
        <v>BUY</v>
      </c>
      <c r="E816" s="21">
        <f>IFERROR(__xludf.DUMMYFUNCTION("""COMPUTED_VALUE"""),28.0)</f>
        <v>28</v>
      </c>
      <c r="F816" s="25">
        <f>IFERROR(__xludf.DUMMYFUNCTION("""COMPUTED_VALUE"""),55.76)</f>
        <v>55.76</v>
      </c>
      <c r="G816" s="10">
        <f>IFERROR(__xludf.DUMMYFUNCTION("""COMPUTED_VALUE"""),-1561.34)</f>
        <v>-1561.34</v>
      </c>
    </row>
    <row r="817">
      <c r="A817" s="24">
        <f>IFERROR(__xludf.DUMMYFUNCTION("""COMPUTED_VALUE"""),43045.0)</f>
        <v>43045</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1" t="str">
        <f>IFERROR(__xludf.DUMMYFUNCTION("""COMPUTED_VALUE"""),"DIVIDEND")</f>
        <v>DIVIDEND</v>
      </c>
      <c r="E817" s="5"/>
      <c r="F817" s="5"/>
      <c r="G817" s="10">
        <f>IFERROR(__xludf.DUMMYFUNCTION("""COMPUTED_VALUE"""),28.53)</f>
        <v>28.53</v>
      </c>
    </row>
    <row r="818">
      <c r="A818" s="24">
        <f>IFERROR(__xludf.DUMMYFUNCTION("""COMPUTED_VALUE"""),43039.0)</f>
        <v>43039</v>
      </c>
      <c r="B818" s="5"/>
      <c r="C818" s="5"/>
      <c r="D818" s="21" t="str">
        <f>IFERROR(__xludf.DUMMYFUNCTION("""COMPUTED_VALUE"""),"COST")</f>
        <v>COST</v>
      </c>
      <c r="E818" s="5"/>
      <c r="F818" s="5"/>
      <c r="G818" s="10">
        <f>IFERROR(__xludf.DUMMYFUNCTION("""COMPUTED_VALUE"""),-93.75)</f>
        <v>-93.75</v>
      </c>
    </row>
    <row r="819">
      <c r="A819" s="24">
        <f>IFERROR(__xludf.DUMMYFUNCTION("""COMPUTED_VALUE"""),43014.0)</f>
        <v>43014</v>
      </c>
      <c r="B819" s="5" t="str">
        <f>IFERROR(__xludf.DUMMYFUNCTION("""COMPUTED_VALUE"""),"Intermediate US bonds (7-10 year)")</f>
        <v>Intermediate US bonds (7-10 year)</v>
      </c>
      <c r="C819" s="5" t="str">
        <f>IFERROR(__xludf.DUMMYFUNCTION("""COMPUTED_VALUE"""),"Vanguard Intermediate-Term Treasury ETF")</f>
        <v>Vanguard Intermediate-Term Treasury ETF</v>
      </c>
      <c r="D819" s="21" t="str">
        <f>IFERROR(__xludf.DUMMYFUNCTION("""COMPUTED_VALUE"""),"DIVIDEND")</f>
        <v>DIVIDEND</v>
      </c>
      <c r="E819" s="5"/>
      <c r="F819" s="5"/>
      <c r="G819" s="10">
        <f>IFERROR(__xludf.DUMMYFUNCTION("""COMPUTED_VALUE"""),-4.5)</f>
        <v>-4.5</v>
      </c>
    </row>
    <row r="820">
      <c r="A820" s="24">
        <f>IFERROR(__xludf.DUMMYFUNCTION("""COMPUTED_VALUE"""),43013.0)</f>
        <v>43013</v>
      </c>
      <c r="B820" s="5" t="str">
        <f>IFERROR(__xludf.DUMMYFUNCTION("""COMPUTED_VALUE"""),"Stocks")</f>
        <v>Stocks</v>
      </c>
      <c r="C820" s="5" t="str">
        <f>IFERROR(__xludf.DUMMYFUNCTION("""COMPUTED_VALUE"""),"Vanguard S&amp;P 500 UCITS")</f>
        <v>Vanguard S&amp;P 500 UCITS</v>
      </c>
      <c r="D820" s="21" t="str">
        <f>IFERROR(__xludf.DUMMYFUNCTION("""COMPUTED_VALUE"""),"DIVIDEND")</f>
        <v>DIVIDEND</v>
      </c>
      <c r="E820" s="5"/>
      <c r="F820" s="5"/>
      <c r="G820" s="10">
        <f>IFERROR(__xludf.DUMMYFUNCTION("""COMPUTED_VALUE"""),-26.14)</f>
        <v>-26.14</v>
      </c>
    </row>
    <row r="821">
      <c r="A821" s="24">
        <f>IFERROR(__xludf.DUMMYFUNCTION("""COMPUTED_VALUE"""),43013.0)</f>
        <v>43013</v>
      </c>
      <c r="B821" s="5" t="str">
        <f>IFERROR(__xludf.DUMMYFUNCTION("""COMPUTED_VALUE"""),"Intermediate US bonds (7-10 year)")</f>
        <v>Intermediate US bonds (7-10 year)</v>
      </c>
      <c r="C821" s="5" t="str">
        <f>IFERROR(__xludf.DUMMYFUNCTION("""COMPUTED_VALUE"""),"Vanguard Intermediate-Term Treasury ETF")</f>
        <v>Vanguard Intermediate-Term Treasury ETF</v>
      </c>
      <c r="D821" s="21" t="str">
        <f>IFERROR(__xludf.DUMMYFUNCTION("""COMPUTED_VALUE"""),"DIVIDEND")</f>
        <v>DIVIDEND</v>
      </c>
      <c r="E821" s="5"/>
      <c r="F821" s="5"/>
      <c r="G821" s="10">
        <f>IFERROR(__xludf.DUMMYFUNCTION("""COMPUTED_VALUE"""),30.34)</f>
        <v>30.34</v>
      </c>
    </row>
    <row r="822">
      <c r="A822" s="24">
        <f>IFERROR(__xludf.DUMMYFUNCTION("""COMPUTED_VALUE"""),43012.0)</f>
        <v>43012</v>
      </c>
      <c r="B822" s="5" t="str">
        <f>IFERROR(__xludf.DUMMYFUNCTION("""COMPUTED_VALUE"""),"Stocks")</f>
        <v>Stocks</v>
      </c>
      <c r="C822" s="5" t="str">
        <f>IFERROR(__xludf.DUMMYFUNCTION("""COMPUTED_VALUE"""),"Vanguard S&amp;P 500 UCITS")</f>
        <v>Vanguard S&amp;P 500 UCITS</v>
      </c>
      <c r="D822" s="21" t="str">
        <f>IFERROR(__xludf.DUMMYFUNCTION("""COMPUTED_VALUE"""),"DIVIDEND")</f>
        <v>DIVIDEND</v>
      </c>
      <c r="E822" s="5"/>
      <c r="F822" s="5"/>
      <c r="G822" s="10">
        <f>IFERROR(__xludf.DUMMYFUNCTION("""COMPUTED_VALUE"""),178.2)</f>
        <v>178.2</v>
      </c>
    </row>
    <row r="823">
      <c r="A823" s="24">
        <f>IFERROR(__xludf.DUMMYFUNCTION("""COMPUTED_VALUE"""),43012.0)</f>
        <v>43012</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IFERROR(__xludf.DUMMYFUNCTION("""COMPUTED_VALUE"""),"COST")</f>
        <v>COST</v>
      </c>
      <c r="E823" s="5"/>
      <c r="F823" s="5"/>
      <c r="G823" s="10">
        <f>IFERROR(__xludf.DUMMYFUNCTION("""COMPUTED_VALUE"""),-2.18)</f>
        <v>-2.18</v>
      </c>
    </row>
    <row r="824">
      <c r="A824" s="24">
        <f>IFERROR(__xludf.DUMMYFUNCTION("""COMPUTED_VALUE"""),43012.0)</f>
        <v>43012</v>
      </c>
      <c r="B824" s="5" t="str">
        <f>IFERROR(__xludf.DUMMYFUNCTION("""COMPUTED_VALUE"""),"Stocks")</f>
        <v>Stocks</v>
      </c>
      <c r="C824" s="5" t="str">
        <f>IFERROR(__xludf.DUMMYFUNCTION("""COMPUTED_VALUE"""),"Vanguard S&amp;P 500 UCITS")</f>
        <v>Vanguard S&amp;P 500 UCITS</v>
      </c>
      <c r="D824" s="21" t="str">
        <f>IFERROR(__xludf.DUMMYFUNCTION("""COMPUTED_VALUE"""),"BUY")</f>
        <v>BUY</v>
      </c>
      <c r="E824" s="21">
        <f>IFERROR(__xludf.DUMMYFUNCTION("""COMPUTED_VALUE"""),25.0)</f>
        <v>25</v>
      </c>
      <c r="F824" s="25">
        <f>IFERROR(__xludf.DUMMYFUNCTION("""COMPUTED_VALUE"""),40.857)</f>
        <v>40.857</v>
      </c>
      <c r="G824" s="10">
        <f>IFERROR(__xludf.DUMMYFUNCTION("""COMPUTED_VALUE"""),-1021.42)</f>
        <v>-1021.42</v>
      </c>
    </row>
    <row r="825">
      <c r="A825" s="24">
        <f>IFERROR(__xludf.DUMMYFUNCTION("""COMPUTED_VALUE"""),43012.0)</f>
        <v>43012</v>
      </c>
      <c r="B825" s="5" t="str">
        <f>IFERROR(__xludf.DUMMYFUNCTION("""COMPUTED_VALUE"""),"Commodities")</f>
        <v>Commodities</v>
      </c>
      <c r="C825" s="5" t="str">
        <f>IFERROR(__xludf.DUMMYFUNCTION("""COMPUTED_VALUE"""),"ETFS All Commodities ETC")</f>
        <v>ETFS All Commodities ETC</v>
      </c>
      <c r="D825" s="21" t="str">
        <f>IFERROR(__xludf.DUMMYFUNCTION("""COMPUTED_VALUE"""),"BUY")</f>
        <v>BUY</v>
      </c>
      <c r="E825" s="21">
        <f>IFERROR(__xludf.DUMMYFUNCTION("""COMPUTED_VALUE"""),174.0)</f>
        <v>174</v>
      </c>
      <c r="F825" s="25">
        <f>IFERROR(__xludf.DUMMYFUNCTION("""COMPUTED_VALUE"""),7.205)</f>
        <v>7.205</v>
      </c>
      <c r="G825" s="10">
        <f>IFERROR(__xludf.DUMMYFUNCTION("""COMPUTED_VALUE"""),-1253.67)</f>
        <v>-1253.67</v>
      </c>
    </row>
    <row r="826">
      <c r="A826" s="24">
        <f>IFERROR(__xludf.DUMMYFUNCTION("""COMPUTED_VALUE"""),43012.0)</f>
        <v>43012</v>
      </c>
      <c r="B826" s="5" t="str">
        <f>IFERROR(__xludf.DUMMYFUNCTION("""COMPUTED_VALUE"""),"Long term US bonds (20-25 year)")</f>
        <v>Long term US bonds (20-25 year)</v>
      </c>
      <c r="C826" s="5" t="str">
        <f>IFERROR(__xludf.DUMMYFUNCTION("""COMPUTED_VALUE"""),"Vanguard Extended Duration Treasury ETF")</f>
        <v>Vanguard Extended Duration Treasury ETF</v>
      </c>
      <c r="D826" s="21" t="str">
        <f>IFERROR(__xludf.DUMMYFUNCTION("""COMPUTED_VALUE"""),"BUY")</f>
        <v>BUY</v>
      </c>
      <c r="E826" s="21">
        <f>IFERROR(__xludf.DUMMYFUNCTION("""COMPUTED_VALUE"""),37.0)</f>
        <v>37</v>
      </c>
      <c r="F826" s="25">
        <f>IFERROR(__xludf.DUMMYFUNCTION("""COMPUTED_VALUE"""),99.51)</f>
        <v>99.51</v>
      </c>
      <c r="G826" s="10">
        <f>IFERROR(__xludf.DUMMYFUNCTION("""COMPUTED_VALUE"""),-3682.04)</f>
        <v>-3682.04</v>
      </c>
    </row>
    <row r="827">
      <c r="A827" s="24">
        <f>IFERROR(__xludf.DUMMYFUNCTION("""COMPUTED_VALUE"""),43012.0)</f>
        <v>43012</v>
      </c>
      <c r="B827" s="5" t="str">
        <f>IFERROR(__xludf.DUMMYFUNCTION("""COMPUTED_VALUE"""),"Gold")</f>
        <v>Gold</v>
      </c>
      <c r="C827" s="5" t="str">
        <f>IFERROR(__xludf.DUMMYFUNCTION("""COMPUTED_VALUE"""),"iShares Gold Trust")</f>
        <v>iShares Gold Trust</v>
      </c>
      <c r="D827" s="21" t="str">
        <f>IFERROR(__xludf.DUMMYFUNCTION("""COMPUTED_VALUE"""),"BUY")</f>
        <v>BUY</v>
      </c>
      <c r="E827" s="21">
        <f>IFERROR(__xludf.DUMMYFUNCTION("""COMPUTED_VALUE"""),147.0)</f>
        <v>147</v>
      </c>
      <c r="F827" s="25">
        <f>IFERROR(__xludf.DUMMYFUNCTION("""COMPUTED_VALUE"""),10.44)</f>
        <v>10.44</v>
      </c>
      <c r="G827" s="10">
        <f>IFERROR(__xludf.DUMMYFUNCTION("""COMPUTED_VALUE"""),-1534.32)</f>
        <v>-1534.32</v>
      </c>
    </row>
    <row r="828">
      <c r="A828" s="24">
        <f>IFERROR(__xludf.DUMMYFUNCTION("""COMPUTED_VALUE"""),43012.0)</f>
        <v>43012</v>
      </c>
      <c r="B828" s="5" t="str">
        <f>IFERROR(__xludf.DUMMYFUNCTION("""COMPUTED_VALUE"""),"Intermediate US bonds (7-10 year)")</f>
        <v>Intermediate US bonds (7-10 year)</v>
      </c>
      <c r="C828" s="5" t="str">
        <f>IFERROR(__xludf.DUMMYFUNCTION("""COMPUTED_VALUE"""),"Vanguard Intermediate-Term Treasury ETF")</f>
        <v>Vanguard Intermediate-Term Treasury ETF</v>
      </c>
      <c r="D828" s="21" t="str">
        <f>IFERROR(__xludf.DUMMYFUNCTION("""COMPUTED_VALUE"""),"BUY")</f>
        <v>BUY</v>
      </c>
      <c r="E828" s="21">
        <f>IFERROR(__xludf.DUMMYFUNCTION("""COMPUTED_VALUE"""),16.0)</f>
        <v>16</v>
      </c>
      <c r="F828" s="25">
        <f>IFERROR(__xludf.DUMMYFUNCTION("""COMPUTED_VALUE"""),55.01)</f>
        <v>55.01</v>
      </c>
      <c r="G828" s="10">
        <f>IFERROR(__xludf.DUMMYFUNCTION("""COMPUTED_VALUE"""),-880.09)</f>
        <v>-880.09</v>
      </c>
    </row>
    <row r="829">
      <c r="A829" s="24">
        <f>IFERROR(__xludf.DUMMYFUNCTION("""COMPUTED_VALUE"""),43011.0)</f>
        <v>43011</v>
      </c>
      <c r="B829" s="5" t="str">
        <f>IFERROR(__xludf.DUMMYFUNCTION("""COMPUTED_VALUE"""),"Long term US bonds (20-25 year)")</f>
        <v>Long term US bonds (20-25 year)</v>
      </c>
      <c r="C829" s="5" t="str">
        <f>IFERROR(__xludf.DUMMYFUNCTION("""COMPUTED_VALUE"""),"Vanguard Extended Duration Treasury ETF")</f>
        <v>Vanguard Extended Duration Treasury ETF</v>
      </c>
      <c r="D829" s="21" t="str">
        <f>IFERROR(__xludf.DUMMYFUNCTION("""COMPUTED_VALUE"""),"DIVIDEND")</f>
        <v>DIVIDEND</v>
      </c>
      <c r="E829" s="5"/>
      <c r="F829" s="5"/>
      <c r="G829" s="10">
        <f>IFERROR(__xludf.DUMMYFUNCTION("""COMPUTED_VALUE"""),-54.04)</f>
        <v>-54.04</v>
      </c>
    </row>
    <row r="830">
      <c r="A830" s="24">
        <f>IFERROR(__xludf.DUMMYFUNCTION("""COMPUTED_VALUE"""),43010.0)</f>
        <v>43010</v>
      </c>
      <c r="B830" s="5" t="str">
        <f>IFERROR(__xludf.DUMMYFUNCTION("""COMPUTED_VALUE"""),"Long term US bonds (20-25 year)")</f>
        <v>Long term US bonds (20-25 year)</v>
      </c>
      <c r="C830" s="5" t="str">
        <f>IFERROR(__xludf.DUMMYFUNCTION("""COMPUTED_VALUE"""),"Vanguard Extended Duration Treasury ETF")</f>
        <v>Vanguard Extended Duration Treasury ETF</v>
      </c>
      <c r="D830" s="21" t="str">
        <f>IFERROR(__xludf.DUMMYFUNCTION("""COMPUTED_VALUE"""),"DIVIDEND")</f>
        <v>DIVIDEND</v>
      </c>
      <c r="E830" s="5"/>
      <c r="F830" s="5"/>
      <c r="G830" s="10">
        <f>IFERROR(__xludf.DUMMYFUNCTION("""COMPUTED_VALUE"""),359.13)</f>
        <v>359.13</v>
      </c>
    </row>
    <row r="831">
      <c r="A831" s="24">
        <f>IFERROR(__xludf.DUMMYFUNCTION("""COMPUTED_VALUE"""),43009.0)</f>
        <v>43009</v>
      </c>
      <c r="B831" s="5"/>
      <c r="C831" s="5"/>
      <c r="D831" s="21" t="str">
        <f>IFERROR(__xludf.DUMMYFUNCTION("""COMPUTED_VALUE"""),"APPROVISIONNEMENT")</f>
        <v>APPROVISIONNEMENT</v>
      </c>
      <c r="E831" s="5"/>
      <c r="F831" s="5"/>
      <c r="G831" s="10">
        <f>IFERROR(__xludf.DUMMYFUNCTION("""COMPUTED_VALUE"""),-2000.0)</f>
        <v>-2000</v>
      </c>
    </row>
    <row r="832">
      <c r="A832" s="24">
        <f>IFERROR(__xludf.DUMMYFUNCTION("""COMPUTED_VALUE"""),43008.0)</f>
        <v>43008</v>
      </c>
      <c r="B832" s="5"/>
      <c r="C832" s="5"/>
      <c r="D832" s="21" t="str">
        <f>IFERROR(__xludf.DUMMYFUNCTION("""COMPUTED_VALUE"""),"COST")</f>
        <v>COST</v>
      </c>
      <c r="E832" s="5"/>
      <c r="F832" s="5"/>
      <c r="G832" s="10">
        <f>IFERROR(__xludf.DUMMYFUNCTION("""COMPUTED_VALUE"""),-86.11)</f>
        <v>-86.11</v>
      </c>
    </row>
    <row r="833">
      <c r="A833" s="24">
        <f>IFERROR(__xludf.DUMMYFUNCTION("""COMPUTED_VALUE"""),42996.0)</f>
        <v>42996</v>
      </c>
      <c r="B833" s="5" t="str">
        <f>IFERROR(__xludf.DUMMYFUNCTION("""COMPUTED_VALUE"""),"Stocks")</f>
        <v>Stocks</v>
      </c>
      <c r="C833" s="5" t="str">
        <f>IFERROR(__xludf.DUMMYFUNCTION("""COMPUTED_VALUE"""),"Vanguard S&amp;P 500 UCITS")</f>
        <v>Vanguard S&amp;P 500 UCITS</v>
      </c>
      <c r="D833" s="21" t="str">
        <f>IFERROR(__xludf.DUMMYFUNCTION("""COMPUTED_VALUE"""),"BUY")</f>
        <v>BUY</v>
      </c>
      <c r="E833" s="21">
        <f>IFERROR(__xludf.DUMMYFUNCTION("""COMPUTED_VALUE"""),72.0)</f>
        <v>72</v>
      </c>
      <c r="F833" s="25">
        <f>IFERROR(__xludf.DUMMYFUNCTION("""COMPUTED_VALUE"""),39.983)</f>
        <v>39.983</v>
      </c>
      <c r="G833" s="10">
        <f>IFERROR(__xludf.DUMMYFUNCTION("""COMPUTED_VALUE"""),-2878.78)</f>
        <v>-2878.78</v>
      </c>
    </row>
    <row r="834">
      <c r="A834" s="24">
        <f>IFERROR(__xludf.DUMMYFUNCTION("""COMPUTED_VALUE"""),42993.0)</f>
        <v>42993</v>
      </c>
      <c r="B834" s="5" t="str">
        <f>IFERROR(__xludf.DUMMYFUNCTION("""COMPUTED_VALUE"""),"Long term US bonds (20-25 year)")</f>
        <v>Long term US bonds (20-25 year)</v>
      </c>
      <c r="C834" s="5" t="str">
        <f>IFERROR(__xludf.DUMMYFUNCTION("""COMPUTED_VALUE"""),"Vanguard Extended Duration Treasury ETF")</f>
        <v>Vanguard Extended Duration Treasury ETF</v>
      </c>
      <c r="D834" s="21" t="str">
        <f>IFERROR(__xludf.DUMMYFUNCTION("""COMPUTED_VALUE"""),"BUY")</f>
        <v>BUY</v>
      </c>
      <c r="E834" s="21">
        <f>IFERROR(__xludf.DUMMYFUNCTION("""COMPUTED_VALUE"""),40.0)</f>
        <v>40</v>
      </c>
      <c r="F834" s="25">
        <f>IFERROR(__xludf.DUMMYFUNCTION("""COMPUTED_VALUE"""),101.03)</f>
        <v>101.03</v>
      </c>
      <c r="G834" s="10">
        <f>IFERROR(__xludf.DUMMYFUNCTION("""COMPUTED_VALUE"""),-4041.23)</f>
        <v>-4041.23</v>
      </c>
    </row>
    <row r="835">
      <c r="A835" s="24">
        <f>IFERROR(__xludf.DUMMYFUNCTION("""COMPUTED_VALUE"""),42993.0)</f>
        <v>42993</v>
      </c>
      <c r="B835" s="5" t="str">
        <f>IFERROR(__xludf.DUMMYFUNCTION("""COMPUTED_VALUE"""),"Intermediate US bonds (7-10 year)")</f>
        <v>Intermediate US bonds (7-10 year)</v>
      </c>
      <c r="C835" s="5" t="str">
        <f>IFERROR(__xludf.DUMMYFUNCTION("""COMPUTED_VALUE"""),"Vanguard Intermediate-Term Treasury ETF")</f>
        <v>Vanguard Intermediate-Term Treasury ETF</v>
      </c>
      <c r="D835" s="21" t="str">
        <f>IFERROR(__xludf.DUMMYFUNCTION("""COMPUTED_VALUE"""),"COST")</f>
        <v>COST</v>
      </c>
      <c r="E835" s="5"/>
      <c r="F835" s="5"/>
      <c r="G835" s="10">
        <f>IFERROR(__xludf.DUMMYFUNCTION("""COMPUTED_VALUE"""),-2.32)</f>
        <v>-2.32</v>
      </c>
    </row>
    <row r="836">
      <c r="A836" s="24">
        <f>IFERROR(__xludf.DUMMYFUNCTION("""COMPUTED_VALUE"""),42993.0)</f>
        <v>42993</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IFERROR(__xludf.DUMMYFUNCTION("""COMPUTED_VALUE"""),"BUY")</f>
        <v>BUY</v>
      </c>
      <c r="E836" s="21">
        <f>IFERROR(__xludf.DUMMYFUNCTION("""COMPUTED_VALUE"""),29.0)</f>
        <v>29</v>
      </c>
      <c r="F836" s="25">
        <f>IFERROR(__xludf.DUMMYFUNCTION("""COMPUTED_VALUE"""),54.53)</f>
        <v>54.53</v>
      </c>
      <c r="G836" s="10">
        <f>IFERROR(__xludf.DUMMYFUNCTION("""COMPUTED_VALUE"""),-1581.45)</f>
        <v>-1581.45</v>
      </c>
    </row>
    <row r="837">
      <c r="A837" s="24">
        <f>IFERROR(__xludf.DUMMYFUNCTION("""COMPUTED_VALUE"""),42993.0)</f>
        <v>42993</v>
      </c>
      <c r="B837" s="5"/>
      <c r="C837" s="5"/>
      <c r="D837" s="21" t="str">
        <f>IFERROR(__xludf.DUMMYFUNCTION("""COMPUTED_VALUE"""),"APPROVISIONNEMENT")</f>
        <v>APPROVISIONNEMENT</v>
      </c>
      <c r="E837" s="5"/>
      <c r="F837" s="5"/>
      <c r="G837" s="10">
        <f>IFERROR(__xludf.DUMMYFUNCTION("""COMPUTED_VALUE"""),8500.0)</f>
        <v>8500</v>
      </c>
    </row>
    <row r="838">
      <c r="A838" s="24">
        <f>IFERROR(__xludf.DUMMYFUNCTION("""COMPUTED_VALUE"""),42992.0)</f>
        <v>42992</v>
      </c>
      <c r="B838" s="5"/>
      <c r="C838" s="5"/>
      <c r="D838" s="21" t="str">
        <f>IFERROR(__xludf.DUMMYFUNCTION("""COMPUTED_VALUE"""),"APPROVISIONNEMENT")</f>
        <v>APPROVISIONNEMENT</v>
      </c>
      <c r="E838" s="21" t="str">
        <f>IFERROR(__xludf.DUMMYFUNCTION("""COMPUTED_VALUE"""),"")</f>
        <v/>
      </c>
      <c r="F838" s="25" t="str">
        <f>IFERROR(__xludf.DUMMYFUNCTION("""COMPUTED_VALUE"""),"")</f>
        <v/>
      </c>
      <c r="G838" s="10">
        <f>IFERROR(__xludf.DUMMYFUNCTION("""COMPUTED_VALUE"""),-30.0)</f>
        <v>-30</v>
      </c>
    </row>
    <row r="839">
      <c r="A839" s="24">
        <f>IFERROR(__xludf.DUMMYFUNCTION("""COMPUTED_VALUE"""),42986.0)</f>
        <v>42986</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1" t="str">
        <f>IFERROR(__xludf.DUMMYFUNCTION("""COMPUTED_VALUE"""),"DIVIDEND")</f>
        <v>DIVIDEND</v>
      </c>
      <c r="E839" s="5"/>
      <c r="F839" s="5"/>
      <c r="G839" s="10">
        <f>IFERROR(__xludf.DUMMYFUNCTION("""COMPUTED_VALUE"""),23.49)</f>
        <v>23.49</v>
      </c>
    </row>
    <row r="840">
      <c r="A840" s="24">
        <f>IFERROR(__xludf.DUMMYFUNCTION("""COMPUTED_VALUE"""),42986.0)</f>
        <v>42986</v>
      </c>
      <c r="B840" s="5" t="str">
        <f>IFERROR(__xludf.DUMMYFUNCTION("""COMPUTED_VALUE"""),"Intermediate US bonds (7-10 year)")</f>
        <v>Intermediate US bonds (7-10 year)</v>
      </c>
      <c r="C840" s="5" t="str">
        <f>IFERROR(__xludf.DUMMYFUNCTION("""COMPUTED_VALUE"""),"Vanguard Intermediate-Term Treasury ETF")</f>
        <v>Vanguard Intermediate-Term Treasury ETF</v>
      </c>
      <c r="D840" s="21" t="str">
        <f>IFERROR(__xludf.DUMMYFUNCTION("""COMPUTED_VALUE"""),"DIVIDEND")</f>
        <v>DIVIDEND</v>
      </c>
      <c r="E840" s="5"/>
      <c r="F840" s="5"/>
      <c r="G840" s="10">
        <f>IFERROR(__xludf.DUMMYFUNCTION("""COMPUTED_VALUE"""),-4.0)</f>
        <v>-4</v>
      </c>
    </row>
    <row r="841">
      <c r="A841" s="24">
        <f>IFERROR(__xludf.DUMMYFUNCTION("""COMPUTED_VALUE"""),42979.0)</f>
        <v>42979</v>
      </c>
      <c r="B841" s="5" t="str">
        <f>IFERROR(__xludf.DUMMYFUNCTION("""COMPUTED_VALUE"""),"Long term US bonds (20-25 year)")</f>
        <v>Long term US bonds (20-25 year)</v>
      </c>
      <c r="C841" s="5" t="str">
        <f>IFERROR(__xludf.DUMMYFUNCTION("""COMPUTED_VALUE"""),"Vanguard Extended Duration Treasury ETF")</f>
        <v>Vanguard Extended Duration Treasury ETF</v>
      </c>
      <c r="D841" s="21" t="str">
        <f>IFERROR(__xludf.DUMMYFUNCTION("""COMPUTED_VALUE"""),"BUY")</f>
        <v>BUY</v>
      </c>
      <c r="E841" s="21">
        <f>IFERROR(__xludf.DUMMYFUNCTION("""COMPUTED_VALUE"""),23.0)</f>
        <v>23</v>
      </c>
      <c r="F841" s="25">
        <f>IFERROR(__xludf.DUMMYFUNCTION("""COMPUTED_VALUE"""),101.207)</f>
        <v>101.207</v>
      </c>
      <c r="G841" s="10">
        <f>IFERROR(__xludf.DUMMYFUNCTION("""COMPUTED_VALUE"""),-2327.77)</f>
        <v>-2327.77</v>
      </c>
    </row>
    <row r="842">
      <c r="A842" s="24">
        <f>IFERROR(__xludf.DUMMYFUNCTION("""COMPUTED_VALUE"""),42979.0)</f>
        <v>42979</v>
      </c>
      <c r="B842" s="5" t="str">
        <f>IFERROR(__xludf.DUMMYFUNCTION("""COMPUTED_VALUE"""),"Stocks")</f>
        <v>Stocks</v>
      </c>
      <c r="C842" s="5" t="str">
        <f>IFERROR(__xludf.DUMMYFUNCTION("""COMPUTED_VALUE"""),"Vanguard S&amp;P 500 UCITS")</f>
        <v>Vanguard S&amp;P 500 UCITS</v>
      </c>
      <c r="D842" s="21" t="str">
        <f>IFERROR(__xludf.DUMMYFUNCTION("""COMPUTED_VALUE"""),"BUY")</f>
        <v>BUY</v>
      </c>
      <c r="E842" s="21">
        <f>IFERROR(__xludf.DUMMYFUNCTION("""COMPUTED_VALUE"""),57.0)</f>
        <v>57</v>
      </c>
      <c r="F842" s="25">
        <f>IFERROR(__xludf.DUMMYFUNCTION("""COMPUTED_VALUE"""),39.711)</f>
        <v>39.711</v>
      </c>
      <c r="G842" s="10">
        <f>IFERROR(__xludf.DUMMYFUNCTION("""COMPUTED_VALUE"""),-2263.53)</f>
        <v>-2263.53</v>
      </c>
    </row>
    <row r="843">
      <c r="A843" s="24">
        <f>IFERROR(__xludf.DUMMYFUNCTION("""COMPUTED_VALUE"""),42979.0)</f>
        <v>42979</v>
      </c>
      <c r="B843" s="5" t="str">
        <f>IFERROR(__xludf.DUMMYFUNCTION("""COMPUTED_VALUE"""),"Intermediate US bonds (7-10 year)")</f>
        <v>Intermediate US bonds (7-10 year)</v>
      </c>
      <c r="C843" s="5" t="str">
        <f>IFERROR(__xludf.DUMMYFUNCTION("""COMPUTED_VALUE"""),"Vanguard Intermediate-Term Treasury ETF")</f>
        <v>Vanguard Intermediate-Term Treasury ETF</v>
      </c>
      <c r="D843" s="21" t="str">
        <f>IFERROR(__xludf.DUMMYFUNCTION("""COMPUTED_VALUE"""),"COST")</f>
        <v>COST</v>
      </c>
      <c r="E843" s="5"/>
      <c r="F843" s="5"/>
      <c r="G843" s="10">
        <f>IFERROR(__xludf.DUMMYFUNCTION("""COMPUTED_VALUE"""),-0.8)</f>
        <v>-0.8</v>
      </c>
    </row>
    <row r="844">
      <c r="A844" s="24">
        <f>IFERROR(__xludf.DUMMYFUNCTION("""COMPUTED_VALUE"""),42979.0)</f>
        <v>42979</v>
      </c>
      <c r="B844" s="5" t="str">
        <f>IFERROR(__xludf.DUMMYFUNCTION("""COMPUTED_VALUE"""),"Intermediate US bonds (7-10 year)")</f>
        <v>Intermediate US bonds (7-10 year)</v>
      </c>
      <c r="C844" s="5" t="str">
        <f>IFERROR(__xludf.DUMMYFUNCTION("""COMPUTED_VALUE"""),"Vanguard Intermediate-Term Treasury ETF")</f>
        <v>Vanguard Intermediate-Term Treasury ETF</v>
      </c>
      <c r="D844" s="21" t="str">
        <f>IFERROR(__xludf.DUMMYFUNCTION("""COMPUTED_VALUE"""),"BUY")</f>
        <v>BUY</v>
      </c>
      <c r="E844" s="21">
        <f>IFERROR(__xludf.DUMMYFUNCTION("""COMPUTED_VALUE"""),21.0)</f>
        <v>21</v>
      </c>
      <c r="F844" s="25">
        <f>IFERROR(__xludf.DUMMYFUNCTION("""COMPUTED_VALUE"""),54.896)</f>
        <v>54.896</v>
      </c>
      <c r="G844" s="10">
        <f>IFERROR(__xludf.DUMMYFUNCTION("""COMPUTED_VALUE"""),-1152.82)</f>
        <v>-1152.82</v>
      </c>
    </row>
    <row r="845">
      <c r="A845" s="24">
        <f>IFERROR(__xludf.DUMMYFUNCTION("""COMPUTED_VALUE"""),42979.0)</f>
        <v>42979</v>
      </c>
      <c r="B845" s="5" t="str">
        <f>IFERROR(__xludf.DUMMYFUNCTION("""COMPUTED_VALUE"""),"Commodities")</f>
        <v>Commodities</v>
      </c>
      <c r="C845" s="5" t="str">
        <f>IFERROR(__xludf.DUMMYFUNCTION("""COMPUTED_VALUE"""),"ETFS All Commodities ETC")</f>
        <v>ETFS All Commodities ETC</v>
      </c>
      <c r="D845" s="21" t="str">
        <f>IFERROR(__xludf.DUMMYFUNCTION("""COMPUTED_VALUE"""),"BUY")</f>
        <v>BUY</v>
      </c>
      <c r="E845" s="21">
        <f>IFERROR(__xludf.DUMMYFUNCTION("""COMPUTED_VALUE"""),83.0)</f>
        <v>83</v>
      </c>
      <c r="F845" s="25">
        <f>IFERROR(__xludf.DUMMYFUNCTION("""COMPUTED_VALUE"""),7.215)</f>
        <v>7.215</v>
      </c>
      <c r="G845" s="10">
        <f>IFERROR(__xludf.DUMMYFUNCTION("""COMPUTED_VALUE"""),-598.84)</f>
        <v>-598.84</v>
      </c>
    </row>
    <row r="846">
      <c r="A846" s="24">
        <f>IFERROR(__xludf.DUMMYFUNCTION("""COMPUTED_VALUE"""),42979.0)</f>
        <v>42979</v>
      </c>
      <c r="B846" s="5" t="str">
        <f>IFERROR(__xludf.DUMMYFUNCTION("""COMPUTED_VALUE"""),"Gold")</f>
        <v>Gold</v>
      </c>
      <c r="C846" s="5" t="str">
        <f>IFERROR(__xludf.DUMMYFUNCTION("""COMPUTED_VALUE"""),"iShares Gold Trust")</f>
        <v>iShares Gold Trust</v>
      </c>
      <c r="D846" s="21" t="str">
        <f>IFERROR(__xludf.DUMMYFUNCTION("""COMPUTED_VALUE"""),"BUY")</f>
        <v>BUY</v>
      </c>
      <c r="E846" s="21">
        <f>IFERROR(__xludf.DUMMYFUNCTION("""COMPUTED_VALUE"""),26.0)</f>
        <v>26</v>
      </c>
      <c r="F846" s="25">
        <f>IFERROR(__xludf.DUMMYFUNCTION("""COMPUTED_VALUE"""),10.705)</f>
        <v>10.705</v>
      </c>
      <c r="G846" s="10">
        <f>IFERROR(__xludf.DUMMYFUNCTION("""COMPUTED_VALUE"""),-278.32)</f>
        <v>-278.32</v>
      </c>
    </row>
    <row r="847">
      <c r="A847" s="24">
        <f>IFERROR(__xludf.DUMMYFUNCTION("""COMPUTED_VALUE"""),42978.0)</f>
        <v>42978</v>
      </c>
      <c r="B847" s="5"/>
      <c r="C847" s="5"/>
      <c r="D847" s="21" t="str">
        <f>IFERROR(__xludf.DUMMYFUNCTION("""COMPUTED_VALUE"""),"COST")</f>
        <v>COST</v>
      </c>
      <c r="E847" s="5"/>
      <c r="F847" s="5"/>
      <c r="G847" s="10">
        <f>IFERROR(__xludf.DUMMYFUNCTION("""COMPUTED_VALUE"""),-78.9)</f>
        <v>-78.9</v>
      </c>
    </row>
    <row r="848">
      <c r="A848" s="24">
        <f>IFERROR(__xludf.DUMMYFUNCTION("""COMPUTED_VALUE"""),42955.0)</f>
        <v>42955</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IFERROR(__xludf.DUMMYFUNCTION("""COMPUTED_VALUE"""),"DIVIDEND")</f>
        <v>DIVIDEND</v>
      </c>
      <c r="E848" s="5"/>
      <c r="F848" s="5"/>
      <c r="G848" s="10">
        <f>IFERROR(__xludf.DUMMYFUNCTION("""COMPUTED_VALUE"""),-3.14)</f>
        <v>-3.14</v>
      </c>
    </row>
    <row r="849">
      <c r="A849" s="24">
        <f>IFERROR(__xludf.DUMMYFUNCTION("""COMPUTED_VALUE"""),42954.0)</f>
        <v>42954</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IFERROR(__xludf.DUMMYFUNCTION("""COMPUTED_VALUE"""),"DIVIDEND")</f>
        <v>DIVIDEND</v>
      </c>
      <c r="E849" s="5"/>
      <c r="F849" s="5"/>
      <c r="G849" s="10">
        <f>IFERROR(__xludf.DUMMYFUNCTION("""COMPUTED_VALUE"""),20.91)</f>
        <v>20.91</v>
      </c>
    </row>
    <row r="850">
      <c r="A850" s="24">
        <f>IFERROR(__xludf.DUMMYFUNCTION("""COMPUTED_VALUE"""),42950.0)</f>
        <v>42950</v>
      </c>
      <c r="B850" s="5" t="str">
        <f>IFERROR(__xludf.DUMMYFUNCTION("""COMPUTED_VALUE"""),"Commodities")</f>
        <v>Commodities</v>
      </c>
      <c r="C850" s="5" t="str">
        <f>IFERROR(__xludf.DUMMYFUNCTION("""COMPUTED_VALUE"""),"ETFS All Commodities ETC")</f>
        <v>ETFS All Commodities ETC</v>
      </c>
      <c r="D850" s="5" t="str">
        <f>IFERROR(__xludf.DUMMYFUNCTION("""COMPUTED_VALUE"""),"BUY")</f>
        <v>BUY</v>
      </c>
      <c r="E850" s="5">
        <f>IFERROR(__xludf.DUMMYFUNCTION("""COMPUTED_VALUE"""),67.0)</f>
        <v>67</v>
      </c>
      <c r="F850" s="25">
        <f>IFERROR(__xludf.DUMMYFUNCTION("""COMPUTED_VALUE"""),7.1)</f>
        <v>7.1</v>
      </c>
      <c r="G850" s="10">
        <f>IFERROR(__xludf.DUMMYFUNCTION("""COMPUTED_VALUE"""),-475.7)</f>
        <v>-475.7</v>
      </c>
    </row>
    <row r="851">
      <c r="A851" s="24">
        <f>IFERROR(__xludf.DUMMYFUNCTION("""COMPUTED_VALUE"""),42950.0)</f>
        <v>42950</v>
      </c>
      <c r="B851" s="5" t="str">
        <f>IFERROR(__xludf.DUMMYFUNCTION("""COMPUTED_VALUE"""),"Stocks")</f>
        <v>Stocks</v>
      </c>
      <c r="C851" s="5" t="str">
        <f>IFERROR(__xludf.DUMMYFUNCTION("""COMPUTED_VALUE"""),"Vanguard S&amp;P 500 UCITS")</f>
        <v>Vanguard S&amp;P 500 UCITS</v>
      </c>
      <c r="D851" s="5" t="str">
        <f>IFERROR(__xludf.DUMMYFUNCTION("""COMPUTED_VALUE"""),"BUY")</f>
        <v>BUY</v>
      </c>
      <c r="E851" s="5">
        <f>IFERROR(__xludf.DUMMYFUNCTION("""COMPUTED_VALUE"""),45.0)</f>
        <v>45</v>
      </c>
      <c r="F851" s="25">
        <f>IFERROR(__xludf.DUMMYFUNCTION("""COMPUTED_VALUE"""),39.632)</f>
        <v>39.632</v>
      </c>
      <c r="G851" s="10">
        <f>IFERROR(__xludf.DUMMYFUNCTION("""COMPUTED_VALUE"""),-1783.44)</f>
        <v>-1783.44</v>
      </c>
    </row>
    <row r="852">
      <c r="A852" s="24">
        <f>IFERROR(__xludf.DUMMYFUNCTION("""COMPUTED_VALUE"""),42949.0)</f>
        <v>42949</v>
      </c>
      <c r="B852" s="5" t="str">
        <f>IFERROR(__xludf.DUMMYFUNCTION("""COMPUTED_VALUE"""),"Intermediate US bonds (7-10 year)")</f>
        <v>Intermediate US bonds (7-10 year)</v>
      </c>
      <c r="C852" s="5" t="str">
        <f>IFERROR(__xludf.DUMMYFUNCTION("""COMPUTED_VALUE"""),"Vanguard Intermediate-Term Treasury ETF")</f>
        <v>Vanguard Intermediate-Term Treasury ETF</v>
      </c>
      <c r="D852" s="21" t="str">
        <f>IFERROR(__xludf.DUMMYFUNCTION("""COMPUTED_VALUE"""),"COST")</f>
        <v>COST</v>
      </c>
      <c r="E852" s="5"/>
      <c r="F852" s="5"/>
      <c r="G852" s="10">
        <f>IFERROR(__xludf.DUMMYFUNCTION("""COMPUTED_VALUE"""),-0.8)</f>
        <v>-0.8</v>
      </c>
    </row>
    <row r="853">
      <c r="A853" s="24">
        <f>IFERROR(__xludf.DUMMYFUNCTION("""COMPUTED_VALUE"""),42949.0)</f>
        <v>42949</v>
      </c>
      <c r="B853" s="5" t="str">
        <f>IFERROR(__xludf.DUMMYFUNCTION("""COMPUTED_VALUE"""),"Long term US bonds (20-25 year)")</f>
        <v>Long term US bonds (20-25 year)</v>
      </c>
      <c r="C853" s="5" t="str">
        <f>IFERROR(__xludf.DUMMYFUNCTION("""COMPUTED_VALUE"""),"Vanguard Extended Duration Treasury ETF")</f>
        <v>Vanguard Extended Duration Treasury ETF</v>
      </c>
      <c r="D853" s="5" t="str">
        <f>IFERROR(__xludf.DUMMYFUNCTION("""COMPUTED_VALUE"""),"BUY")</f>
        <v>BUY</v>
      </c>
      <c r="E853" s="5">
        <f>IFERROR(__xludf.DUMMYFUNCTION("""COMPUTED_VALUE"""),31.0)</f>
        <v>31</v>
      </c>
      <c r="F853" s="25">
        <f>IFERROR(__xludf.DUMMYFUNCTION("""COMPUTED_VALUE"""),99.369)</f>
        <v>99.369</v>
      </c>
      <c r="G853" s="10">
        <f>IFERROR(__xludf.DUMMYFUNCTION("""COMPUTED_VALUE"""),-3080.45)</f>
        <v>-3080.45</v>
      </c>
    </row>
    <row r="854">
      <c r="A854" s="24">
        <f>IFERROR(__xludf.DUMMYFUNCTION("""COMPUTED_VALUE"""),42949.0)</f>
        <v>42949</v>
      </c>
      <c r="B854" s="5" t="str">
        <f>IFERROR(__xludf.DUMMYFUNCTION("""COMPUTED_VALUE"""),"Intermediate US bonds (7-10 year)")</f>
        <v>Intermediate US bonds (7-10 year)</v>
      </c>
      <c r="C854" s="5" t="str">
        <f>IFERROR(__xludf.DUMMYFUNCTION("""COMPUTED_VALUE"""),"Vanguard Intermediate-Term Treasury ETF")</f>
        <v>Vanguard Intermediate-Term Treasury ETF</v>
      </c>
      <c r="D854" s="5" t="str">
        <f>IFERROR(__xludf.DUMMYFUNCTION("""COMPUTED_VALUE"""),"BUY")</f>
        <v>BUY</v>
      </c>
      <c r="E854" s="5">
        <f>IFERROR(__xludf.DUMMYFUNCTION("""COMPUTED_VALUE"""),21.0)</f>
        <v>21</v>
      </c>
      <c r="F854" s="25">
        <f>IFERROR(__xludf.DUMMYFUNCTION("""COMPUTED_VALUE"""),54.704)</f>
        <v>54.704</v>
      </c>
      <c r="G854" s="10">
        <f>IFERROR(__xludf.DUMMYFUNCTION("""COMPUTED_VALUE"""),-1148.78)</f>
        <v>-1148.78</v>
      </c>
    </row>
    <row r="855">
      <c r="A855" s="24">
        <f>IFERROR(__xludf.DUMMYFUNCTION("""COMPUTED_VALUE"""),42949.0)</f>
        <v>42949</v>
      </c>
      <c r="B855" s="5" t="str">
        <f>IFERROR(__xludf.DUMMYFUNCTION("""COMPUTED_VALUE"""),"Gold")</f>
        <v>Gold</v>
      </c>
      <c r="C855" s="5" t="str">
        <f>IFERROR(__xludf.DUMMYFUNCTION("""COMPUTED_VALUE"""),"iShares Gold Trust")</f>
        <v>iShares Gold Trust</v>
      </c>
      <c r="D855" s="5" t="str">
        <f>IFERROR(__xludf.DUMMYFUNCTION("""COMPUTED_VALUE"""),"BUY")</f>
        <v>BUY</v>
      </c>
      <c r="E855" s="5">
        <f>IFERROR(__xludf.DUMMYFUNCTION("""COMPUTED_VALUE"""),41.0)</f>
        <v>41</v>
      </c>
      <c r="F855" s="25">
        <f>IFERROR(__xludf.DUMMYFUNCTION("""COMPUTED_VALUE"""),10.317)</f>
        <v>10.317</v>
      </c>
      <c r="G855" s="10">
        <f>IFERROR(__xludf.DUMMYFUNCTION("""COMPUTED_VALUE"""),-422.98)</f>
        <v>-422.98</v>
      </c>
    </row>
    <row r="856">
      <c r="A856" s="24">
        <f>IFERROR(__xludf.DUMMYFUNCTION("""COMPUTED_VALUE"""),42947.0)</f>
        <v>42947</v>
      </c>
      <c r="B856" s="5"/>
      <c r="C856" s="5"/>
      <c r="D856" s="21" t="str">
        <f>IFERROR(__xludf.DUMMYFUNCTION("""COMPUTED_VALUE"""),"COST")</f>
        <v>COST</v>
      </c>
      <c r="E856" s="5"/>
      <c r="F856" s="5"/>
      <c r="G856" s="10">
        <f>IFERROR(__xludf.DUMMYFUNCTION("""COMPUTED_VALUE"""),-5.0)</f>
        <v>-5</v>
      </c>
    </row>
    <row r="857">
      <c r="A857" s="24">
        <f>IFERROR(__xludf.DUMMYFUNCTION("""COMPUTED_VALUE"""),42947.0)</f>
        <v>42947</v>
      </c>
      <c r="B857" s="5"/>
      <c r="C857" s="5"/>
      <c r="D857" s="21" t="str">
        <f>IFERROR(__xludf.DUMMYFUNCTION("""COMPUTED_VALUE"""),"COST")</f>
        <v>COST</v>
      </c>
      <c r="E857" s="5"/>
      <c r="F857" s="5"/>
      <c r="G857" s="10">
        <f>IFERROR(__xludf.DUMMYFUNCTION("""COMPUTED_VALUE"""),-66.68)</f>
        <v>-66.68</v>
      </c>
    </row>
    <row r="858">
      <c r="A858" s="24">
        <f>IFERROR(__xludf.DUMMYFUNCTION("""COMPUTED_VALUE"""),42927.0)</f>
        <v>42927</v>
      </c>
      <c r="B858" s="5" t="str">
        <f>IFERROR(__xludf.DUMMYFUNCTION("""COMPUTED_VALUE"""),"Intermediate US bonds (7-10 year)")</f>
        <v>Intermediate US bonds (7-10 year)</v>
      </c>
      <c r="C858" s="5" t="str">
        <f>IFERROR(__xludf.DUMMYFUNCTION("""COMPUTED_VALUE"""),"iShares 7-10 Year Treasury Bond ETF")</f>
        <v>iShares 7-10 Year Treasury Bond ETF</v>
      </c>
      <c r="D858" s="21" t="str">
        <f>IFERROR(__xludf.DUMMYFUNCTION("""COMPUTED_VALUE"""),"DIVIDEND")</f>
        <v>DIVIDEND</v>
      </c>
      <c r="E858" s="5"/>
      <c r="F858" s="5"/>
      <c r="G858" s="10">
        <f>IFERROR(__xludf.DUMMYFUNCTION("""COMPUTED_VALUE"""),-2.54)</f>
        <v>-2.54</v>
      </c>
    </row>
    <row r="859">
      <c r="A859" s="24">
        <f>IFERROR(__xludf.DUMMYFUNCTION("""COMPUTED_VALUE"""),42926.0)</f>
        <v>42926</v>
      </c>
      <c r="B859" s="5" t="str">
        <f>IFERROR(__xludf.DUMMYFUNCTION("""COMPUTED_VALUE"""),"Intermediate US bonds (7-10 year)")</f>
        <v>Intermediate US bonds (7-10 year)</v>
      </c>
      <c r="C859" s="5" t="str">
        <f>IFERROR(__xludf.DUMMYFUNCTION("""COMPUTED_VALUE"""),"iShares 7-10 Year Treasury Bond ETF")</f>
        <v>iShares 7-10 Year Treasury Bond ETF</v>
      </c>
      <c r="D859" s="21" t="str">
        <f>IFERROR(__xludf.DUMMYFUNCTION("""COMPUTED_VALUE"""),"DIVIDEND")</f>
        <v>DIVIDEND</v>
      </c>
      <c r="E859" s="5"/>
      <c r="F859" s="5"/>
      <c r="G859" s="10">
        <f>IFERROR(__xludf.DUMMYFUNCTION("""COMPUTED_VALUE"""),19.77)</f>
        <v>19.77</v>
      </c>
    </row>
    <row r="860">
      <c r="A860" s="24">
        <f>IFERROR(__xludf.DUMMYFUNCTION("""COMPUTED_VALUE"""),42922.0)</f>
        <v>42922</v>
      </c>
      <c r="B860" s="5" t="str">
        <f>IFERROR(__xludf.DUMMYFUNCTION("""COMPUTED_VALUE"""),"Long term US bonds (20-25 year)")</f>
        <v>Long term US bonds (20-25 year)</v>
      </c>
      <c r="C860" s="5" t="str">
        <f>IFERROR(__xludf.DUMMYFUNCTION("""COMPUTED_VALUE"""),"Vanguard Extended Duration Treasury ETF")</f>
        <v>Vanguard Extended Duration Treasury ETF</v>
      </c>
      <c r="D860" s="21" t="str">
        <f>IFERROR(__xludf.DUMMYFUNCTION("""COMPUTED_VALUE"""),"DIVIDEND")</f>
        <v>DIVIDEND</v>
      </c>
      <c r="E860" s="5"/>
      <c r="F860" s="5"/>
      <c r="G860" s="10">
        <f>IFERROR(__xludf.DUMMYFUNCTION("""COMPUTED_VALUE"""),-31.95)</f>
        <v>-31.95</v>
      </c>
    </row>
    <row r="861">
      <c r="A861" s="24">
        <f>IFERROR(__xludf.DUMMYFUNCTION("""COMPUTED_VALUE"""),42921.0)</f>
        <v>42921</v>
      </c>
      <c r="B861" s="5" t="str">
        <f>IFERROR(__xludf.DUMMYFUNCTION("""COMPUTED_VALUE"""),"Long term US bonds (20-25 year)")</f>
        <v>Long term US bonds (20-25 year)</v>
      </c>
      <c r="C861" s="5" t="str">
        <f>IFERROR(__xludf.DUMMYFUNCTION("""COMPUTED_VALUE"""),"Vanguard Extended Duration Treasury ETF")</f>
        <v>Vanguard Extended Duration Treasury ETF</v>
      </c>
      <c r="D861" s="21" t="str">
        <f>IFERROR(__xludf.DUMMYFUNCTION("""COMPUTED_VALUE"""),"DIVIDEND")</f>
        <v>DIVIDEND</v>
      </c>
      <c r="E861" s="5"/>
      <c r="F861" s="5"/>
      <c r="G861" s="10">
        <f>IFERROR(__xludf.DUMMYFUNCTION("""COMPUTED_VALUE"""),255.04)</f>
        <v>255.04</v>
      </c>
    </row>
    <row r="862">
      <c r="A862" s="24">
        <f>IFERROR(__xludf.DUMMYFUNCTION("""COMPUTED_VALUE"""),42921.0)</f>
        <v>42921</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IFERROR(__xludf.DUMMYFUNCTION("""COMPUTED_VALUE"""),"BUY")</f>
        <v>BUY</v>
      </c>
      <c r="E862" s="21">
        <f>IFERROR(__xludf.DUMMYFUNCTION("""COMPUTED_VALUE"""),286.0)</f>
        <v>286</v>
      </c>
      <c r="F862" s="25">
        <f>IFERROR(__xludf.DUMMYFUNCTION("""COMPUTED_VALUE"""),56.941)</f>
        <v>56.941</v>
      </c>
      <c r="G862" s="10">
        <f>IFERROR(__xludf.DUMMYFUNCTION("""COMPUTED_VALUE"""),-16285.26)</f>
        <v>-16285.26</v>
      </c>
    </row>
    <row r="863">
      <c r="A863" s="24">
        <f>IFERROR(__xludf.DUMMYFUNCTION("""COMPUTED_VALUE"""),42921.0)</f>
        <v>42921</v>
      </c>
      <c r="B863" s="5" t="str">
        <f>IFERROR(__xludf.DUMMYFUNCTION("""COMPUTED_VALUE"""),"Intermediate US bonds (7-10 year)")</f>
        <v>Intermediate US bonds (7-10 year)</v>
      </c>
      <c r="C863" s="5" t="str">
        <f>IFERROR(__xludf.DUMMYFUNCTION("""COMPUTED_VALUE"""),"Vanguard Intermediate-Term Treasury ETF")</f>
        <v>Vanguard Intermediate-Term Treasury ETF</v>
      </c>
      <c r="D863" s="5" t="str">
        <f>IFERROR(__xludf.DUMMYFUNCTION("""COMPUTED_VALUE"""),"COST")</f>
        <v>COST</v>
      </c>
      <c r="E863" s="5"/>
      <c r="F863" s="5"/>
      <c r="G863" s="10">
        <f>IFERROR(__xludf.DUMMYFUNCTION("""COMPUTED_VALUE"""),-4.77)</f>
        <v>-4.77</v>
      </c>
    </row>
    <row r="864">
      <c r="A864" s="24">
        <f>IFERROR(__xludf.DUMMYFUNCTION("""COMPUTED_VALUE"""),42920.0)</f>
        <v>42920</v>
      </c>
      <c r="B864" s="5" t="str">
        <f>IFERROR(__xludf.DUMMYFUNCTION("""COMPUTED_VALUE"""),"Commodities")</f>
        <v>Commodities</v>
      </c>
      <c r="C864" s="5" t="str">
        <f>IFERROR(__xludf.DUMMYFUNCTION("""COMPUTED_VALUE"""),"ETFS All Commodities ETC")</f>
        <v>ETFS All Commodities ETC</v>
      </c>
      <c r="D864" s="21" t="str">
        <f>IFERROR(__xludf.DUMMYFUNCTION("""COMPUTED_VALUE"""),"BUY")</f>
        <v>BUY</v>
      </c>
      <c r="E864" s="21">
        <f>IFERROR(__xludf.DUMMYFUNCTION("""COMPUTED_VALUE"""),1096.0)</f>
        <v>1096</v>
      </c>
      <c r="F864" s="25">
        <f>IFERROR(__xludf.DUMMYFUNCTION("""COMPUTED_VALUE"""),7.5)</f>
        <v>7.5</v>
      </c>
      <c r="G864" s="10">
        <f>IFERROR(__xludf.DUMMYFUNCTION("""COMPUTED_VALUE"""),-8220.0)</f>
        <v>-8220</v>
      </c>
    </row>
    <row r="865">
      <c r="A865" s="24">
        <f>IFERROR(__xludf.DUMMYFUNCTION("""COMPUTED_VALUE"""),42919.0)</f>
        <v>42919</v>
      </c>
      <c r="B865" s="5" t="str">
        <f>IFERROR(__xludf.DUMMYFUNCTION("""COMPUTED_VALUE"""),"Stocks")</f>
        <v>Stocks</v>
      </c>
      <c r="C865" s="5" t="str">
        <f>IFERROR(__xludf.DUMMYFUNCTION("""COMPUTED_VALUE"""),"Vanguard S&amp;P 500 UCITS")</f>
        <v>Vanguard S&amp;P 500 UCITS</v>
      </c>
      <c r="D865" s="21" t="str">
        <f>IFERROR(__xludf.DUMMYFUNCTION("""COMPUTED_VALUE"""),"BUY")</f>
        <v>BUY</v>
      </c>
      <c r="E865" s="21">
        <f>IFERROR(__xludf.DUMMYFUNCTION("""COMPUTED_VALUE"""),804.0)</f>
        <v>804</v>
      </c>
      <c r="F865" s="25">
        <f>IFERROR(__xludf.DUMMYFUNCTION("""COMPUTED_VALUE"""),40.443)</f>
        <v>40.443</v>
      </c>
      <c r="G865" s="10">
        <f>IFERROR(__xludf.DUMMYFUNCTION("""COMPUTED_VALUE"""),-32516.18)</f>
        <v>-32516.18</v>
      </c>
    </row>
    <row r="866">
      <c r="A866" s="24">
        <f>IFERROR(__xludf.DUMMYFUNCTION("""COMPUTED_VALUE"""),42919.0)</f>
        <v>42919</v>
      </c>
      <c r="B866" s="5" t="str">
        <f>IFERROR(__xludf.DUMMYFUNCTION("""COMPUTED_VALUE"""),"Commodities")</f>
        <v>Commodities</v>
      </c>
      <c r="C866" s="5" t="str">
        <f>IFERROR(__xludf.DUMMYFUNCTION("""COMPUTED_VALUE"""),"iShares Diversified Commodity Swap UCITS ETF DE")</f>
        <v>iShares Diversified Commodity Swap UCITS ETF DE</v>
      </c>
      <c r="D866" s="5" t="str">
        <f>IFERROR(__xludf.DUMMYFUNCTION("""COMPUTED_VALUE"""),"SELL")</f>
        <v>SELL</v>
      </c>
      <c r="E866" s="5">
        <f>IFERROR(__xludf.DUMMYFUNCTION("""COMPUTED_VALUE"""),-390.0)</f>
        <v>-390</v>
      </c>
      <c r="F866" s="25">
        <f>IFERROR(__xludf.DUMMYFUNCTION("""COMPUTED_VALUE"""),18.19)</f>
        <v>18.19</v>
      </c>
      <c r="G866" s="10">
        <f>IFERROR(__xludf.DUMMYFUNCTION("""COMPUTED_VALUE"""),7094.1)</f>
        <v>7094.1</v>
      </c>
    </row>
    <row r="867">
      <c r="A867" s="24">
        <f>IFERROR(__xludf.DUMMYFUNCTION("""COMPUTED_VALUE"""),42919.0)</f>
        <v>42919</v>
      </c>
      <c r="B867" s="5" t="str">
        <f>IFERROR(__xludf.DUMMYFUNCTION("""COMPUTED_VALUE"""),"Intermediate US bonds (7-10 year)")</f>
        <v>Intermediate US bonds (7-10 year)</v>
      </c>
      <c r="C867" s="5" t="str">
        <f>IFERROR(__xludf.DUMMYFUNCTION("""COMPUTED_VALUE"""),"iShares 7-10 Year Treasury Bond ETF")</f>
        <v>iShares 7-10 Year Treasury Bond ETF</v>
      </c>
      <c r="D867" s="5" t="str">
        <f>IFERROR(__xludf.DUMMYFUNCTION("""COMPUTED_VALUE"""),"SELL")</f>
        <v>SELL</v>
      </c>
      <c r="E867" s="5">
        <f>IFERROR(__xludf.DUMMYFUNCTION("""COMPUTED_VALUE"""),-146.0)</f>
        <v>-146</v>
      </c>
      <c r="F867" s="25">
        <f>IFERROR(__xludf.DUMMYFUNCTION("""COMPUTED_VALUE"""),93.62)</f>
        <v>93.62</v>
      </c>
      <c r="G867" s="10">
        <f>IFERROR(__xludf.DUMMYFUNCTION("""COMPUTED_VALUE"""),13669.24)</f>
        <v>13669.24</v>
      </c>
    </row>
    <row r="868">
      <c r="A868" s="24">
        <f>IFERROR(__xludf.DUMMYFUNCTION("""COMPUTED_VALUE"""),42919.0)</f>
        <v>42919</v>
      </c>
      <c r="B868" s="5" t="str">
        <f>IFERROR(__xludf.DUMMYFUNCTION("""COMPUTED_VALUE"""),"Gold")</f>
        <v>Gold</v>
      </c>
      <c r="C868" s="5" t="str">
        <f>IFERROR(__xludf.DUMMYFUNCTION("""COMPUTED_VALUE"""),"iShares Gold Trust")</f>
        <v>iShares Gold Trust</v>
      </c>
      <c r="D868" s="5" t="str">
        <f>IFERROR(__xludf.DUMMYFUNCTION("""COMPUTED_VALUE"""),"BUY")</f>
        <v>BUY</v>
      </c>
      <c r="E868" s="5">
        <f>IFERROR(__xludf.DUMMYFUNCTION("""COMPUTED_VALUE"""),122.0)</f>
        <v>122</v>
      </c>
      <c r="F868" s="25">
        <f>IFERROR(__xludf.DUMMYFUNCTION("""COMPUTED_VALUE"""),10.38)</f>
        <v>10.38</v>
      </c>
      <c r="G868" s="10">
        <f>IFERROR(__xludf.DUMMYFUNCTION("""COMPUTED_VALUE"""),-1266.54)</f>
        <v>-1266.54</v>
      </c>
    </row>
    <row r="869">
      <c r="A869" s="24">
        <f>IFERROR(__xludf.DUMMYFUNCTION("""COMPUTED_VALUE"""),42919.0)</f>
        <v>42919</v>
      </c>
      <c r="B869" s="5" t="str">
        <f>IFERROR(__xludf.DUMMYFUNCTION("""COMPUTED_VALUE"""),"Stocks")</f>
        <v>Stocks</v>
      </c>
      <c r="C869" s="5" t="str">
        <f>IFERROR(__xludf.DUMMYFUNCTION("""COMPUTED_VALUE"""),"Vanguard Total Stock Market ETF")</f>
        <v>Vanguard Total Stock Market ETF</v>
      </c>
      <c r="D869" s="5" t="str">
        <f>IFERROR(__xludf.DUMMYFUNCTION("""COMPUTED_VALUE"""),"SELL")</f>
        <v>SELL</v>
      </c>
      <c r="E869" s="5">
        <f>IFERROR(__xludf.DUMMYFUNCTION("""COMPUTED_VALUE"""),-251.0)</f>
        <v>-251</v>
      </c>
      <c r="F869" s="25">
        <f>IFERROR(__xludf.DUMMYFUNCTION("""COMPUTED_VALUE"""),109.93)</f>
        <v>109.93</v>
      </c>
      <c r="G869" s="10">
        <f>IFERROR(__xludf.DUMMYFUNCTION("""COMPUTED_VALUE"""),27592.74)</f>
        <v>27592.74</v>
      </c>
    </row>
    <row r="870">
      <c r="A870" s="24">
        <f>IFERROR(__xludf.DUMMYFUNCTION("""COMPUTED_VALUE"""),42919.0)</f>
        <v>42919</v>
      </c>
      <c r="B870" s="5" t="str">
        <f>IFERROR(__xludf.DUMMYFUNCTION("""COMPUTED_VALUE"""),"Long term US bonds (20-25 year)")</f>
        <v>Long term US bonds (20-25 year)</v>
      </c>
      <c r="C870" s="5" t="str">
        <f>IFERROR(__xludf.DUMMYFUNCTION("""COMPUTED_VALUE"""),"Vanguard Extended Duration Treasury ETF")</f>
        <v>Vanguard Extended Duration Treasury ETF</v>
      </c>
      <c r="D870" s="5" t="str">
        <f>IFERROR(__xludf.DUMMYFUNCTION("""COMPUTED_VALUE"""),"BUY")</f>
        <v>BUY</v>
      </c>
      <c r="E870" s="5">
        <f>IFERROR(__xludf.DUMMYFUNCTION("""COMPUTED_VALUE"""),67.0)</f>
        <v>67</v>
      </c>
      <c r="F870" s="25">
        <f>IFERROR(__xludf.DUMMYFUNCTION("""COMPUTED_VALUE"""),103.88)</f>
        <v>103.88</v>
      </c>
      <c r="G870" s="10">
        <f>IFERROR(__xludf.DUMMYFUNCTION("""COMPUTED_VALUE"""),-6959.73)</f>
        <v>-6959.73</v>
      </c>
    </row>
    <row r="871">
      <c r="A871" s="24">
        <f>IFERROR(__xludf.DUMMYFUNCTION("""COMPUTED_VALUE"""),42916.0)</f>
        <v>42916</v>
      </c>
      <c r="B871" s="5"/>
      <c r="C871" s="5"/>
      <c r="D871" s="21" t="str">
        <f>IFERROR(__xludf.DUMMYFUNCTION("""COMPUTED_VALUE"""),"COST")</f>
        <v>COST</v>
      </c>
      <c r="E871" s="5"/>
      <c r="F871" s="5"/>
      <c r="G871" s="10">
        <f>IFERROR(__xludf.DUMMYFUNCTION("""COMPUTED_VALUE"""),-55.33)</f>
        <v>-55.33</v>
      </c>
    </row>
    <row r="872">
      <c r="A872" s="24">
        <f>IFERROR(__xludf.DUMMYFUNCTION("""COMPUTED_VALUE"""),42914.0)</f>
        <v>42914</v>
      </c>
      <c r="B872" s="5" t="str">
        <f>IFERROR(__xludf.DUMMYFUNCTION("""COMPUTED_VALUE"""),"Stocks")</f>
        <v>Stocks</v>
      </c>
      <c r="C872" s="5" t="str">
        <f>IFERROR(__xludf.DUMMYFUNCTION("""COMPUTED_VALUE"""),"Vanguard Total Stock Market ETF")</f>
        <v>Vanguard Total Stock Market ETF</v>
      </c>
      <c r="D872" s="21" t="str">
        <f>IFERROR(__xludf.DUMMYFUNCTION("""COMPUTED_VALUE"""),"DIVIDEND")</f>
        <v>DIVIDEND</v>
      </c>
      <c r="E872" s="5"/>
      <c r="F872" s="5"/>
      <c r="G872" s="10">
        <f>IFERROR(__xludf.DUMMYFUNCTION("""COMPUTED_VALUE"""),-14.95)</f>
        <v>-14.95</v>
      </c>
    </row>
    <row r="873">
      <c r="A873" s="24">
        <f>IFERROR(__xludf.DUMMYFUNCTION("""COMPUTED_VALUE"""),42913.0)</f>
        <v>42913</v>
      </c>
      <c r="B873" s="5" t="str">
        <f>IFERROR(__xludf.DUMMYFUNCTION("""COMPUTED_VALUE"""),"Stocks")</f>
        <v>Stocks</v>
      </c>
      <c r="C873" s="5" t="str">
        <f>IFERROR(__xludf.DUMMYFUNCTION("""COMPUTED_VALUE"""),"Vanguard Total Stock Market ETF")</f>
        <v>Vanguard Total Stock Market ETF</v>
      </c>
      <c r="D873" s="21" t="str">
        <f>IFERROR(__xludf.DUMMYFUNCTION("""COMPUTED_VALUE"""),"DIVIDEND")</f>
        <v>DIVIDEND</v>
      </c>
      <c r="E873" s="5"/>
      <c r="F873" s="5"/>
      <c r="G873" s="10">
        <f>IFERROR(__xludf.DUMMYFUNCTION("""COMPUTED_VALUE"""),122.68)</f>
        <v>122.68</v>
      </c>
    </row>
    <row r="874">
      <c r="A874" s="24">
        <f>IFERROR(__xludf.DUMMYFUNCTION("""COMPUTED_VALUE"""),42901.0)</f>
        <v>42901</v>
      </c>
      <c r="B874" s="5" t="str">
        <f>IFERROR(__xludf.DUMMYFUNCTION("""COMPUTED_VALUE"""),"Commodities")</f>
        <v>Commodities</v>
      </c>
      <c r="C874" s="5" t="str">
        <f>IFERROR(__xludf.DUMMYFUNCTION("""COMPUTED_VALUE"""),"iShares Diversified Commodity Swap UCITS ETF DE")</f>
        <v>iShares Diversified Commodity Swap UCITS ETF DE</v>
      </c>
      <c r="D874" s="5" t="str">
        <f>IFERROR(__xludf.DUMMYFUNCTION("""COMPUTED_VALUE"""),"BUY")</f>
        <v>BUY</v>
      </c>
      <c r="E874" s="5">
        <f>IFERROR(__xludf.DUMMYFUNCTION("""COMPUTED_VALUE"""),111.0)</f>
        <v>111</v>
      </c>
      <c r="F874" s="25">
        <f>IFERROR(__xludf.DUMMYFUNCTION("""COMPUTED_VALUE"""),18.09)</f>
        <v>18.09</v>
      </c>
      <c r="G874" s="10">
        <f>IFERROR(__xludf.DUMMYFUNCTION("""COMPUTED_VALUE"""),-2007.99)</f>
        <v>-2007.99</v>
      </c>
    </row>
    <row r="875">
      <c r="A875" s="24">
        <f>IFERROR(__xludf.DUMMYFUNCTION("""COMPUTED_VALUE"""),42901.0)</f>
        <v>42901</v>
      </c>
      <c r="B875" s="5" t="str">
        <f>IFERROR(__xludf.DUMMYFUNCTION("""COMPUTED_VALUE"""),"Stocks")</f>
        <v>Stocks</v>
      </c>
      <c r="C875" s="5" t="str">
        <f>IFERROR(__xludf.DUMMYFUNCTION("""COMPUTED_VALUE"""),"Vanguard Total Stock Market ETF")</f>
        <v>Vanguard Total Stock Market ETF</v>
      </c>
      <c r="D875" s="5" t="str">
        <f>IFERROR(__xludf.DUMMYFUNCTION("""COMPUTED_VALUE"""),"BUY")</f>
        <v>BUY</v>
      </c>
      <c r="E875" s="5">
        <f>IFERROR(__xludf.DUMMYFUNCTION("""COMPUTED_VALUE"""),60.0)</f>
        <v>60</v>
      </c>
      <c r="F875" s="25">
        <f>IFERROR(__xludf.DUMMYFUNCTION("""COMPUTED_VALUE"""),112.018)</f>
        <v>112.018</v>
      </c>
      <c r="G875" s="10">
        <f>IFERROR(__xludf.DUMMYFUNCTION("""COMPUTED_VALUE"""),-6721.09)</f>
        <v>-6721.09</v>
      </c>
    </row>
    <row r="876">
      <c r="A876" s="24">
        <f>IFERROR(__xludf.DUMMYFUNCTION("""COMPUTED_VALUE"""),42901.0)</f>
        <v>42901</v>
      </c>
      <c r="B876" s="5" t="str">
        <f>IFERROR(__xludf.DUMMYFUNCTION("""COMPUTED_VALUE"""),"Intermediate US bonds (7-10 year)")</f>
        <v>Intermediate US bonds (7-10 year)</v>
      </c>
      <c r="C876" s="5" t="str">
        <f>IFERROR(__xludf.DUMMYFUNCTION("""COMPUTED_VALUE"""),"iShares 7-10 Year Treasury Bond ETF")</f>
        <v>iShares 7-10 Year Treasury Bond ETF</v>
      </c>
      <c r="D876" s="5" t="str">
        <f>IFERROR(__xludf.DUMMYFUNCTION("""COMPUTED_VALUE"""),"BUY")</f>
        <v>BUY</v>
      </c>
      <c r="E876" s="5">
        <f>IFERROR(__xludf.DUMMYFUNCTION("""COMPUTED_VALUE"""),36.0)</f>
        <v>36</v>
      </c>
      <c r="F876" s="25">
        <f>IFERROR(__xludf.DUMMYFUNCTION("""COMPUTED_VALUE"""),96.68)</f>
        <v>96.68</v>
      </c>
      <c r="G876" s="10">
        <f>IFERROR(__xludf.DUMMYFUNCTION("""COMPUTED_VALUE"""),-3480.61)</f>
        <v>-3480.61</v>
      </c>
    </row>
    <row r="877">
      <c r="A877" s="24">
        <f>IFERROR(__xludf.DUMMYFUNCTION("""COMPUTED_VALUE"""),42901.0)</f>
        <v>42901</v>
      </c>
      <c r="B877" s="5" t="str">
        <f>IFERROR(__xludf.DUMMYFUNCTION("""COMPUTED_VALUE"""),"Long term US bonds (20-25 year)")</f>
        <v>Long term US bonds (20-25 year)</v>
      </c>
      <c r="C877" s="5" t="str">
        <f>IFERROR(__xludf.DUMMYFUNCTION("""COMPUTED_VALUE"""),"Vanguard Extended Duration Treasury ETF")</f>
        <v>Vanguard Extended Duration Treasury ETF</v>
      </c>
      <c r="D877" s="5" t="str">
        <f>IFERROR(__xludf.DUMMYFUNCTION("""COMPUTED_VALUE"""),"BUY")</f>
        <v>BUY</v>
      </c>
      <c r="E877" s="5">
        <f>IFERROR(__xludf.DUMMYFUNCTION("""COMPUTED_VALUE"""),66.0)</f>
        <v>66</v>
      </c>
      <c r="F877" s="25">
        <f>IFERROR(__xludf.DUMMYFUNCTION("""COMPUTED_VALUE"""),107.07)</f>
        <v>107.07</v>
      </c>
      <c r="G877" s="10">
        <f>IFERROR(__xludf.DUMMYFUNCTION("""COMPUTED_VALUE"""),-7066.71)</f>
        <v>-7066.71</v>
      </c>
    </row>
    <row r="878">
      <c r="A878" s="24">
        <f>IFERROR(__xludf.DUMMYFUNCTION("""COMPUTED_VALUE"""),42901.0)</f>
        <v>42901</v>
      </c>
      <c r="B878" s="5" t="str">
        <f>IFERROR(__xludf.DUMMYFUNCTION("""COMPUTED_VALUE"""),"Gold")</f>
        <v>Gold</v>
      </c>
      <c r="C878" s="5" t="str">
        <f>IFERROR(__xludf.DUMMYFUNCTION("""COMPUTED_VALUE"""),"iShares Gold Trust")</f>
        <v>iShares Gold Trust</v>
      </c>
      <c r="D878" s="5" t="str">
        <f>IFERROR(__xludf.DUMMYFUNCTION("""COMPUTED_VALUE"""),"BUY")</f>
        <v>BUY</v>
      </c>
      <c r="E878" s="5">
        <f>IFERROR(__xludf.DUMMYFUNCTION("""COMPUTED_VALUE"""),167.0)</f>
        <v>167</v>
      </c>
      <c r="F878" s="25">
        <f>IFERROR(__xludf.DUMMYFUNCTION("""COMPUTED_VALUE"""),10.83)</f>
        <v>10.83</v>
      </c>
      <c r="G878" s="10">
        <f>IFERROR(__xludf.DUMMYFUNCTION("""COMPUTED_VALUE"""),-1808.18)</f>
        <v>-1808.18</v>
      </c>
    </row>
    <row r="879">
      <c r="A879" s="24">
        <f>IFERROR(__xludf.DUMMYFUNCTION("""COMPUTED_VALUE"""),42894.0)</f>
        <v>42894</v>
      </c>
      <c r="B879" s="5" t="str">
        <f>IFERROR(__xludf.DUMMYFUNCTION("""COMPUTED_VALUE"""),"Intermediate US bonds (7-10 year)")</f>
        <v>Intermediate US bonds (7-10 year)</v>
      </c>
      <c r="C879" s="5" t="str">
        <f>IFERROR(__xludf.DUMMYFUNCTION("""COMPUTED_VALUE"""),"iShares 7-10 Year Treasury Bond ETF")</f>
        <v>iShares 7-10 Year Treasury Bond ETF</v>
      </c>
      <c r="D879" s="21" t="str">
        <f>IFERROR(__xludf.DUMMYFUNCTION("""COMPUTED_VALUE"""),"DIVIDEND")</f>
        <v>DIVIDEND</v>
      </c>
      <c r="E879" s="5"/>
      <c r="F879" s="5"/>
      <c r="G879" s="10">
        <f>IFERROR(__xludf.DUMMYFUNCTION("""COMPUTED_VALUE"""),-1.66)</f>
        <v>-1.66</v>
      </c>
    </row>
    <row r="880">
      <c r="A880" s="24">
        <f>IFERROR(__xludf.DUMMYFUNCTION("""COMPUTED_VALUE"""),42893.0)</f>
        <v>42893</v>
      </c>
      <c r="B880" s="5" t="str">
        <f>IFERROR(__xludf.DUMMYFUNCTION("""COMPUTED_VALUE"""),"Intermediate US bonds (7-10 year)")</f>
        <v>Intermediate US bonds (7-10 year)</v>
      </c>
      <c r="C880" s="5" t="str">
        <f>IFERROR(__xludf.DUMMYFUNCTION("""COMPUTED_VALUE"""),"iShares 7-10 Year Treasury Bond ETF")</f>
        <v>iShares 7-10 Year Treasury Bond ETF</v>
      </c>
      <c r="D880" s="21" t="str">
        <f>IFERROR(__xludf.DUMMYFUNCTION("""COMPUTED_VALUE"""),"DIVIDEND")</f>
        <v>DIVIDEND</v>
      </c>
      <c r="E880" s="5"/>
      <c r="F880" s="5"/>
      <c r="G880" s="10">
        <f>IFERROR(__xludf.DUMMYFUNCTION("""COMPUTED_VALUE"""),15.3)</f>
        <v>15.3</v>
      </c>
    </row>
    <row r="881">
      <c r="A881" s="24">
        <f>IFERROR(__xludf.DUMMYFUNCTION("""COMPUTED_VALUE"""),42886.0)</f>
        <v>42886</v>
      </c>
      <c r="B881" s="5"/>
      <c r="C881" s="5"/>
      <c r="D881" s="21" t="str">
        <f>IFERROR(__xludf.DUMMYFUNCTION("""COMPUTED_VALUE"""),"COST")</f>
        <v>COST</v>
      </c>
      <c r="E881" s="5"/>
      <c r="F881" s="5"/>
      <c r="G881" s="10">
        <f>IFERROR(__xludf.DUMMYFUNCTION("""COMPUTED_VALUE"""),-5.0)</f>
        <v>-5</v>
      </c>
    </row>
    <row r="882">
      <c r="A882" s="24">
        <f>IFERROR(__xludf.DUMMYFUNCTION("""COMPUTED_VALUE"""),42886.0)</f>
        <v>42886</v>
      </c>
      <c r="B882" s="5"/>
      <c r="C882" s="5"/>
      <c r="D882" s="21" t="str">
        <f>IFERROR(__xludf.DUMMYFUNCTION("""COMPUTED_VALUE"""),"COST")</f>
        <v>COST</v>
      </c>
      <c r="E882" s="5"/>
      <c r="F882" s="5"/>
      <c r="G882" s="10">
        <f>IFERROR(__xludf.DUMMYFUNCTION("""COMPUTED_VALUE"""),-30.68)</f>
        <v>-30.68</v>
      </c>
    </row>
    <row r="883">
      <c r="A883" s="24">
        <f>IFERROR(__xludf.DUMMYFUNCTION("""COMPUTED_VALUE"""),42871.0)</f>
        <v>42871</v>
      </c>
      <c r="B883" s="5" t="str">
        <f>IFERROR(__xludf.DUMMYFUNCTION("""COMPUTED_VALUE"""),"Long term US bonds (20-25 year)")</f>
        <v>Long term US bonds (20-25 year)</v>
      </c>
      <c r="C883" s="5" t="str">
        <f>IFERROR(__xludf.DUMMYFUNCTION("""COMPUTED_VALUE"""),"Vanguard Extended Duration Treasury ETF")</f>
        <v>Vanguard Extended Duration Treasury ETF</v>
      </c>
      <c r="D883" s="5" t="str">
        <f>IFERROR(__xludf.DUMMYFUNCTION("""COMPUTED_VALUE"""),"BUY")</f>
        <v>BUY</v>
      </c>
      <c r="E883" s="5">
        <f>IFERROR(__xludf.DUMMYFUNCTION("""COMPUTED_VALUE"""),10.0)</f>
        <v>10</v>
      </c>
      <c r="F883" s="25">
        <f>IFERROR(__xludf.DUMMYFUNCTION("""COMPUTED_VALUE"""),101.508)</f>
        <v>101.508</v>
      </c>
      <c r="G883" s="10">
        <f>IFERROR(__xludf.DUMMYFUNCTION("""COMPUTED_VALUE"""),-1015.08)</f>
        <v>-1015.08</v>
      </c>
    </row>
    <row r="884">
      <c r="A884" s="24">
        <f>IFERROR(__xludf.DUMMYFUNCTION("""COMPUTED_VALUE"""),42870.0)</f>
        <v>42870</v>
      </c>
      <c r="B884" s="5"/>
      <c r="C884" s="5"/>
      <c r="D884" s="21" t="str">
        <f>IFERROR(__xludf.DUMMYFUNCTION("""COMPUTED_VALUE"""),"APPROVISIONNEMENT")</f>
        <v>APPROVISIONNEMENT</v>
      </c>
      <c r="E884" s="5"/>
      <c r="F884" s="5"/>
      <c r="G884" s="10">
        <f>IFERROR(__xludf.DUMMYFUNCTION("""COMPUTED_VALUE"""),30.0)</f>
        <v>30</v>
      </c>
    </row>
    <row r="885">
      <c r="A885" s="24">
        <f>IFERROR(__xludf.DUMMYFUNCTION("""COMPUTED_VALUE"""),42866.0)</f>
        <v>42866</v>
      </c>
      <c r="B885" s="5"/>
      <c r="C885" s="5"/>
      <c r="D885" s="21" t="str">
        <f>IFERROR(__xludf.DUMMYFUNCTION("""COMPUTED_VALUE"""),"APPROVISIONNEMENT")</f>
        <v>APPROVISIONNEMENT</v>
      </c>
      <c r="E885" s="5"/>
      <c r="F885" s="5"/>
      <c r="G885" s="10">
        <f>IFERROR(__xludf.DUMMYFUNCTION("""COMPUTED_VALUE"""),500.0)</f>
        <v>500</v>
      </c>
    </row>
    <row r="886">
      <c r="A886" s="24">
        <f>IFERROR(__xludf.DUMMYFUNCTION("""COMPUTED_VALUE"""),42864.0)</f>
        <v>42864</v>
      </c>
      <c r="B886" s="5"/>
      <c r="C886" s="5"/>
      <c r="D886" s="21" t="str">
        <f>IFERROR(__xludf.DUMMYFUNCTION("""COMPUTED_VALUE"""),"APPROVISIONNEMENT")</f>
        <v>APPROVISIONNEMENT</v>
      </c>
      <c r="E886" s="5"/>
      <c r="F886" s="5"/>
      <c r="G886" s="10">
        <f>IFERROR(__xludf.DUMMYFUNCTION("""COMPUTED_VALUE"""),500.0)</f>
        <v>500</v>
      </c>
    </row>
    <row r="887">
      <c r="A887" s="24">
        <f>IFERROR(__xludf.DUMMYFUNCTION("""COMPUTED_VALUE"""),42858.0)</f>
        <v>42858</v>
      </c>
      <c r="B887" s="5" t="str">
        <f>IFERROR(__xludf.DUMMYFUNCTION("""COMPUTED_VALUE"""),"Commodities")</f>
        <v>Commodities</v>
      </c>
      <c r="C887" s="5" t="str">
        <f>IFERROR(__xludf.DUMMYFUNCTION("""COMPUTED_VALUE"""),"iShares Diversified Commodity Swap UCITS ETF DE")</f>
        <v>iShares Diversified Commodity Swap UCITS ETF DE</v>
      </c>
      <c r="D887" s="5" t="str">
        <f>IFERROR(__xludf.DUMMYFUNCTION("""COMPUTED_VALUE"""),"BUY")</f>
        <v>BUY</v>
      </c>
      <c r="E887" s="5">
        <f>IFERROR(__xludf.DUMMYFUNCTION("""COMPUTED_VALUE"""),98.0)</f>
        <v>98</v>
      </c>
      <c r="F887" s="25">
        <f>IFERROR(__xludf.DUMMYFUNCTION("""COMPUTED_VALUE"""),19.25)</f>
        <v>19.25</v>
      </c>
      <c r="G887" s="10">
        <f>IFERROR(__xludf.DUMMYFUNCTION("""COMPUTED_VALUE"""),-1886.5)</f>
        <v>-1886.5</v>
      </c>
    </row>
    <row r="888">
      <c r="A888" s="24">
        <f>IFERROR(__xludf.DUMMYFUNCTION("""COMPUTED_VALUE"""),42858.0)</f>
        <v>42858</v>
      </c>
      <c r="B888" s="5" t="str">
        <f>IFERROR(__xludf.DUMMYFUNCTION("""COMPUTED_VALUE"""),"Gold")</f>
        <v>Gold</v>
      </c>
      <c r="C888" s="5" t="str">
        <f>IFERROR(__xludf.DUMMYFUNCTION("""COMPUTED_VALUE"""),"iShares Gold Trust")</f>
        <v>iShares Gold Trust</v>
      </c>
      <c r="D888" s="5" t="str">
        <f>IFERROR(__xludf.DUMMYFUNCTION("""COMPUTED_VALUE"""),"BUY")</f>
        <v>BUY</v>
      </c>
      <c r="E888" s="5">
        <f>IFERROR(__xludf.DUMMYFUNCTION("""COMPUTED_VALUE"""),195.0)</f>
        <v>195</v>
      </c>
      <c r="F888" s="25">
        <f>IFERROR(__xludf.DUMMYFUNCTION("""COMPUTED_VALUE"""),11.05)</f>
        <v>11.05</v>
      </c>
      <c r="G888" s="10">
        <f>IFERROR(__xludf.DUMMYFUNCTION("""COMPUTED_VALUE"""),-2154.76)</f>
        <v>-2154.76</v>
      </c>
    </row>
    <row r="889">
      <c r="A889" s="24">
        <f>IFERROR(__xludf.DUMMYFUNCTION("""COMPUTED_VALUE"""),42858.0)</f>
        <v>42858</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IFERROR(__xludf.DUMMYFUNCTION("""COMPUTED_VALUE"""),44.0)</f>
        <v>44</v>
      </c>
      <c r="F889" s="25">
        <f>IFERROR(__xludf.DUMMYFUNCTION("""COMPUTED_VALUE"""),97.617)</f>
        <v>97.617</v>
      </c>
      <c r="G889" s="10">
        <f>IFERROR(__xludf.DUMMYFUNCTION("""COMPUTED_VALUE"""),-4295.13)</f>
        <v>-4295.13</v>
      </c>
    </row>
    <row r="890">
      <c r="A890" s="24">
        <f>IFERROR(__xludf.DUMMYFUNCTION("""COMPUTED_VALUE"""),42858.0)</f>
        <v>42858</v>
      </c>
      <c r="B890" s="5" t="str">
        <f>IFERROR(__xludf.DUMMYFUNCTION("""COMPUTED_VALUE"""),"Stocks")</f>
        <v>Stocks</v>
      </c>
      <c r="C890" s="5" t="str">
        <f>IFERROR(__xludf.DUMMYFUNCTION("""COMPUTED_VALUE"""),"Vanguard Total Stock Market ETF")</f>
        <v>Vanguard Total Stock Market ETF</v>
      </c>
      <c r="D890" s="5" t="str">
        <f>IFERROR(__xludf.DUMMYFUNCTION("""COMPUTED_VALUE"""),"BUY")</f>
        <v>BUY</v>
      </c>
      <c r="E890" s="5">
        <f>IFERROR(__xludf.DUMMYFUNCTION("""COMPUTED_VALUE"""),76.0)</f>
        <v>76</v>
      </c>
      <c r="F890" s="25">
        <f>IFERROR(__xludf.DUMMYFUNCTION("""COMPUTED_VALUE"""),112.55)</f>
        <v>112.55</v>
      </c>
      <c r="G890" s="10">
        <f>IFERROR(__xludf.DUMMYFUNCTION("""COMPUTED_VALUE"""),-8554.15)</f>
        <v>-8554.15</v>
      </c>
    </row>
    <row r="891">
      <c r="A891" s="24">
        <f>IFERROR(__xludf.DUMMYFUNCTION("""COMPUTED_VALUE"""),42858.0)</f>
        <v>42858</v>
      </c>
      <c r="B891" s="5" t="str">
        <f>IFERROR(__xludf.DUMMYFUNCTION("""COMPUTED_VALUE"""),"Long term US bonds (20-25 year)")</f>
        <v>Long term US bonds (20-25 year)</v>
      </c>
      <c r="C891" s="5" t="str">
        <f>IFERROR(__xludf.DUMMYFUNCTION("""COMPUTED_VALUE"""),"Vanguard Extended Duration Treasury ETF")</f>
        <v>Vanguard Extended Duration Treasury ETF</v>
      </c>
      <c r="D891" s="5" t="str">
        <f>IFERROR(__xludf.DUMMYFUNCTION("""COMPUTED_VALUE"""),"BUY")</f>
        <v>BUY</v>
      </c>
      <c r="E891" s="5">
        <f>IFERROR(__xludf.DUMMYFUNCTION("""COMPUTED_VALUE"""),111.0)</f>
        <v>111</v>
      </c>
      <c r="F891" s="25">
        <f>IFERROR(__xludf.DUMMYFUNCTION("""COMPUTED_VALUE"""),104.22)</f>
        <v>104.22</v>
      </c>
      <c r="G891" s="10">
        <f>IFERROR(__xludf.DUMMYFUNCTION("""COMPUTED_VALUE"""),-11568.3)</f>
        <v>-11568.3</v>
      </c>
    </row>
    <row r="892">
      <c r="A892" s="24">
        <f>IFERROR(__xludf.DUMMYFUNCTION("""COMPUTED_VALUE"""),42857.0)</f>
        <v>42857</v>
      </c>
      <c r="B892" s="5" t="str">
        <f>IFERROR(__xludf.DUMMYFUNCTION("""COMPUTED_VALUE"""),"Commodities")</f>
        <v>Commodities</v>
      </c>
      <c r="C892" s="5" t="str">
        <f>IFERROR(__xludf.DUMMYFUNCTION("""COMPUTED_VALUE"""),"iShares Diversified Commodity Swap UCITS ETF DE")</f>
        <v>iShares Diversified Commodity Swap UCITS ETF DE</v>
      </c>
      <c r="D892" s="5" t="str">
        <f>IFERROR(__xludf.DUMMYFUNCTION("""COMPUTED_VALUE"""),"BUY")</f>
        <v>BUY</v>
      </c>
      <c r="E892" s="5">
        <f>IFERROR(__xludf.DUMMYFUNCTION("""COMPUTED_VALUE"""),181.0)</f>
        <v>181</v>
      </c>
      <c r="F892" s="25">
        <f>IFERROR(__xludf.DUMMYFUNCTION("""COMPUTED_VALUE"""),19.31)</f>
        <v>19.31</v>
      </c>
      <c r="G892" s="10">
        <f>IFERROR(__xludf.DUMMYFUNCTION("""COMPUTED_VALUE"""),-3495.11)</f>
        <v>-3495.11</v>
      </c>
    </row>
    <row r="893">
      <c r="A893" s="24">
        <f>IFERROR(__xludf.DUMMYFUNCTION("""COMPUTED_VALUE"""),42856.0)</f>
        <v>42856</v>
      </c>
      <c r="B893" s="5" t="str">
        <f>IFERROR(__xludf.DUMMYFUNCTION("""COMPUTED_VALUE"""),"Intermediate US bonds (7-10 year)")</f>
        <v>Intermediate US bonds (7-10 year)</v>
      </c>
      <c r="C893" s="5" t="str">
        <f>IFERROR(__xludf.DUMMYFUNCTION("""COMPUTED_VALUE"""),"iShares 7-10 Year Treasury Bond ETF")</f>
        <v>iShares 7-10 Year Treasury Bond ETF</v>
      </c>
      <c r="D893" s="5" t="str">
        <f>IFERROR(__xludf.DUMMYFUNCTION("""COMPUTED_VALUE"""),"BUY")</f>
        <v>BUY</v>
      </c>
      <c r="E893" s="5">
        <f>IFERROR(__xludf.DUMMYFUNCTION("""COMPUTED_VALUE"""),66.0)</f>
        <v>66</v>
      </c>
      <c r="F893" s="25">
        <f>IFERROR(__xludf.DUMMYFUNCTION("""COMPUTED_VALUE"""),97.561)</f>
        <v>97.561</v>
      </c>
      <c r="G893" s="10">
        <f>IFERROR(__xludf.DUMMYFUNCTION("""COMPUTED_VALUE"""),-6439.03)</f>
        <v>-6439.03</v>
      </c>
    </row>
    <row r="894">
      <c r="A894" s="24">
        <f>IFERROR(__xludf.DUMMYFUNCTION("""COMPUTED_VALUE"""),42856.0)</f>
        <v>42856</v>
      </c>
      <c r="B894" s="5" t="str">
        <f>IFERROR(__xludf.DUMMYFUNCTION("""COMPUTED_VALUE"""),"Stocks")</f>
        <v>Stocks</v>
      </c>
      <c r="C894" s="5" t="str">
        <f>IFERROR(__xludf.DUMMYFUNCTION("""COMPUTED_VALUE"""),"Vanguard Total Stock Market ETF")</f>
        <v>Vanguard Total Stock Market ETF</v>
      </c>
      <c r="D894" s="5" t="str">
        <f>IFERROR(__xludf.DUMMYFUNCTION("""COMPUTED_VALUE"""),"BUY")</f>
        <v>BUY</v>
      </c>
      <c r="E894" s="5">
        <f>IFERROR(__xludf.DUMMYFUNCTION("""COMPUTED_VALUE"""),115.0)</f>
        <v>115</v>
      </c>
      <c r="F894" s="25">
        <f>IFERROR(__xludf.DUMMYFUNCTION("""COMPUTED_VALUE"""),112.8)</f>
        <v>112.8</v>
      </c>
      <c r="G894" s="10">
        <f>IFERROR(__xludf.DUMMYFUNCTION("""COMPUTED_VALUE"""),-12972.31)</f>
        <v>-12972.31</v>
      </c>
    </row>
    <row r="895">
      <c r="A895" s="24">
        <f>IFERROR(__xludf.DUMMYFUNCTION("""COMPUTED_VALUE"""),42856.0)</f>
        <v>42856</v>
      </c>
      <c r="B895" s="5" t="str">
        <f>IFERROR(__xludf.DUMMYFUNCTION("""COMPUTED_VALUE"""),"Gold")</f>
        <v>Gold</v>
      </c>
      <c r="C895" s="5" t="str">
        <f>IFERROR(__xludf.DUMMYFUNCTION("""COMPUTED_VALUE"""),"iShares Gold Trust")</f>
        <v>iShares Gold Trust</v>
      </c>
      <c r="D895" s="5" t="str">
        <f>IFERROR(__xludf.DUMMYFUNCTION("""COMPUTED_VALUE"""),"BUY")</f>
        <v>BUY</v>
      </c>
      <c r="E895" s="5">
        <f>IFERROR(__xludf.DUMMYFUNCTION("""COMPUTED_VALUE"""),290.0)</f>
        <v>290</v>
      </c>
      <c r="F895" s="25">
        <f>IFERROR(__xludf.DUMMYFUNCTION("""COMPUTED_VALUE"""),11.16)</f>
        <v>11.16</v>
      </c>
      <c r="G895" s="10">
        <f>IFERROR(__xludf.DUMMYFUNCTION("""COMPUTED_VALUE"""),-3235.89)</f>
        <v>-3235.89</v>
      </c>
    </row>
    <row r="896">
      <c r="A896" s="24">
        <f>IFERROR(__xludf.DUMMYFUNCTION("""COMPUTED_VALUE"""),42856.0)</f>
        <v>42856</v>
      </c>
      <c r="B896" s="5" t="str">
        <f>IFERROR(__xludf.DUMMYFUNCTION("""COMPUTED_VALUE"""),"Long term US bonds (20-25 year)")</f>
        <v>Long term US bonds (20-25 year)</v>
      </c>
      <c r="C896" s="5" t="str">
        <f>IFERROR(__xludf.DUMMYFUNCTION("""COMPUTED_VALUE"""),"Vanguard Extended Duration Treasury ETF")</f>
        <v>Vanguard Extended Duration Treasury ETF</v>
      </c>
      <c r="D896" s="5" t="str">
        <f>IFERROR(__xludf.DUMMYFUNCTION("""COMPUTED_VALUE"""),"BUY")</f>
        <v>BUY</v>
      </c>
      <c r="E896" s="5">
        <f>IFERROR(__xludf.DUMMYFUNCTION("""COMPUTED_VALUE"""),166.0)</f>
        <v>166</v>
      </c>
      <c r="F896" s="25">
        <f>IFERROR(__xludf.DUMMYFUNCTION("""COMPUTED_VALUE"""),103.67)</f>
        <v>103.67</v>
      </c>
      <c r="G896" s="10">
        <f>IFERROR(__xludf.DUMMYFUNCTION("""COMPUTED_VALUE"""),-17209.62)</f>
        <v>-17209.62</v>
      </c>
    </row>
    <row r="897">
      <c r="A897" s="24">
        <f>IFERROR(__xludf.DUMMYFUNCTION("""COMPUTED_VALUE"""),42853.0)</f>
        <v>42853</v>
      </c>
      <c r="B897" s="5"/>
      <c r="C897" s="5"/>
      <c r="D897" s="21" t="str">
        <f>IFERROR(__xludf.DUMMYFUNCTION("""COMPUTED_VALUE"""),"APPROVISIONNEMENT")</f>
        <v>APPROVISIONNEMENT</v>
      </c>
      <c r="E897" s="5"/>
      <c r="F897" s="5"/>
      <c r="G897" s="10">
        <f>IFERROR(__xludf.DUMMYFUNCTION("""COMPUTED_VALUE"""),43355.53)</f>
        <v>43355.53</v>
      </c>
    </row>
    <row r="898">
      <c r="A898" s="24">
        <f>IFERROR(__xludf.DUMMYFUNCTION("""COMPUTED_VALUE"""),42846.0)</f>
        <v>42846</v>
      </c>
      <c r="B898" s="5"/>
      <c r="C898" s="5"/>
      <c r="D898" s="21" t="str">
        <f>IFERROR(__xludf.DUMMYFUNCTION("""COMPUTED_VALUE"""),"APPROVISIONNEMENT")</f>
        <v>APPROVISIONNEMENT</v>
      </c>
      <c r="E898" s="5"/>
      <c r="F898" s="5"/>
      <c r="G898" s="10">
        <f>IFERROR(__xludf.DUMMYFUNCTION("""COMPUTED_VALUE"""),1.0)</f>
        <v>1</v>
      </c>
    </row>
    <row r="899">
      <c r="A899" s="24">
        <f>IFERROR(__xludf.DUMMYFUNCTION("""COMPUTED_VALUE"""),42845.0)</f>
        <v>42845</v>
      </c>
      <c r="B899" s="5"/>
      <c r="C899" s="5"/>
      <c r="D899" s="5" t="str">
        <f>IFERROR(__xludf.DUMMYFUNCTION("""COMPUTED_VALUE"""),"COST")</f>
        <v>COST</v>
      </c>
      <c r="E899" s="5"/>
      <c r="F899" s="5"/>
      <c r="G899" s="10">
        <f>IFERROR(__xludf.DUMMYFUNCTION("""COMPUTED_VALUE"""),-6.0)</f>
        <v>-6</v>
      </c>
    </row>
    <row r="900">
      <c r="A900" s="24">
        <f>IFERROR(__xludf.DUMMYFUNCTION("""COMPUTED_VALUE"""),42845.0)</f>
        <v>42845</v>
      </c>
      <c r="B900" s="5"/>
      <c r="C900" s="5"/>
      <c r="D900" s="5" t="str">
        <f>IFERROR(__xludf.DUMMYFUNCTION("""COMPUTED_VALUE"""),"APPROVISIONNEMENT")</f>
        <v>APPROVISIONNEMENT</v>
      </c>
      <c r="E900" s="5"/>
      <c r="F900" s="5"/>
      <c r="G900" s="10">
        <f>IFERROR(__xludf.DUMMYFUNCTION("""COMPUTED_VALUE"""),-45404.0)</f>
        <v>-45404</v>
      </c>
    </row>
    <row r="901">
      <c r="A901" s="24">
        <f>IFERROR(__xludf.DUMMYFUNCTION("""COMPUTED_VALUE"""),42845.0)</f>
        <v>42845</v>
      </c>
      <c r="B901" s="5"/>
      <c r="C901" s="5"/>
      <c r="D901" s="5" t="str">
        <f>IFERROR(__xludf.DUMMYFUNCTION("""COMPUTED_VALUE"""),"APPROVISIONNEMENT")</f>
        <v>APPROVISIONNEMENT</v>
      </c>
      <c r="E901" s="5"/>
      <c r="F901" s="5"/>
      <c r="G901" s="10">
        <f>IFERROR(__xludf.DUMMYFUNCTION("""COMPUTED_VALUE"""),-452.53)</f>
        <v>-452.53</v>
      </c>
    </row>
    <row r="902">
      <c r="A902" s="24">
        <f>IFERROR(__xludf.DUMMYFUNCTION("""COMPUTED_VALUE"""),42845.0)</f>
        <v>42845</v>
      </c>
      <c r="B902" s="24" t="str">
        <f>IFERROR(__xludf.DUMMYFUNCTION("""COMPUTED_VALUE"""),"Long term US bonds (20-25 year)")</f>
        <v>Long term US bonds (20-25 year)</v>
      </c>
      <c r="C902" s="5" t="str">
        <f>IFERROR(__xludf.DUMMYFUNCTION("""COMPUTED_VALUE"""),"Vanguard Extended Duration Treasury ETF")</f>
        <v>Vanguard Extended Duration Treasury ETF</v>
      </c>
      <c r="D902" s="24" t="str">
        <f>IFERROR(__xludf.DUMMYFUNCTION("""COMPUTED_VALUE"""),"SELL")</f>
        <v>SELL</v>
      </c>
      <c r="E902" s="5">
        <f>IFERROR(__xludf.DUMMYFUNCTION("""COMPUTED_VALUE"""),-179.0)</f>
        <v>-179</v>
      </c>
      <c r="F902" s="25">
        <f>IFERROR(__xludf.DUMMYFUNCTION("""COMPUTED_VALUE"""),107.2757)</f>
        <v>107.2757</v>
      </c>
      <c r="G902" s="10">
        <f>IFERROR(__xludf.DUMMYFUNCTION("""COMPUTED_VALUE"""),19185.08)</f>
        <v>19185.08</v>
      </c>
    </row>
    <row r="903">
      <c r="A903" s="24">
        <f>IFERROR(__xludf.DUMMYFUNCTION("""COMPUTED_VALUE"""),42845.0)</f>
        <v>42845</v>
      </c>
      <c r="B903" s="24" t="str">
        <f>IFERROR(__xludf.DUMMYFUNCTION("""COMPUTED_VALUE"""),"Gold")</f>
        <v>Gold</v>
      </c>
      <c r="C903" s="5" t="str">
        <f>IFERROR(__xludf.DUMMYFUNCTION("""COMPUTED_VALUE"""),"iShares Gold Trust")</f>
        <v>iShares Gold Trust</v>
      </c>
      <c r="D903" s="24" t="str">
        <f>IFERROR(__xludf.DUMMYFUNCTION("""COMPUTED_VALUE"""),"SELL")</f>
        <v>SELL</v>
      </c>
      <c r="E903" s="5">
        <f>IFERROR(__xludf.DUMMYFUNCTION("""COMPUTED_VALUE"""),-292.0)</f>
        <v>-292</v>
      </c>
      <c r="F903" s="25">
        <f>IFERROR(__xludf.DUMMYFUNCTION("""COMPUTED_VALUE"""),11.4687)</f>
        <v>11.4687</v>
      </c>
      <c r="G903" s="10">
        <f>IFERROR(__xludf.DUMMYFUNCTION("""COMPUTED_VALUE"""),3340.35)</f>
        <v>3340.35</v>
      </c>
    </row>
    <row r="904">
      <c r="A904" s="24">
        <f>IFERROR(__xludf.DUMMYFUNCTION("""COMPUTED_VALUE"""),42845.0)</f>
        <v>42845</v>
      </c>
      <c r="B904" s="24" t="str">
        <f>IFERROR(__xludf.DUMMYFUNCTION("""COMPUTED_VALUE"""),"Intermediate US bonds (7-10 year)")</f>
        <v>Intermediate US bonds (7-10 year)</v>
      </c>
      <c r="C904" s="5" t="str">
        <f>IFERROR(__xludf.DUMMYFUNCTION("""COMPUTED_VALUE"""),"iShares 7-10 Year Treasury Bond ETF")</f>
        <v>iShares 7-10 Year Treasury Bond ETF</v>
      </c>
      <c r="D904" s="24" t="str">
        <f>IFERROR(__xludf.DUMMYFUNCTION("""COMPUTED_VALUE"""),"SELL")</f>
        <v>SELL</v>
      </c>
      <c r="E904" s="5">
        <f>IFERROR(__xludf.DUMMYFUNCTION("""COMPUTED_VALUE"""),-67.0)</f>
        <v>-67</v>
      </c>
      <c r="F904" s="25">
        <f>IFERROR(__xludf.DUMMYFUNCTION("""COMPUTED_VALUE"""),99.6126)</f>
        <v>99.6126</v>
      </c>
      <c r="G904" s="10">
        <f>IFERROR(__xludf.DUMMYFUNCTION("""COMPUTED_VALUE"""),6665.55)</f>
        <v>6665.55</v>
      </c>
    </row>
    <row r="905">
      <c r="A905" s="24">
        <f>IFERROR(__xludf.DUMMYFUNCTION("""COMPUTED_VALUE"""),42845.0)</f>
        <v>42845</v>
      </c>
      <c r="B905" s="24" t="str">
        <f>IFERROR(__xludf.DUMMYFUNCTION("""COMPUTED_VALUE"""),"Commodities")</f>
        <v>Commodities</v>
      </c>
      <c r="C905" s="5" t="str">
        <f>IFERROR(__xludf.DUMMYFUNCTION("""COMPUTED_VALUE"""),"iShares Diversified Commodity Swap UCITS ETF DE")</f>
        <v>iShares Diversified Commodity Swap UCITS ETF DE</v>
      </c>
      <c r="D905" s="24" t="str">
        <f>IFERROR(__xludf.DUMMYFUNCTION("""COMPUTED_VALUE"""),"SELL")</f>
        <v>SELL</v>
      </c>
      <c r="E905" s="5">
        <f>IFERROR(__xludf.DUMMYFUNCTION("""COMPUTED_VALUE"""),-211.0)</f>
        <v>-211</v>
      </c>
      <c r="F905" s="25">
        <f>IFERROR(__xludf.DUMMYFUNCTION("""COMPUTED_VALUE"""),14.3195)</f>
        <v>14.3195</v>
      </c>
      <c r="G905" s="10">
        <f>IFERROR(__xludf.DUMMYFUNCTION("""COMPUTED_VALUE"""),3012.92)</f>
        <v>3012.92</v>
      </c>
    </row>
    <row r="906">
      <c r="A906" s="24">
        <f>IFERROR(__xludf.DUMMYFUNCTION("""COMPUTED_VALUE"""),42845.0)</f>
        <v>42845</v>
      </c>
      <c r="B906" s="24" t="str">
        <f>IFERROR(__xludf.DUMMYFUNCTION("""COMPUTED_VALUE"""),"Stocks")</f>
        <v>Stocks</v>
      </c>
      <c r="C906" s="24" t="str">
        <f>IFERROR(__xludf.DUMMYFUNCTION("""COMPUTED_VALUE"""),"Vanguard Total Stock Market ETF")</f>
        <v>Vanguard Total Stock Market ETF</v>
      </c>
      <c r="D906" s="24" t="str">
        <f>IFERROR(__xludf.DUMMYFUNCTION("""COMPUTED_VALUE"""),"SELL")</f>
        <v>SELL</v>
      </c>
      <c r="E906" s="5">
        <f>IFERROR(__xludf.DUMMYFUNCTION("""COMPUTED_VALUE"""),-120.0)</f>
        <v>-120</v>
      </c>
      <c r="F906" s="25">
        <f>IFERROR(__xludf.DUMMYFUNCTION("""COMPUTED_VALUE"""),112.3483)</f>
        <v>112.3483</v>
      </c>
      <c r="G906" s="10">
        <f>IFERROR(__xludf.DUMMYFUNCTION("""COMPUTED_VALUE"""),13469.67)</f>
        <v>13469.67</v>
      </c>
    </row>
    <row r="907">
      <c r="A907" s="24">
        <f>IFERROR(__xludf.DUMMYFUNCTION("""COMPUTED_VALUE"""),42845.0)</f>
        <v>42845</v>
      </c>
      <c r="B907" s="5" t="str">
        <f>IFERROR(__xludf.DUMMYFUNCTION("""COMPUTED_VALUE"""),"Intermediate US bonds (7-10 year)")</f>
        <v>Intermediate US bonds (7-10 year)</v>
      </c>
      <c r="C907" s="5" t="str">
        <f>IFERROR(__xludf.DUMMYFUNCTION("""COMPUTED_VALUE"""),"iShares 7-10 Year Treasury Bond ETF")</f>
        <v>iShares 7-10 Year Treasury Bond ETF</v>
      </c>
      <c r="D907" s="5" t="str">
        <f>IFERROR(__xludf.DUMMYFUNCTION("""COMPUTED_VALUE"""),"DIVIDEND")</f>
        <v>DIVIDEND</v>
      </c>
      <c r="E907" s="5"/>
      <c r="F907" s="5"/>
      <c r="G907" s="10">
        <f>IFERROR(__xludf.DUMMYFUNCTION("""COMPUTED_VALUE"""),4.9)</f>
        <v>4.9</v>
      </c>
    </row>
    <row r="908">
      <c r="A908" s="24">
        <f>IFERROR(__xludf.DUMMYFUNCTION("""COMPUTED_VALUE"""),42836.0)</f>
        <v>42836</v>
      </c>
      <c r="B908" s="5" t="str">
        <f>IFERROR(__xludf.DUMMYFUNCTION("""COMPUTED_VALUE"""),"Long term US bonds (20-25 year)")</f>
        <v>Long term US bonds (20-25 year)</v>
      </c>
      <c r="C908" s="5" t="str">
        <f>IFERROR(__xludf.DUMMYFUNCTION("""COMPUTED_VALUE"""),"Vanguard Extended Duration Treasury ETF")</f>
        <v>Vanguard Extended Duration Treasury ETF</v>
      </c>
      <c r="D908" s="5" t="str">
        <f>IFERROR(__xludf.DUMMYFUNCTION("""COMPUTED_VALUE"""),"DIVIDEND")</f>
        <v>DIVIDEND</v>
      </c>
      <c r="E908" s="5"/>
      <c r="F908" s="5"/>
      <c r="G908" s="10">
        <f>IFERROR(__xludf.DUMMYFUNCTION("""COMPUTED_VALUE"""),56.77)</f>
        <v>56.77</v>
      </c>
    </row>
    <row r="909">
      <c r="A909" s="24">
        <f>IFERROR(__xludf.DUMMYFUNCTION("""COMPUTED_VALUE"""),42835.0)</f>
        <v>42835</v>
      </c>
      <c r="B909" s="5" t="str">
        <f>IFERROR(__xludf.DUMMYFUNCTION("""COMPUTED_VALUE"""),"Stocks")</f>
        <v>Stocks</v>
      </c>
      <c r="C909" s="5" t="str">
        <f>IFERROR(__xludf.DUMMYFUNCTION("""COMPUTED_VALUE"""),"Vanguard Total Stock Market ETF")</f>
        <v>Vanguard Total Stock Market ETF</v>
      </c>
      <c r="D909" s="5" t="str">
        <f>IFERROR(__xludf.DUMMYFUNCTION("""COMPUTED_VALUE"""),"DIVIDEND")</f>
        <v>DIVIDEND</v>
      </c>
      <c r="E909" s="5"/>
      <c r="F909" s="5"/>
      <c r="G909" s="10">
        <f>IFERROR(__xludf.DUMMYFUNCTION("""COMPUTED_VALUE"""),29.55)</f>
        <v>29.55</v>
      </c>
    </row>
    <row r="910">
      <c r="A910" s="24">
        <f>IFERROR(__xludf.DUMMYFUNCTION("""COMPUTED_VALUE"""),42829.0)</f>
        <v>42829</v>
      </c>
      <c r="B910" s="5"/>
      <c r="C910" s="5"/>
      <c r="D910" s="5" t="str">
        <f>IFERROR(__xludf.DUMMYFUNCTION("""COMPUTED_VALUE"""),"COST")</f>
        <v>COST</v>
      </c>
      <c r="E910" s="5"/>
      <c r="F910" s="5"/>
      <c r="G910" s="10">
        <f>IFERROR(__xludf.DUMMYFUNCTION("""COMPUTED_VALUE"""),-0.16)</f>
        <v>-0.16</v>
      </c>
    </row>
    <row r="911">
      <c r="A911" s="24">
        <f>IFERROR(__xludf.DUMMYFUNCTION("""COMPUTED_VALUE"""),42803.0)</f>
        <v>42803</v>
      </c>
      <c r="B911" s="5" t="str">
        <f>IFERROR(__xludf.DUMMYFUNCTION("""COMPUTED_VALUE"""),"Intermediate US bonds (7-10 year)")</f>
        <v>Intermediate US bonds (7-10 year)</v>
      </c>
      <c r="C911" s="5" t="str">
        <f>IFERROR(__xludf.DUMMYFUNCTION("""COMPUTED_VALUE"""),"iShares 7-10 Year Treasury Bond ETF")</f>
        <v>iShares 7-10 Year Treasury Bond ETF</v>
      </c>
      <c r="D911" s="5" t="str">
        <f>IFERROR(__xludf.DUMMYFUNCTION("""COMPUTED_VALUE"""),"DIVIDEND")</f>
        <v>DIVIDEND</v>
      </c>
      <c r="E911" s="5"/>
      <c r="F911" s="5"/>
      <c r="G911" s="10">
        <f>IFERROR(__xludf.DUMMYFUNCTION("""COMPUTED_VALUE"""),4.5)</f>
        <v>4.5</v>
      </c>
    </row>
    <row r="912">
      <c r="A912" s="24">
        <f>IFERROR(__xludf.DUMMYFUNCTION("""COMPUTED_VALUE"""),42787.0)</f>
        <v>42787</v>
      </c>
      <c r="B912" s="5" t="str">
        <f>IFERROR(__xludf.DUMMYFUNCTION("""COMPUTED_VALUE"""),"Long term US bonds (20-25 year)")</f>
        <v>Long term US bonds (20-25 year)</v>
      </c>
      <c r="C912" s="5" t="str">
        <f>IFERROR(__xludf.DUMMYFUNCTION("""COMPUTED_VALUE"""),"Vanguard Extended Duration Treasury ETF")</f>
        <v>Vanguard Extended Duration Treasury ETF</v>
      </c>
      <c r="D912" s="5" t="str">
        <f>IFERROR(__xludf.DUMMYFUNCTION("""COMPUTED_VALUE"""),"BUY")</f>
        <v>BUY</v>
      </c>
      <c r="E912" s="5">
        <f>IFERROR(__xludf.DUMMYFUNCTION("""COMPUTED_VALUE"""),23.0)</f>
        <v>23</v>
      </c>
      <c r="F912" s="25">
        <f>IFERROR(__xludf.DUMMYFUNCTION("""COMPUTED_VALUE"""),105.6173)</f>
        <v>105.6173</v>
      </c>
      <c r="G912" s="10">
        <f>IFERROR(__xludf.DUMMYFUNCTION("""COMPUTED_VALUE"""),-2437.7)</f>
        <v>-2437.7</v>
      </c>
    </row>
    <row r="913">
      <c r="A913" s="24">
        <f>IFERROR(__xludf.DUMMYFUNCTION("""COMPUTED_VALUE"""),42787.0)</f>
        <v>42787</v>
      </c>
      <c r="B913" s="5" t="str">
        <f>IFERROR(__xludf.DUMMYFUNCTION("""COMPUTED_VALUE"""),"Stocks")</f>
        <v>Stocks</v>
      </c>
      <c r="C913" s="5" t="str">
        <f>IFERROR(__xludf.DUMMYFUNCTION("""COMPUTED_VALUE"""),"Vanguard Total Stock Market ETF")</f>
        <v>Vanguard Total Stock Market ETF</v>
      </c>
      <c r="D913" s="5" t="str">
        <f>IFERROR(__xludf.DUMMYFUNCTION("""COMPUTED_VALUE"""),"SELL")</f>
        <v>SELL</v>
      </c>
      <c r="E913" s="5">
        <f>IFERROR(__xludf.DUMMYFUNCTION("""COMPUTED_VALUE"""),-16.0)</f>
        <v>-16</v>
      </c>
      <c r="F913" s="25">
        <f>IFERROR(__xludf.DUMMYFUNCTION("""COMPUTED_VALUE"""),114.4055)</f>
        <v>114.4055</v>
      </c>
      <c r="G913" s="10">
        <f>IFERROR(__xludf.DUMMYFUNCTION("""COMPUTED_VALUE"""),1821.99)</f>
        <v>1821.99</v>
      </c>
    </row>
    <row r="914">
      <c r="A914" s="24">
        <f>IFERROR(__xludf.DUMMYFUNCTION("""COMPUTED_VALUE"""),42776.0)</f>
        <v>42776</v>
      </c>
      <c r="B914" s="5" t="str">
        <f>IFERROR(__xludf.DUMMYFUNCTION("""COMPUTED_VALUE"""),"Intermediate US bonds (7-10 year)")</f>
        <v>Intermediate US bonds (7-10 year)</v>
      </c>
      <c r="C914" s="5" t="str">
        <f>IFERROR(__xludf.DUMMYFUNCTION("""COMPUTED_VALUE"""),"iShares 7-10 Year Treasury Bond ETF")</f>
        <v>iShares 7-10 Year Treasury Bond ETF</v>
      </c>
      <c r="D914" s="5" t="str">
        <f>IFERROR(__xludf.DUMMYFUNCTION("""COMPUTED_VALUE"""),"DIVIDEND")</f>
        <v>DIVIDEND</v>
      </c>
      <c r="E914" s="5"/>
      <c r="F914" s="5"/>
      <c r="G914" s="10">
        <f>IFERROR(__xludf.DUMMYFUNCTION("""COMPUTED_VALUE"""),4.87)</f>
        <v>4.87</v>
      </c>
    </row>
    <row r="915">
      <c r="A915" s="24">
        <f>IFERROR(__xludf.DUMMYFUNCTION("""COMPUTED_VALUE"""),42739.0)</f>
        <v>42739</v>
      </c>
      <c r="B915" s="5"/>
      <c r="C915" s="5"/>
      <c r="D915" s="5" t="str">
        <f>IFERROR(__xludf.DUMMYFUNCTION("""COMPUTED_VALUE"""),"COST")</f>
        <v>COST</v>
      </c>
      <c r="E915" s="5"/>
      <c r="F915" s="5"/>
      <c r="G915" s="10">
        <f>IFERROR(__xludf.DUMMYFUNCTION("""COMPUTED_VALUE"""),-0.18)</f>
        <v>-0.18</v>
      </c>
    </row>
    <row r="916">
      <c r="A916" s="24">
        <f>IFERROR(__xludf.DUMMYFUNCTION("""COMPUTED_VALUE"""),42738.0)</f>
        <v>42738</v>
      </c>
      <c r="B916" s="5" t="str">
        <f>IFERROR(__xludf.DUMMYFUNCTION("""COMPUTED_VALUE"""),"Intermediate US bonds (7-10 year)")</f>
        <v>Intermediate US bonds (7-10 year)</v>
      </c>
      <c r="C916" s="5" t="str">
        <f>IFERROR(__xludf.DUMMYFUNCTION("""COMPUTED_VALUE"""),"iShares 7-10 Year Treasury Bond ETF")</f>
        <v>iShares 7-10 Year Treasury Bond ETF</v>
      </c>
      <c r="D916" s="5" t="str">
        <f>IFERROR(__xludf.DUMMYFUNCTION("""COMPUTED_VALUE"""),"DIVIDEND")</f>
        <v>DIVIDEND</v>
      </c>
      <c r="E916" s="5"/>
      <c r="F916" s="5"/>
      <c r="G916" s="10">
        <f>IFERROR(__xludf.DUMMYFUNCTION("""COMPUTED_VALUE"""),5.12)</f>
        <v>5.12</v>
      </c>
    </row>
    <row r="917">
      <c r="A917" s="24">
        <f>IFERROR(__xludf.DUMMYFUNCTION("""COMPUTED_VALUE"""),42737.0)</f>
        <v>42737</v>
      </c>
      <c r="B917" s="5" t="str">
        <f>IFERROR(__xludf.DUMMYFUNCTION("""COMPUTED_VALUE"""),"Long term US bonds (20-25 year)")</f>
        <v>Long term US bonds (20-25 year)</v>
      </c>
      <c r="C917" s="5" t="str">
        <f>IFERROR(__xludf.DUMMYFUNCTION("""COMPUTED_VALUE"""),"Vanguard Extended Duration Treasury ETF")</f>
        <v>Vanguard Extended Duration Treasury ETF</v>
      </c>
      <c r="D917" s="5" t="str">
        <f>IFERROR(__xludf.DUMMYFUNCTION("""COMPUTED_VALUE"""),"DIVIDEND")</f>
        <v>DIVIDEND</v>
      </c>
      <c r="E917" s="5"/>
      <c r="F917" s="5"/>
      <c r="G917" s="10">
        <f>IFERROR(__xludf.DUMMYFUNCTION("""COMPUTED_VALUE"""),2.51)</f>
        <v>2.51</v>
      </c>
    </row>
    <row r="918">
      <c r="A918" s="24">
        <f>IFERROR(__xludf.DUMMYFUNCTION("""COMPUTED_VALUE"""),42737.0)</f>
        <v>42737</v>
      </c>
      <c r="B918" s="5" t="str">
        <f>IFERROR(__xludf.DUMMYFUNCTION("""COMPUTED_VALUE"""),"Long term US bonds (20-25 year)")</f>
        <v>Long term US bonds (20-25 year)</v>
      </c>
      <c r="C918" s="5" t="str">
        <f>IFERROR(__xludf.DUMMYFUNCTION("""COMPUTED_VALUE"""),"Vanguard Extended Duration Treasury ETF")</f>
        <v>Vanguard Extended Duration Treasury ETF</v>
      </c>
      <c r="D918" s="5" t="str">
        <f>IFERROR(__xludf.DUMMYFUNCTION("""COMPUTED_VALUE"""),"DIVIDEND")</f>
        <v>DIVIDEND</v>
      </c>
      <c r="E918" s="5"/>
      <c r="F918" s="5"/>
      <c r="G918" s="10">
        <f>IFERROR(__xludf.DUMMYFUNCTION("""COMPUTED_VALUE"""),230.23)</f>
        <v>230.23</v>
      </c>
    </row>
    <row r="919">
      <c r="A919" s="24">
        <f>IFERROR(__xludf.DUMMYFUNCTION("""COMPUTED_VALUE"""),42733.0)</f>
        <v>42733</v>
      </c>
      <c r="B919" s="5" t="str">
        <f>IFERROR(__xludf.DUMMYFUNCTION("""COMPUTED_VALUE"""),"Long term US bonds (20-25 year)")</f>
        <v>Long term US bonds (20-25 year)</v>
      </c>
      <c r="C919" s="5" t="str">
        <f>IFERROR(__xludf.DUMMYFUNCTION("""COMPUTED_VALUE"""),"Vanguard Extended Duration Treasury ETF")</f>
        <v>Vanguard Extended Duration Treasury ETF</v>
      </c>
      <c r="D919" s="5" t="str">
        <f>IFERROR(__xludf.DUMMYFUNCTION("""COMPUTED_VALUE"""),"DIVIDEND")</f>
        <v>DIVIDEND</v>
      </c>
      <c r="E919" s="5"/>
      <c r="F919" s="5"/>
      <c r="G919" s="10">
        <f>IFERROR(__xludf.DUMMYFUNCTION("""COMPUTED_VALUE"""),71.1)</f>
        <v>71.1</v>
      </c>
    </row>
    <row r="920">
      <c r="A920" s="24">
        <f>IFERROR(__xludf.DUMMYFUNCTION("""COMPUTED_VALUE"""),42733.0)</f>
        <v>42733</v>
      </c>
      <c r="B920" s="5" t="str">
        <f>IFERROR(__xludf.DUMMYFUNCTION("""COMPUTED_VALUE"""),"Stocks")</f>
        <v>Stocks</v>
      </c>
      <c r="C920" s="5" t="str">
        <f>IFERROR(__xludf.DUMMYFUNCTION("""COMPUTED_VALUE"""),"Vanguard Total Stock Market ETF")</f>
        <v>Vanguard Total Stock Market ETF</v>
      </c>
      <c r="D920" s="5" t="str">
        <f>IFERROR(__xludf.DUMMYFUNCTION("""COMPUTED_VALUE"""),"DIVIDEND")</f>
        <v>DIVIDEND</v>
      </c>
      <c r="E920" s="5"/>
      <c r="F920" s="5"/>
      <c r="G920" s="10">
        <f>IFERROR(__xludf.DUMMYFUNCTION("""COMPUTED_VALUE"""),46.16)</f>
        <v>46.16</v>
      </c>
    </row>
    <row r="921">
      <c r="A921" s="24">
        <f>IFERROR(__xludf.DUMMYFUNCTION("""COMPUTED_VALUE"""),42713.0)</f>
        <v>42713</v>
      </c>
      <c r="B921" s="5" t="str">
        <f>IFERROR(__xludf.DUMMYFUNCTION("""COMPUTED_VALUE"""),"Intermediate US bonds (7-10 year)")</f>
        <v>Intermediate US bonds (7-10 year)</v>
      </c>
      <c r="C921" s="5" t="str">
        <f>IFERROR(__xludf.DUMMYFUNCTION("""COMPUTED_VALUE"""),"iShares 7-10 Year Treasury Bond ETF")</f>
        <v>iShares 7-10 Year Treasury Bond ETF</v>
      </c>
      <c r="D921" s="5" t="str">
        <f>IFERROR(__xludf.DUMMYFUNCTION("""COMPUTED_VALUE"""),"DIVIDEND")</f>
        <v>DIVIDEND</v>
      </c>
      <c r="E921" s="5"/>
      <c r="F921" s="5"/>
      <c r="G921" s="10">
        <f>IFERROR(__xludf.DUMMYFUNCTION("""COMPUTED_VALUE"""),4.57)</f>
        <v>4.57</v>
      </c>
    </row>
    <row r="922">
      <c r="A922" s="24">
        <f>IFERROR(__xludf.DUMMYFUNCTION("""COMPUTED_VALUE"""),42683.0)</f>
        <v>42683</v>
      </c>
      <c r="B922" s="5" t="str">
        <f>IFERROR(__xludf.DUMMYFUNCTION("""COMPUTED_VALUE"""),"Intermediate US bonds (7-10 year)")</f>
        <v>Intermediate US bonds (7-10 year)</v>
      </c>
      <c r="C922" s="5" t="str">
        <f>IFERROR(__xludf.DUMMYFUNCTION("""COMPUTED_VALUE"""),"iShares 7-10 Year Treasury Bond ETF")</f>
        <v>iShares 7-10 Year Treasury Bond ETF</v>
      </c>
      <c r="D922" s="5" t="str">
        <f>IFERROR(__xludf.DUMMYFUNCTION("""COMPUTED_VALUE"""),"DIVIDEND")</f>
        <v>DIVIDEND</v>
      </c>
      <c r="E922" s="5"/>
      <c r="F922" s="5"/>
      <c r="G922" s="10">
        <f>IFERROR(__xludf.DUMMYFUNCTION("""COMPUTED_VALUE"""),4.57)</f>
        <v>4.57</v>
      </c>
    </row>
    <row r="923">
      <c r="A923" s="24">
        <f>IFERROR(__xludf.DUMMYFUNCTION("""COMPUTED_VALUE"""),42653.0)</f>
        <v>42653</v>
      </c>
      <c r="B923" s="5"/>
      <c r="C923" s="5"/>
      <c r="D923" s="5" t="str">
        <f>IFERROR(__xludf.DUMMYFUNCTION("""COMPUTED_VALUE"""),"COST")</f>
        <v>COST</v>
      </c>
      <c r="E923" s="5"/>
      <c r="F923" s="5"/>
      <c r="G923" s="10">
        <f>IFERROR(__xludf.DUMMYFUNCTION("""COMPUTED_VALUE"""),-0.16)</f>
        <v>-0.16</v>
      </c>
    </row>
    <row r="924">
      <c r="A924" s="24">
        <f>IFERROR(__xludf.DUMMYFUNCTION("""COMPUTED_VALUE"""),42644.0)</f>
        <v>42644</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IFERROR(__xludf.DUMMYFUNCTION("""COMPUTED_VALUE"""),4.4)</f>
        <v>4.4</v>
      </c>
    </row>
    <row r="925">
      <c r="A925" s="24">
        <f>IFERROR(__xludf.DUMMYFUNCTION("""COMPUTED_VALUE"""),42641.0)</f>
        <v>42641</v>
      </c>
      <c r="B925" s="5" t="str">
        <f>IFERROR(__xludf.DUMMYFUNCTION("""COMPUTED_VALUE"""),"Long term US bonds (20-25 year)")</f>
        <v>Long term US bonds (20-25 year)</v>
      </c>
      <c r="C925" s="5" t="str">
        <f>IFERROR(__xludf.DUMMYFUNCTION("""COMPUTED_VALUE"""),"Vanguard Extended Duration Treasury ETF")</f>
        <v>Vanguard Extended Duration Treasury ETF</v>
      </c>
      <c r="D925" s="5" t="str">
        <f>IFERROR(__xludf.DUMMYFUNCTION("""COMPUTED_VALUE"""),"DIVIDEND")</f>
        <v>DIVIDEND</v>
      </c>
      <c r="E925" s="5"/>
      <c r="F925" s="5"/>
      <c r="G925" s="10">
        <f>IFERROR(__xludf.DUMMYFUNCTION("""COMPUTED_VALUE"""),58.66)</f>
        <v>58.66</v>
      </c>
    </row>
    <row r="926">
      <c r="A926" s="24">
        <f>IFERROR(__xludf.DUMMYFUNCTION("""COMPUTED_VALUE"""),42634.0)</f>
        <v>42634</v>
      </c>
      <c r="B926" s="5" t="str">
        <f>IFERROR(__xludf.DUMMYFUNCTION("""COMPUTED_VALUE"""),"Stocks")</f>
        <v>Stocks</v>
      </c>
      <c r="C926" s="5" t="str">
        <f>IFERROR(__xludf.DUMMYFUNCTION("""COMPUTED_VALUE"""),"Vanguard Total Stock Market ETF")</f>
        <v>Vanguard Total Stock Market ETF</v>
      </c>
      <c r="D926" s="5" t="str">
        <f>IFERROR(__xludf.DUMMYFUNCTION("""COMPUTED_VALUE"""),"DIVIDEND")</f>
        <v>DIVIDEND</v>
      </c>
      <c r="E926" s="5"/>
      <c r="F926" s="5"/>
      <c r="G926" s="10">
        <f>IFERROR(__xludf.DUMMYFUNCTION("""COMPUTED_VALUE"""),31.85)</f>
        <v>31.85</v>
      </c>
    </row>
    <row r="927">
      <c r="A927" s="24">
        <f>IFERROR(__xludf.DUMMYFUNCTION("""COMPUTED_VALUE"""),42632.0)</f>
        <v>42632</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IFERROR(__xludf.DUMMYFUNCTION("""COMPUTED_VALUE"""),3.31)</f>
        <v>3.31</v>
      </c>
    </row>
    <row r="928">
      <c r="A928" s="24">
        <f>IFERROR(__xludf.DUMMYFUNCTION("""COMPUTED_VALUE"""),42632.0)</f>
        <v>42632</v>
      </c>
      <c r="B928" s="5" t="str">
        <f>IFERROR(__xludf.DUMMYFUNCTION("""COMPUTED_VALUE"""),"Long term US bonds (20-25 year)")</f>
        <v>Long term US bonds (20-25 year)</v>
      </c>
      <c r="C928" s="5" t="str">
        <f>IFERROR(__xludf.DUMMYFUNCTION("""COMPUTED_VALUE"""),"Vanguard Extended Duration Treasury ETF")</f>
        <v>Vanguard Extended Duration Treasury ETF</v>
      </c>
      <c r="D928" s="5" t="str">
        <f>IFERROR(__xludf.DUMMYFUNCTION("""COMPUTED_VALUE"""),"DIVIDEND")</f>
        <v>DIVIDEND</v>
      </c>
      <c r="E928" s="5"/>
      <c r="F928" s="5"/>
      <c r="G928" s="10">
        <f>IFERROR(__xludf.DUMMYFUNCTION("""COMPUTED_VALUE"""),21.31)</f>
        <v>21.31</v>
      </c>
    </row>
    <row r="929">
      <c r="A929" s="24">
        <f>IFERROR(__xludf.DUMMYFUNCTION("""COMPUTED_VALUE"""),42625.0)</f>
        <v>42625</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IFERROR(__xludf.DUMMYFUNCTION("""COMPUTED_VALUE"""),4.53)</f>
        <v>4.53</v>
      </c>
    </row>
    <row r="930">
      <c r="A930" s="24">
        <f>IFERROR(__xludf.DUMMYFUNCTION("""COMPUTED_VALUE"""),42605.0)</f>
        <v>42605</v>
      </c>
      <c r="B930" s="5" t="str">
        <f>IFERROR(__xludf.DUMMYFUNCTION("""COMPUTED_VALUE"""),"Intermediate US bonds (7-10 year)")</f>
        <v>Intermediate US bonds (7-10 year)</v>
      </c>
      <c r="C930" s="5" t="str">
        <f>IFERROR(__xludf.DUMMYFUNCTION("""COMPUTED_VALUE"""),"iShares 7-10 Year Treasury Bond ETF")</f>
        <v>iShares 7-10 Year Treasury Bond ETF</v>
      </c>
      <c r="D930" s="5" t="str">
        <f>IFERROR(__xludf.DUMMYFUNCTION("""COMPUTED_VALUE"""),"DIVIDEND")</f>
        <v>DIVIDEND</v>
      </c>
      <c r="E930" s="5"/>
      <c r="F930" s="5"/>
      <c r="G930" s="10">
        <f>IFERROR(__xludf.DUMMYFUNCTION("""COMPUTED_VALUE"""),4.7)</f>
        <v>4.7</v>
      </c>
    </row>
    <row r="931">
      <c r="A931" s="24">
        <f>IFERROR(__xludf.DUMMYFUNCTION("""COMPUTED_VALUE"""),42563.0)</f>
        <v>42563</v>
      </c>
      <c r="B931" s="5" t="str">
        <f>IFERROR(__xludf.DUMMYFUNCTION("""COMPUTED_VALUE"""),"Intermediate US bonds (7-10 year)")</f>
        <v>Intermediate US bonds (7-10 year)</v>
      </c>
      <c r="C931" s="5" t="str">
        <f>IFERROR(__xludf.DUMMYFUNCTION("""COMPUTED_VALUE"""),"iShares 7-10 Year Treasury Bond ETF")</f>
        <v>iShares 7-10 Year Treasury Bond ETF</v>
      </c>
      <c r="D931" s="5" t="str">
        <f>IFERROR(__xludf.DUMMYFUNCTION("""COMPUTED_VALUE"""),"DIVIDEND")</f>
        <v>DIVIDEND</v>
      </c>
      <c r="E931" s="5"/>
      <c r="F931" s="5"/>
      <c r="G931" s="10">
        <f>IFERROR(__xludf.DUMMYFUNCTION("""COMPUTED_VALUE"""),4.69)</f>
        <v>4.69</v>
      </c>
    </row>
    <row r="932">
      <c r="A932" s="24">
        <f>IFERROR(__xludf.DUMMYFUNCTION("""COMPUTED_VALUE"""),42557.0)</f>
        <v>42557</v>
      </c>
      <c r="B932" s="5"/>
      <c r="C932" s="5"/>
      <c r="D932" s="5" t="str">
        <f>IFERROR(__xludf.DUMMYFUNCTION("""COMPUTED_VALUE"""),"COST")</f>
        <v>COST</v>
      </c>
      <c r="E932" s="5"/>
      <c r="F932" s="5"/>
      <c r="G932" s="10">
        <f>IFERROR(__xludf.DUMMYFUNCTION("""COMPUTED_VALUE"""),-0.17)</f>
        <v>-0.17</v>
      </c>
    </row>
    <row r="933">
      <c r="A933" s="24">
        <f>IFERROR(__xludf.DUMMYFUNCTION("""COMPUTED_VALUE"""),42551.0)</f>
        <v>42551</v>
      </c>
      <c r="B933" s="5" t="str">
        <f>IFERROR(__xludf.DUMMYFUNCTION("""COMPUTED_VALUE"""),"Stocks")</f>
        <v>Stocks</v>
      </c>
      <c r="C933" s="5" t="str">
        <f>IFERROR(__xludf.DUMMYFUNCTION("""COMPUTED_VALUE"""),"Vanguard Total Stock Market ETF")</f>
        <v>Vanguard Total Stock Market ETF</v>
      </c>
      <c r="D933" s="5" t="str">
        <f>IFERROR(__xludf.DUMMYFUNCTION("""COMPUTED_VALUE"""),"DIVIDEND")</f>
        <v>DIVIDEND</v>
      </c>
      <c r="E933" s="5"/>
      <c r="F933" s="5"/>
      <c r="G933" s="10">
        <f>IFERROR(__xludf.DUMMYFUNCTION("""COMPUTED_VALUE"""),27.41)</f>
        <v>27.41</v>
      </c>
    </row>
    <row r="934">
      <c r="A934" s="24">
        <f>IFERROR(__xludf.DUMMYFUNCTION("""COMPUTED_VALUE"""),42550.0)</f>
        <v>42550</v>
      </c>
      <c r="B934" s="5" t="str">
        <f>IFERROR(__xludf.DUMMYFUNCTION("""COMPUTED_VALUE"""),"Long term US bonds (20-25 year)")</f>
        <v>Long term US bonds (20-25 year)</v>
      </c>
      <c r="C934" s="5" t="str">
        <f>IFERROR(__xludf.DUMMYFUNCTION("""COMPUTED_VALUE"""),"Vanguard Extended Duration Treasury ETF")</f>
        <v>Vanguard Extended Duration Treasury ETF</v>
      </c>
      <c r="D934" s="5" t="str">
        <f>IFERROR(__xludf.DUMMYFUNCTION("""COMPUTED_VALUE"""),"DIVIDEND")</f>
        <v>DIVIDEND</v>
      </c>
      <c r="E934" s="5"/>
      <c r="F934" s="5"/>
      <c r="G934" s="10">
        <f>IFERROR(__xludf.DUMMYFUNCTION("""COMPUTED_VALUE"""),56.25)</f>
        <v>56.25</v>
      </c>
    </row>
    <row r="935">
      <c r="A935" s="24">
        <f>IFERROR(__xludf.DUMMYFUNCTION("""COMPUTED_VALUE"""),42536.0)</f>
        <v>42536</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IFERROR(__xludf.DUMMYFUNCTION("""COMPUTED_VALUE"""),"DIVIDEND")</f>
        <v>DIVIDEND</v>
      </c>
      <c r="E935" s="5"/>
      <c r="F935" s="5"/>
      <c r="G935" s="10">
        <f>IFERROR(__xludf.DUMMYFUNCTION("""COMPUTED_VALUE"""),4.72)</f>
        <v>4.72</v>
      </c>
    </row>
    <row r="936">
      <c r="A936" s="24">
        <f>IFERROR(__xludf.DUMMYFUNCTION("""COMPUTED_VALUE"""),42501.0)</f>
        <v>42501</v>
      </c>
      <c r="B936" s="5" t="str">
        <f>IFERROR(__xludf.DUMMYFUNCTION("""COMPUTED_VALUE"""),"Intermediate US bonds (7-10 year)")</f>
        <v>Intermediate US bonds (7-10 year)</v>
      </c>
      <c r="C936" s="5" t="str">
        <f>IFERROR(__xludf.DUMMYFUNCTION("""COMPUTED_VALUE"""),"iShares 7-10 Year Treasury Bond ETF")</f>
        <v>iShares 7-10 Year Treasury Bond ETF</v>
      </c>
      <c r="D936" s="5" t="str">
        <f>IFERROR(__xludf.DUMMYFUNCTION("""COMPUTED_VALUE"""),"DIVIDEND")</f>
        <v>DIVIDEND</v>
      </c>
      <c r="E936" s="5"/>
      <c r="F936" s="5"/>
      <c r="G936" s="10">
        <f>IFERROR(__xludf.DUMMYFUNCTION("""COMPUTED_VALUE"""),4.65)</f>
        <v>4.65</v>
      </c>
    </row>
    <row r="937">
      <c r="A937" s="24">
        <f>IFERROR(__xludf.DUMMYFUNCTION("""COMPUTED_VALUE"""),42478.0)</f>
        <v>42478</v>
      </c>
      <c r="B937" s="5"/>
      <c r="C937" s="5"/>
      <c r="D937" s="5" t="str">
        <f>IFERROR(__xludf.DUMMYFUNCTION("""COMPUTED_VALUE"""),"COST")</f>
        <v>COST</v>
      </c>
      <c r="E937" s="5"/>
      <c r="F937" s="5"/>
      <c r="G937" s="10">
        <f>IFERROR(__xludf.DUMMYFUNCTION("""COMPUTED_VALUE"""),6.89)</f>
        <v>6.89</v>
      </c>
    </row>
    <row r="938">
      <c r="A938" s="24">
        <f>IFERROR(__xludf.DUMMYFUNCTION("""COMPUTED_VALUE"""),42478.0)</f>
        <v>42478</v>
      </c>
      <c r="B938" s="5" t="str">
        <f>IFERROR(__xludf.DUMMYFUNCTION("""COMPUTED_VALUE"""),"Intermediate US bonds (7-10 year)")</f>
        <v>Intermediate US bonds (7-10 year)</v>
      </c>
      <c r="C938" s="5" t="str">
        <f>IFERROR(__xludf.DUMMYFUNCTION("""COMPUTED_VALUE"""),"iShares 7-10 Year Treasury Bond ETF")</f>
        <v>iShares 7-10 Year Treasury Bond ETF</v>
      </c>
      <c r="D938" s="5" t="str">
        <f>IFERROR(__xludf.DUMMYFUNCTION("""COMPUTED_VALUE"""),"BUY")</f>
        <v>BUY</v>
      </c>
      <c r="E938" s="5">
        <f>IFERROR(__xludf.DUMMYFUNCTION("""COMPUTED_VALUE"""),11.0)</f>
        <v>11</v>
      </c>
      <c r="F938" s="25">
        <f>IFERROR(__xludf.DUMMYFUNCTION("""COMPUTED_VALUE"""),97.7077)</f>
        <v>97.7077</v>
      </c>
      <c r="G938" s="10">
        <f>IFERROR(__xludf.DUMMYFUNCTION("""COMPUTED_VALUE"""),-1083.28)</f>
        <v>-1083.28</v>
      </c>
    </row>
    <row r="939">
      <c r="A939" s="24">
        <f>IFERROR(__xludf.DUMMYFUNCTION("""COMPUTED_VALUE"""),42478.0)</f>
        <v>42478</v>
      </c>
      <c r="B939" s="5" t="str">
        <f>IFERROR(__xludf.DUMMYFUNCTION("""COMPUTED_VALUE"""),"Long term US bonds (20-25 year)")</f>
        <v>Long term US bonds (20-25 year)</v>
      </c>
      <c r="C939" s="5" t="str">
        <f>IFERROR(__xludf.DUMMYFUNCTION("""COMPUTED_VALUE"""),"Vanguard Extended Duration Treasury ETF")</f>
        <v>Vanguard Extended Duration Treasury ETF</v>
      </c>
      <c r="D939" s="5" t="str">
        <f>IFERROR(__xludf.DUMMYFUNCTION("""COMPUTED_VALUE"""),"BUY")</f>
        <v>BUY</v>
      </c>
      <c r="E939" s="5">
        <f>IFERROR(__xludf.DUMMYFUNCTION("""COMPUTED_VALUE"""),19.0)</f>
        <v>19</v>
      </c>
      <c r="F939" s="25">
        <f>IFERROR(__xludf.DUMMYFUNCTION("""COMPUTED_VALUE"""),112.6586)</f>
        <v>112.6586</v>
      </c>
      <c r="G939" s="10">
        <f>IFERROR(__xludf.DUMMYFUNCTION("""COMPUTED_VALUE"""),-2149.01)</f>
        <v>-2149.01</v>
      </c>
    </row>
    <row r="940">
      <c r="A940" s="24">
        <f>IFERROR(__xludf.DUMMYFUNCTION("""COMPUTED_VALUE"""),42478.0)</f>
        <v>42478</v>
      </c>
      <c r="B940" s="5" t="str">
        <f>IFERROR(__xludf.DUMMYFUNCTION("""COMPUTED_VALUE"""),"Stocks")</f>
        <v>Stocks</v>
      </c>
      <c r="C940" s="5" t="str">
        <f>IFERROR(__xludf.DUMMYFUNCTION("""COMPUTED_VALUE"""),"Vanguard Total Stock Market ETF")</f>
        <v>Vanguard Total Stock Market ETF</v>
      </c>
      <c r="D940" s="5" t="str">
        <f>IFERROR(__xludf.DUMMYFUNCTION("""COMPUTED_VALUE"""),"BUY")</f>
        <v>BUY</v>
      </c>
      <c r="E940" s="5">
        <f>IFERROR(__xludf.DUMMYFUNCTION("""COMPUTED_VALUE"""),21.0)</f>
        <v>21</v>
      </c>
      <c r="F940" s="25">
        <f>IFERROR(__xludf.DUMMYFUNCTION("""COMPUTED_VALUE"""),94.3352)</f>
        <v>94.3352</v>
      </c>
      <c r="G940" s="10">
        <f>IFERROR(__xludf.DUMMYFUNCTION("""COMPUTED_VALUE"""),-1989.54)</f>
        <v>-1989.54</v>
      </c>
    </row>
    <row r="941">
      <c r="A941" s="24">
        <f>IFERROR(__xludf.DUMMYFUNCTION("""COMPUTED_VALUE"""),42471.0)</f>
        <v>42471</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0">
        <f>IFERROR(__xludf.DUMMYFUNCTION("""COMPUTED_VALUE"""),4.08)</f>
        <v>4.08</v>
      </c>
    </row>
    <row r="942">
      <c r="A942" s="24">
        <f>IFERROR(__xludf.DUMMYFUNCTION("""COMPUTED_VALUE"""),42459.0)</f>
        <v>42459</v>
      </c>
      <c r="B942" s="5" t="str">
        <f>IFERROR(__xludf.DUMMYFUNCTION("""COMPUTED_VALUE"""),"Long term US bonds (20-25 year)")</f>
        <v>Long term US bonds (20-25 year)</v>
      </c>
      <c r="C942" s="5" t="str">
        <f>IFERROR(__xludf.DUMMYFUNCTION("""COMPUTED_VALUE"""),"Vanguard Extended Duration Treasury ETF")</f>
        <v>Vanguard Extended Duration Treasury ETF</v>
      </c>
      <c r="D942" s="5" t="str">
        <f>IFERROR(__xludf.DUMMYFUNCTION("""COMPUTED_VALUE"""),"DIVIDEND")</f>
        <v>DIVIDEND</v>
      </c>
      <c r="E942" s="5"/>
      <c r="F942" s="5"/>
      <c r="G942" s="10">
        <f>IFERROR(__xludf.DUMMYFUNCTION("""COMPUTED_VALUE"""),41.4)</f>
        <v>41.4</v>
      </c>
    </row>
    <row r="943">
      <c r="A943" s="24">
        <f>IFERROR(__xludf.DUMMYFUNCTION("""COMPUTED_VALUE"""),42452.0)</f>
        <v>42452</v>
      </c>
      <c r="B943" s="5" t="str">
        <f>IFERROR(__xludf.DUMMYFUNCTION("""COMPUTED_VALUE"""),"Stocks")</f>
        <v>Stocks</v>
      </c>
      <c r="C943" s="5" t="str">
        <f>IFERROR(__xludf.DUMMYFUNCTION("""COMPUTED_VALUE"""),"Vanguard Total Stock Market ETF")</f>
        <v>Vanguard Total Stock Market ETF</v>
      </c>
      <c r="D943" s="5" t="str">
        <f>IFERROR(__xludf.DUMMYFUNCTION("""COMPUTED_VALUE"""),"DIVIDEND")</f>
        <v>DIVIDEND</v>
      </c>
      <c r="E943" s="5"/>
      <c r="F943" s="5"/>
      <c r="G943" s="10">
        <f>IFERROR(__xludf.DUMMYFUNCTION("""COMPUTED_VALUE"""),23.94)</f>
        <v>23.94</v>
      </c>
    </row>
    <row r="944">
      <c r="A944" s="24">
        <f>IFERROR(__xludf.DUMMYFUNCTION("""COMPUTED_VALUE"""),42437.0)</f>
        <v>42437</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IFERROR(__xludf.DUMMYFUNCTION("""COMPUTED_VALUE"""),3.92)</f>
        <v>3.92</v>
      </c>
    </row>
    <row r="945">
      <c r="A945" s="24">
        <f>IFERROR(__xludf.DUMMYFUNCTION("""COMPUTED_VALUE"""),42409.0)</f>
        <v>42409</v>
      </c>
      <c r="B945" s="5" t="str">
        <f>IFERROR(__xludf.DUMMYFUNCTION("""COMPUTED_VALUE"""),"Intermediate US bonds (7-10 year)")</f>
        <v>Intermediate US bonds (7-10 year)</v>
      </c>
      <c r="C945" s="5" t="str">
        <f>IFERROR(__xludf.DUMMYFUNCTION("""COMPUTED_VALUE"""),"iShares 7-10 Year Treasury Bond ETF")</f>
        <v>iShares 7-10 Year Treasury Bond ETF</v>
      </c>
      <c r="D945" s="5" t="str">
        <f>IFERROR(__xludf.DUMMYFUNCTION("""COMPUTED_VALUE"""),"DIVIDEND")</f>
        <v>DIVIDEND</v>
      </c>
      <c r="E945" s="5"/>
      <c r="F945" s="5"/>
      <c r="G945" s="10">
        <f>IFERROR(__xludf.DUMMYFUNCTION("""COMPUTED_VALUE"""),3.92)</f>
        <v>3.92</v>
      </c>
    </row>
    <row r="946">
      <c r="A946" s="24">
        <f>IFERROR(__xludf.DUMMYFUNCTION("""COMPUTED_VALUE"""),42375.0)</f>
        <v>42375</v>
      </c>
      <c r="B946" s="5"/>
      <c r="C946" s="5"/>
      <c r="D946" s="5" t="str">
        <f>IFERROR(__xludf.DUMMYFUNCTION("""COMPUTED_VALUE"""),"COST")</f>
        <v>COST</v>
      </c>
      <c r="E946" s="5"/>
      <c r="F946" s="5"/>
      <c r="G946" s="10">
        <f>IFERROR(__xludf.DUMMYFUNCTION("""COMPUTED_VALUE"""),-0.22)</f>
        <v>-0.22</v>
      </c>
    </row>
    <row r="947">
      <c r="A947" s="24">
        <f>IFERROR(__xludf.DUMMYFUNCTION("""COMPUTED_VALUE"""),42374.0)</f>
        <v>42374</v>
      </c>
      <c r="B947" s="5" t="str">
        <f>IFERROR(__xludf.DUMMYFUNCTION("""COMPUTED_VALUE"""),"Stocks")</f>
        <v>Stocks</v>
      </c>
      <c r="C947" s="5" t="str">
        <f>IFERROR(__xludf.DUMMYFUNCTION("""COMPUTED_VALUE"""),"Vanguard Total Stock Market ETF")</f>
        <v>Vanguard Total Stock Market ETF</v>
      </c>
      <c r="D947" s="5" t="str">
        <f>IFERROR(__xludf.DUMMYFUNCTION("""COMPUTED_VALUE"""),"DIVIDEND")</f>
        <v>DIVIDEND</v>
      </c>
      <c r="E947" s="5"/>
      <c r="F947" s="5"/>
      <c r="G947" s="10">
        <f>IFERROR(__xludf.DUMMYFUNCTION("""COMPUTED_VALUE"""),29.75)</f>
        <v>29.75</v>
      </c>
    </row>
    <row r="948">
      <c r="A948" s="24">
        <f>IFERROR(__xludf.DUMMYFUNCTION("""COMPUTED_VALUE"""),42374.0)</f>
        <v>42374</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IFERROR(__xludf.DUMMYFUNCTION("""COMPUTED_VALUE"""),4.14)</f>
        <v>4.14</v>
      </c>
    </row>
    <row r="949">
      <c r="A949" s="24">
        <f>IFERROR(__xludf.DUMMYFUNCTION("""COMPUTED_VALUE"""),42373.0)</f>
        <v>42373</v>
      </c>
      <c r="B949" s="5" t="str">
        <f>IFERROR(__xludf.DUMMYFUNCTION("""COMPUTED_VALUE"""),"Long term US bonds (20-25 year)")</f>
        <v>Long term US bonds (20-25 year)</v>
      </c>
      <c r="C949" s="5" t="str">
        <f>IFERROR(__xludf.DUMMYFUNCTION("""COMPUTED_VALUE"""),"Vanguard Extended Duration Treasury ETF")</f>
        <v>Vanguard Extended Duration Treasury ETF</v>
      </c>
      <c r="D949" s="5" t="str">
        <f>IFERROR(__xludf.DUMMYFUNCTION("""COMPUTED_VALUE"""),"DIVIDEND")</f>
        <v>DIVIDEND</v>
      </c>
      <c r="E949" s="5"/>
      <c r="F949" s="5"/>
      <c r="G949" s="10">
        <f>IFERROR(__xludf.DUMMYFUNCTION("""COMPUTED_VALUE"""),61.86)</f>
        <v>61.86</v>
      </c>
    </row>
    <row r="950">
      <c r="A950" s="24">
        <f>IFERROR(__xludf.DUMMYFUNCTION("""COMPUTED_VALUE"""),42373.0)</f>
        <v>42373</v>
      </c>
      <c r="B950" s="5" t="str">
        <f>IFERROR(__xludf.DUMMYFUNCTION("""COMPUTED_VALUE"""),"Long term US bonds (20-25 year)")</f>
        <v>Long term US bonds (20-25 year)</v>
      </c>
      <c r="C950" s="5" t="str">
        <f>IFERROR(__xludf.DUMMYFUNCTION("""COMPUTED_VALUE"""),"Vanguard Extended Duration Treasury ETF")</f>
        <v>Vanguard Extended Duration Treasury ETF</v>
      </c>
      <c r="D950" s="5" t="str">
        <f>IFERROR(__xludf.DUMMYFUNCTION("""COMPUTED_VALUE"""),"DIVIDEND")</f>
        <v>DIVIDEND</v>
      </c>
      <c r="E950" s="5"/>
      <c r="F950" s="5"/>
      <c r="G950" s="10">
        <f>IFERROR(__xludf.DUMMYFUNCTION("""COMPUTED_VALUE"""),1.85)</f>
        <v>1.85</v>
      </c>
    </row>
    <row r="951">
      <c r="A951" s="24">
        <f>IFERROR(__xludf.DUMMYFUNCTION("""COMPUTED_VALUE"""),42373.0)</f>
        <v>42373</v>
      </c>
      <c r="B951" s="5" t="str">
        <f>IFERROR(__xludf.DUMMYFUNCTION("""COMPUTED_VALUE"""),"Long term US bonds (20-25 year)")</f>
        <v>Long term US bonds (20-25 year)</v>
      </c>
      <c r="C951" s="5" t="str">
        <f>IFERROR(__xludf.DUMMYFUNCTION("""COMPUTED_VALUE"""),"Vanguard Extended Duration Treasury ETF")</f>
        <v>Vanguard Extended Duration Treasury ETF</v>
      </c>
      <c r="D951" s="5" t="str">
        <f>IFERROR(__xludf.DUMMYFUNCTION("""COMPUTED_VALUE"""),"DIVIDEND")</f>
        <v>DIVIDEND</v>
      </c>
      <c r="E951" s="5"/>
      <c r="F951" s="5"/>
      <c r="G951" s="10">
        <f>IFERROR(__xludf.DUMMYFUNCTION("""COMPUTED_VALUE"""),87.38)</f>
        <v>87.38</v>
      </c>
    </row>
    <row r="952">
      <c r="A952" s="24">
        <f>IFERROR(__xludf.DUMMYFUNCTION("""COMPUTED_VALUE"""),42348.0)</f>
        <v>42348</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IFERROR(__xludf.DUMMYFUNCTION("""COMPUTED_VALUE"""),"BUY")</f>
        <v>BUY</v>
      </c>
      <c r="E952" s="5">
        <f>IFERROR(__xludf.DUMMYFUNCTION("""COMPUTED_VALUE"""),1.0)</f>
        <v>1</v>
      </c>
      <c r="F952" s="25">
        <f>IFERROR(__xludf.DUMMYFUNCTION("""COMPUTED_VALUE"""),107.2959)</f>
        <v>107.2959</v>
      </c>
      <c r="G952" s="10">
        <f>IFERROR(__xludf.DUMMYFUNCTION("""COMPUTED_VALUE"""),-115.8)</f>
        <v>-115.8</v>
      </c>
    </row>
    <row r="953">
      <c r="A953" s="24">
        <f>IFERROR(__xludf.DUMMYFUNCTION("""COMPUTED_VALUE"""),42348.0)</f>
        <v>42348</v>
      </c>
      <c r="B953" s="5" t="str">
        <f>IFERROR(__xludf.DUMMYFUNCTION("""COMPUTED_VALUE"""),"Stocks")</f>
        <v>Stocks</v>
      </c>
      <c r="C953" s="5" t="str">
        <f>IFERROR(__xludf.DUMMYFUNCTION("""COMPUTED_VALUE"""),"Vanguard Total Stock Market ETF")</f>
        <v>Vanguard Total Stock Market ETF</v>
      </c>
      <c r="D953" s="5" t="str">
        <f>IFERROR(__xludf.DUMMYFUNCTION("""COMPUTED_VALUE"""),"BUY")</f>
        <v>BUY</v>
      </c>
      <c r="E953" s="5">
        <f>IFERROR(__xludf.DUMMYFUNCTION("""COMPUTED_VALUE"""),7.0)</f>
        <v>7</v>
      </c>
      <c r="F953" s="25">
        <f>IFERROR(__xludf.DUMMYFUNCTION("""COMPUTED_VALUE"""),96.1932)</f>
        <v>96.1932</v>
      </c>
      <c r="G953" s="10">
        <f>IFERROR(__xludf.DUMMYFUNCTION("""COMPUTED_VALUE"""),-681.85)</f>
        <v>-681.85</v>
      </c>
    </row>
    <row r="954">
      <c r="A954" s="24">
        <f>IFERROR(__xludf.DUMMYFUNCTION("""COMPUTED_VALUE"""),42348.0)</f>
        <v>42348</v>
      </c>
      <c r="B954" s="5" t="str">
        <f>IFERROR(__xludf.DUMMYFUNCTION("""COMPUTED_VALUE"""),"Gold")</f>
        <v>Gold</v>
      </c>
      <c r="C954" s="5" t="str">
        <f>IFERROR(__xludf.DUMMYFUNCTION("""COMPUTED_VALUE"""),"iShares Gold Trust")</f>
        <v>iShares Gold Trust</v>
      </c>
      <c r="D954" s="5" t="str">
        <f>IFERROR(__xludf.DUMMYFUNCTION("""COMPUTED_VALUE"""),"BUY")</f>
        <v>BUY</v>
      </c>
      <c r="E954" s="5">
        <f>IFERROR(__xludf.DUMMYFUNCTION("""COMPUTED_VALUE"""),17.0)</f>
        <v>17</v>
      </c>
      <c r="F954" s="25">
        <f>IFERROR(__xludf.DUMMYFUNCTION("""COMPUTED_VALUE"""),9.4474)</f>
        <v>9.4474</v>
      </c>
      <c r="G954" s="10">
        <f>IFERROR(__xludf.DUMMYFUNCTION("""COMPUTED_VALUE"""),-169.11)</f>
        <v>-169.11</v>
      </c>
    </row>
    <row r="955">
      <c r="A955" s="24">
        <f>IFERROR(__xludf.DUMMYFUNCTION("""COMPUTED_VALUE"""),42348.0)</f>
        <v>42348</v>
      </c>
      <c r="B955" s="5" t="str">
        <f>IFERROR(__xludf.DUMMYFUNCTION("""COMPUTED_VALUE"""),"Intermediate US bonds (7-10 year)")</f>
        <v>Intermediate US bonds (7-10 year)</v>
      </c>
      <c r="C955" s="5" t="str">
        <f>IFERROR(__xludf.DUMMYFUNCTION("""COMPUTED_VALUE"""),"iShares 7-10 Year Treasury Bond ETF")</f>
        <v>iShares 7-10 Year Treasury Bond ETF</v>
      </c>
      <c r="D955" s="5" t="str">
        <f>IFERROR(__xludf.DUMMYFUNCTION("""COMPUTED_VALUE"""),"BUY")</f>
        <v>BUY</v>
      </c>
      <c r="E955" s="5">
        <f>IFERROR(__xludf.DUMMYFUNCTION("""COMPUTED_VALUE"""),1.0)</f>
        <v>1</v>
      </c>
      <c r="F955" s="25">
        <f>IFERROR(__xludf.DUMMYFUNCTION("""COMPUTED_VALUE"""),97.2815)</f>
        <v>97.2815</v>
      </c>
      <c r="G955" s="10">
        <f>IFERROR(__xludf.DUMMYFUNCTION("""COMPUTED_VALUE"""),-105.78)</f>
        <v>-105.78</v>
      </c>
    </row>
    <row r="956">
      <c r="A956" s="24">
        <f>IFERROR(__xludf.DUMMYFUNCTION("""COMPUTED_VALUE"""),42348.0)</f>
        <v>42348</v>
      </c>
      <c r="B956" s="5" t="str">
        <f>IFERROR(__xludf.DUMMYFUNCTION("""COMPUTED_VALUE"""),"Commodities")</f>
        <v>Commodities</v>
      </c>
      <c r="C956" s="5" t="str">
        <f>IFERROR(__xludf.DUMMYFUNCTION("""COMPUTED_VALUE"""),"iShares Diversified Commodity Swap UCITS ETF DE")</f>
        <v>iShares Diversified Commodity Swap UCITS ETF DE</v>
      </c>
      <c r="D956" s="5" t="str">
        <f>IFERROR(__xludf.DUMMYFUNCTION("""COMPUTED_VALUE"""),"BUY")</f>
        <v>BUY</v>
      </c>
      <c r="E956" s="5">
        <f>IFERROR(__xludf.DUMMYFUNCTION("""COMPUTED_VALUE"""),30.0)</f>
        <v>30</v>
      </c>
      <c r="F956" s="25">
        <f>IFERROR(__xludf.DUMMYFUNCTION("""COMPUTED_VALUE"""),13.1056)</f>
        <v>13.1056</v>
      </c>
      <c r="G956" s="10">
        <f>IFERROR(__xludf.DUMMYFUNCTION("""COMPUTED_VALUE"""),-401.67)</f>
        <v>-401.67</v>
      </c>
    </row>
    <row r="957">
      <c r="A957" s="24">
        <f>IFERROR(__xludf.DUMMYFUNCTION("""COMPUTED_VALUE"""),42347.0)</f>
        <v>42347</v>
      </c>
      <c r="B957" s="5" t="str">
        <f>IFERROR(__xludf.DUMMYFUNCTION("""COMPUTED_VALUE"""),"Intermediate US bonds (7-10 year)")</f>
        <v>Intermediate US bonds (7-10 year)</v>
      </c>
      <c r="C957" s="5" t="str">
        <f>IFERROR(__xludf.DUMMYFUNCTION("""COMPUTED_VALUE"""),"iShares 7-10 Year Treasury Bond ETF")</f>
        <v>iShares 7-10 Year Treasury Bond ETF</v>
      </c>
      <c r="D957" s="5" t="str">
        <f>IFERROR(__xludf.DUMMYFUNCTION("""COMPUTED_VALUE"""),"DIVIDEND")</f>
        <v>DIVIDEND</v>
      </c>
      <c r="E957" s="5"/>
      <c r="F957" s="5"/>
      <c r="G957" s="10">
        <f>IFERROR(__xludf.DUMMYFUNCTION("""COMPUTED_VALUE"""),4.1)</f>
        <v>4.1</v>
      </c>
    </row>
    <row r="958">
      <c r="A958" s="24">
        <f>IFERROR(__xludf.DUMMYFUNCTION("""COMPUTED_VALUE"""),42318.0)</f>
        <v>42318</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IFERROR(__xludf.DUMMYFUNCTION("""COMPUTED_VALUE"""),"DIVIDEND")</f>
        <v>DIVIDEND</v>
      </c>
      <c r="E958" s="5"/>
      <c r="F958" s="5"/>
      <c r="G958" s="10">
        <f>IFERROR(__xludf.DUMMYFUNCTION("""COMPUTED_VALUE"""),4.09)</f>
        <v>4.09</v>
      </c>
    </row>
    <row r="959">
      <c r="A959" s="24">
        <f>IFERROR(__xludf.DUMMYFUNCTION("""COMPUTED_VALUE"""),42314.0)</f>
        <v>42314</v>
      </c>
      <c r="B959" s="5" t="str">
        <f>IFERROR(__xludf.DUMMYFUNCTION("""COMPUTED_VALUE"""),"Stocks")</f>
        <v>Stocks</v>
      </c>
      <c r="C959" s="5" t="str">
        <f>IFERROR(__xludf.DUMMYFUNCTION("""COMPUTED_VALUE"""),"Vanguard Total Stock Market ETF")</f>
        <v>Vanguard Total Stock Market ETF</v>
      </c>
      <c r="D959" s="5" t="str">
        <f>IFERROR(__xludf.DUMMYFUNCTION("""COMPUTED_VALUE"""),"BUY")</f>
        <v>BUY</v>
      </c>
      <c r="E959" s="5">
        <f>IFERROR(__xludf.DUMMYFUNCTION("""COMPUTED_VALUE"""),8.0)</f>
        <v>8</v>
      </c>
      <c r="F959" s="25">
        <f>IFERROR(__xludf.DUMMYFUNCTION("""COMPUTED_VALUE"""),98.96531)</f>
        <v>98.96531</v>
      </c>
      <c r="G959" s="10">
        <f>IFERROR(__xludf.DUMMYFUNCTION("""COMPUTED_VALUE"""),-800.22)</f>
        <v>-800.22</v>
      </c>
    </row>
    <row r="960">
      <c r="A960" s="24">
        <f>IFERROR(__xludf.DUMMYFUNCTION("""COMPUTED_VALUE"""),42314.0)</f>
        <v>42314</v>
      </c>
      <c r="B960" s="5" t="str">
        <f>IFERROR(__xludf.DUMMYFUNCTION("""COMPUTED_VALUE"""),"Long term US bonds (20-25 year)")</f>
        <v>Long term US bonds (20-25 year)</v>
      </c>
      <c r="C960" s="5" t="str">
        <f>IFERROR(__xludf.DUMMYFUNCTION("""COMPUTED_VALUE"""),"Vanguard Extended Duration Treasury ETF")</f>
        <v>Vanguard Extended Duration Treasury ETF</v>
      </c>
      <c r="D960" s="5" t="str">
        <f>IFERROR(__xludf.DUMMYFUNCTION("""COMPUTED_VALUE"""),"BUY")</f>
        <v>BUY</v>
      </c>
      <c r="E960" s="5">
        <f>IFERROR(__xludf.DUMMYFUNCTION("""COMPUTED_VALUE"""),9.0)</f>
        <v>9</v>
      </c>
      <c r="F960" s="25">
        <f>IFERROR(__xludf.DUMMYFUNCTION("""COMPUTED_VALUE"""),104.23462)</f>
        <v>104.23462</v>
      </c>
      <c r="G960" s="10">
        <f>IFERROR(__xludf.DUMMYFUNCTION("""COMPUTED_VALUE"""),-946.61)</f>
        <v>-946.61</v>
      </c>
    </row>
    <row r="961">
      <c r="A961" s="24">
        <f>IFERROR(__xludf.DUMMYFUNCTION("""COMPUTED_VALUE"""),42314.0)</f>
        <v>42314</v>
      </c>
      <c r="B961" s="5" t="str">
        <f>IFERROR(__xludf.DUMMYFUNCTION("""COMPUTED_VALUE"""),"Commodities")</f>
        <v>Commodities</v>
      </c>
      <c r="C961" s="5" t="str">
        <f>IFERROR(__xludf.DUMMYFUNCTION("""COMPUTED_VALUE"""),"iShares Diversified Commodity Swap UCITS ETF DE")</f>
        <v>iShares Diversified Commodity Swap UCITS ETF DE</v>
      </c>
      <c r="D961" s="5" t="str">
        <f>IFERROR(__xludf.DUMMYFUNCTION("""COMPUTED_VALUE"""),"BUY")</f>
        <v>BUY</v>
      </c>
      <c r="E961" s="5">
        <f>IFERROR(__xludf.DUMMYFUNCTION("""COMPUTED_VALUE"""),2.0)</f>
        <v>2</v>
      </c>
      <c r="F961" s="25">
        <f>IFERROR(__xludf.DUMMYFUNCTION("""COMPUTED_VALUE"""),14.30627)</f>
        <v>14.30627</v>
      </c>
      <c r="G961" s="10">
        <f>IFERROR(__xludf.DUMMYFUNCTION("""COMPUTED_VALUE"""),-37.11)</f>
        <v>-37.11</v>
      </c>
    </row>
    <row r="962">
      <c r="A962" s="24">
        <f>IFERROR(__xludf.DUMMYFUNCTION("""COMPUTED_VALUE"""),42314.0)</f>
        <v>42314</v>
      </c>
      <c r="B962" s="5" t="str">
        <f>IFERROR(__xludf.DUMMYFUNCTION("""COMPUTED_VALUE"""),"Gold")</f>
        <v>Gold</v>
      </c>
      <c r="C962" s="5" t="str">
        <f>IFERROR(__xludf.DUMMYFUNCTION("""COMPUTED_VALUE"""),"iShares Gold Trust")</f>
        <v>iShares Gold Trust</v>
      </c>
      <c r="D962" s="5" t="str">
        <f>IFERROR(__xludf.DUMMYFUNCTION("""COMPUTED_VALUE"""),"BUY")</f>
        <v>BUY</v>
      </c>
      <c r="E962" s="5">
        <f>IFERROR(__xludf.DUMMYFUNCTION("""COMPUTED_VALUE"""),20.0)</f>
        <v>20</v>
      </c>
      <c r="F962" s="25">
        <f>IFERROR(__xludf.DUMMYFUNCTION("""COMPUTED_VALUE"""),9.70023)</f>
        <v>9.70023</v>
      </c>
      <c r="G962" s="10">
        <f>IFERROR(__xludf.DUMMYFUNCTION("""COMPUTED_VALUE"""),-202.5)</f>
        <v>-202.5</v>
      </c>
    </row>
    <row r="963">
      <c r="A963" s="24">
        <f>IFERROR(__xludf.DUMMYFUNCTION("""COMPUTED_VALUE"""),42303.0)</f>
        <v>42303</v>
      </c>
      <c r="B963" s="5" t="str">
        <f>IFERROR(__xludf.DUMMYFUNCTION("""COMPUTED_VALUE"""),"Gold")</f>
        <v>Gold</v>
      </c>
      <c r="C963" s="5" t="str">
        <f>IFERROR(__xludf.DUMMYFUNCTION("""COMPUTED_VALUE"""),"iShares Gold Trust")</f>
        <v>iShares Gold Trust</v>
      </c>
      <c r="D963" s="24" t="str">
        <f>IFERROR(__xludf.DUMMYFUNCTION("""COMPUTED_VALUE"""),"BUY")</f>
        <v>BUY</v>
      </c>
      <c r="E963" s="5">
        <f>IFERROR(__xludf.DUMMYFUNCTION("""COMPUTED_VALUE"""),255.0)</f>
        <v>255</v>
      </c>
      <c r="F963" s="25">
        <f>IFERROR(__xludf.DUMMYFUNCTION("""COMPUTED_VALUE"""),10.2342)</f>
        <v>10.2342</v>
      </c>
      <c r="G963" s="10">
        <f>IFERROR(__xludf.DUMMYFUNCTION("""COMPUTED_VALUE"""),-2618.23)</f>
        <v>-2618.23</v>
      </c>
    </row>
    <row r="964">
      <c r="A964" s="24">
        <f>IFERROR(__xludf.DUMMYFUNCTION("""COMPUTED_VALUE"""),42303.0)</f>
        <v>42303</v>
      </c>
      <c r="B964" s="5" t="str">
        <f>IFERROR(__xludf.DUMMYFUNCTION("""COMPUTED_VALUE"""),"Intermediate US bonds (7-10 year)")</f>
        <v>Intermediate US bonds (7-10 year)</v>
      </c>
      <c r="C964" s="5" t="str">
        <f>IFERROR(__xludf.DUMMYFUNCTION("""COMPUTED_VALUE"""),"iShares 7-10 Year Treasury Bond ETF")</f>
        <v>iShares 7-10 Year Treasury Bond ETF</v>
      </c>
      <c r="D964" s="24" t="str">
        <f>IFERROR(__xludf.DUMMYFUNCTION("""COMPUTED_VALUE"""),"BUY")</f>
        <v>BUY</v>
      </c>
      <c r="E964" s="5">
        <f>IFERROR(__xludf.DUMMYFUNCTION("""COMPUTED_VALUE"""),55.0)</f>
        <v>55</v>
      </c>
      <c r="F964" s="25">
        <f>IFERROR(__xludf.DUMMYFUNCTION("""COMPUTED_VALUE"""),97.8714)</f>
        <v>97.8714</v>
      </c>
      <c r="G964" s="10">
        <f>IFERROR(__xludf.DUMMYFUNCTION("""COMPUTED_VALUE"""),-5391.43)</f>
        <v>-5391.43</v>
      </c>
    </row>
    <row r="965">
      <c r="A965" s="24">
        <f>IFERROR(__xludf.DUMMYFUNCTION("""COMPUTED_VALUE"""),42303.0)</f>
        <v>42303</v>
      </c>
      <c r="B965" s="5" t="str">
        <f>IFERROR(__xludf.DUMMYFUNCTION("""COMPUTED_VALUE"""),"Commodities")</f>
        <v>Commodities</v>
      </c>
      <c r="C965" s="5" t="str">
        <f>IFERROR(__xludf.DUMMYFUNCTION("""COMPUTED_VALUE"""),"iShares Diversified Commodity Swap UCITS ETF DE")</f>
        <v>iShares Diversified Commodity Swap UCITS ETF DE</v>
      </c>
      <c r="D965" s="24" t="str">
        <f>IFERROR(__xludf.DUMMYFUNCTION("""COMPUTED_VALUE"""),"BUY")</f>
        <v>BUY</v>
      </c>
      <c r="E965" s="5">
        <f>IFERROR(__xludf.DUMMYFUNCTION("""COMPUTED_VALUE"""),179.0)</f>
        <v>179</v>
      </c>
      <c r="F965" s="25">
        <f>IFERROR(__xludf.DUMMYFUNCTION("""COMPUTED_VALUE"""),14.3383)</f>
        <v>14.3383</v>
      </c>
      <c r="G965" s="10">
        <f>IFERROR(__xludf.DUMMYFUNCTION("""COMPUTED_VALUE"""),-2575.06)</f>
        <v>-2575.06</v>
      </c>
    </row>
    <row r="966">
      <c r="A966" s="24">
        <f>IFERROR(__xludf.DUMMYFUNCTION("""COMPUTED_VALUE"""),42303.0)</f>
        <v>42303</v>
      </c>
      <c r="B966" s="5" t="str">
        <f>IFERROR(__xludf.DUMMYFUNCTION("""COMPUTED_VALUE"""),"Long term US bonds (20-25 year)")</f>
        <v>Long term US bonds (20-25 year)</v>
      </c>
      <c r="C966" s="5" t="str">
        <f>IFERROR(__xludf.DUMMYFUNCTION("""COMPUTED_VALUE"""),"Vanguard Extended Duration Treasury ETF")</f>
        <v>Vanguard Extended Duration Treasury ETF</v>
      </c>
      <c r="D966" s="24" t="str">
        <f>IFERROR(__xludf.DUMMYFUNCTION("""COMPUTED_VALUE"""),"BUY")</f>
        <v>BUY</v>
      </c>
      <c r="E966" s="5">
        <f>IFERROR(__xludf.DUMMYFUNCTION("""COMPUTED_VALUE"""),127.0)</f>
        <v>127</v>
      </c>
      <c r="F966" s="25">
        <f>IFERROR(__xludf.DUMMYFUNCTION("""COMPUTED_VALUE"""),108.0799)</f>
        <v>108.0799</v>
      </c>
      <c r="G966" s="10">
        <f>IFERROR(__xludf.DUMMYFUNCTION("""COMPUTED_VALUE"""),-13738.49)</f>
        <v>-13738.49</v>
      </c>
    </row>
    <row r="967">
      <c r="A967" s="24">
        <f>IFERROR(__xludf.DUMMYFUNCTION("""COMPUTED_VALUE"""),42303.0)</f>
        <v>42303</v>
      </c>
      <c r="B967" s="5" t="str">
        <f>IFERROR(__xludf.DUMMYFUNCTION("""COMPUTED_VALUE"""),"Stocks")</f>
        <v>Stocks</v>
      </c>
      <c r="C967" s="5" t="str">
        <f>IFERROR(__xludf.DUMMYFUNCTION("""COMPUTED_VALUE"""),"Vanguard Total Stock Market ETF")</f>
        <v>Vanguard Total Stock Market ETF</v>
      </c>
      <c r="D967" s="24" t="str">
        <f>IFERROR(__xludf.DUMMYFUNCTION("""COMPUTED_VALUE"""),"BUY")</f>
        <v>BUY</v>
      </c>
      <c r="E967" s="5">
        <f>IFERROR(__xludf.DUMMYFUNCTION("""COMPUTED_VALUE"""),100.0)</f>
        <v>100</v>
      </c>
      <c r="F967" s="25">
        <f>IFERROR(__xludf.DUMMYFUNCTION("""COMPUTED_VALUE"""),95.7279)</f>
        <v>95.7279</v>
      </c>
      <c r="G967" s="10">
        <f>IFERROR(__xludf.DUMMYFUNCTION("""COMPUTED_VALUE"""),-9581.29)</f>
        <v>-9581.29</v>
      </c>
    </row>
    <row r="968">
      <c r="A968" s="24">
        <f>IFERROR(__xludf.DUMMYFUNCTION("""COMPUTED_VALUE"""),42302.0)</f>
        <v>42302</v>
      </c>
      <c r="B968" s="5"/>
      <c r="C968" s="5" t="str">
        <f>IFERROR(__xludf.DUMMYFUNCTION("""COMPUTED_VALUE"""),"TOTAL GABON")</f>
        <v>TOTAL GABON</v>
      </c>
      <c r="D968" s="5" t="str">
        <f>IFERROR(__xludf.DUMMYFUNCTION("""COMPUTED_VALUE"""),"SELL")</f>
        <v>SELL</v>
      </c>
      <c r="E968" s="5">
        <f>IFERROR(__xludf.DUMMYFUNCTION("""COMPUTED_VALUE"""),-117.0)</f>
        <v>-117</v>
      </c>
      <c r="F968" s="25">
        <f>IFERROR(__xludf.DUMMYFUNCTION("""COMPUTED_VALUE"""),184.14)</f>
        <v>184.14</v>
      </c>
      <c r="G968" s="10">
        <f>IFERROR(__xludf.DUMMYFUNCTION("""COMPUTED_VALUE"""),21524.99)</f>
        <v>21524.99</v>
      </c>
    </row>
    <row r="969">
      <c r="A969" s="24">
        <f>IFERROR(__xludf.DUMMYFUNCTION("""COMPUTED_VALUE"""),42297.0)</f>
        <v>42297</v>
      </c>
      <c r="B969" s="5"/>
      <c r="C969" s="5"/>
      <c r="D969" s="5" t="str">
        <f>IFERROR(__xludf.DUMMYFUNCTION("""COMPUTED_VALUE"""),"APPROVISIONNEMENT")</f>
        <v>APPROVISIONNEMENT</v>
      </c>
      <c r="E969" s="5"/>
      <c r="F969" s="5"/>
      <c r="G969" s="10">
        <f>IFERROR(__xludf.DUMMYFUNCTION("""COMPUTED_VALUE"""),12000.0)</f>
        <v>12000</v>
      </c>
    </row>
    <row r="970">
      <c r="A970" s="24">
        <f>IFERROR(__xludf.DUMMYFUNCTION("""COMPUTED_VALUE"""),42297.0)</f>
        <v>42297</v>
      </c>
      <c r="B970" s="5"/>
      <c r="C970" s="5"/>
      <c r="D970" s="5" t="str">
        <f>IFERROR(__xludf.DUMMYFUNCTION("""COMPUTED_VALUE"""),"APPROVISIONNEMENT")</f>
        <v>APPROVISIONNEMENT</v>
      </c>
      <c r="E970" s="5"/>
      <c r="F970" s="5"/>
      <c r="G970" s="10">
        <f>IFERROR(__xludf.DUMMYFUNCTION("""COMPUTED_VALUE"""),30356.53)</f>
        <v>30356.53</v>
      </c>
    </row>
    <row r="971">
      <c r="A971" s="24">
        <f>IFERROR(__xludf.DUMMYFUNCTION("""COMPUTED_VALUE"""),42277.0)</f>
        <v>42277</v>
      </c>
      <c r="B971" s="5"/>
      <c r="C971" s="5"/>
      <c r="D971" s="5" t="str">
        <f>IFERROR(__xludf.DUMMYFUNCTION("""COMPUTED_VALUE"""),"APPROVISIONNEMENT")</f>
        <v>APPROVISIONNEMENT</v>
      </c>
      <c r="E971" s="5"/>
      <c r="F971" s="5"/>
      <c r="G971" s="10">
        <f>IFERROR(__xludf.DUMMYFUNCTION("""COMPUTED_VALUE"""),-30356.53)</f>
        <v>-30356.53</v>
      </c>
    </row>
    <row r="972">
      <c r="A972" s="24">
        <f>IFERROR(__xludf.DUMMYFUNCTION("""COMPUTED_VALUE"""),42173.0)</f>
        <v>42173</v>
      </c>
      <c r="B972" s="5"/>
      <c r="C972" s="5" t="str">
        <f>IFERROR(__xludf.DUMMYFUNCTION("""COMPUTED_VALUE"""),"TOTAL GABON")</f>
        <v>TOTAL GABON</v>
      </c>
      <c r="D972" s="5" t="str">
        <f>IFERROR(__xludf.DUMMYFUNCTION("""COMPUTED_VALUE"""),"DIVIDEND")</f>
        <v>DIVIDEND</v>
      </c>
      <c r="E972" s="5"/>
      <c r="F972" s="5"/>
      <c r="G972" s="10">
        <f>IFERROR(__xludf.DUMMYFUNCTION("""COMPUTED_VALUE"""),684.3)</f>
        <v>684.3</v>
      </c>
    </row>
    <row r="973">
      <c r="A973" s="24">
        <f>IFERROR(__xludf.DUMMYFUNCTION("""COMPUTED_VALUE"""),41983.0)</f>
        <v>41983</v>
      </c>
      <c r="B973" s="5"/>
      <c r="C973" s="5" t="str">
        <f>IFERROR(__xludf.DUMMYFUNCTION("""COMPUTED_VALUE"""),"TOTAL GABON")</f>
        <v>TOTAL GABON</v>
      </c>
      <c r="D973" s="5" t="str">
        <f>IFERROR(__xludf.DUMMYFUNCTION("""COMPUTED_VALUE"""),"SELL")</f>
        <v>SELL</v>
      </c>
      <c r="E973" s="5">
        <f>IFERROR(__xludf.DUMMYFUNCTION("""COMPUTED_VALUE"""),-21.0)</f>
        <v>-21</v>
      </c>
      <c r="F973" s="25">
        <f>IFERROR(__xludf.DUMMYFUNCTION("""COMPUTED_VALUE"""),305.05)</f>
        <v>305.05</v>
      </c>
      <c r="G973" s="10">
        <f>IFERROR(__xludf.DUMMYFUNCTION("""COMPUTED_VALUE"""),6400.28)</f>
        <v>6400.28</v>
      </c>
    </row>
    <row r="974">
      <c r="A974" s="24">
        <f>IFERROR(__xludf.DUMMYFUNCTION("""COMPUTED_VALUE"""),41982.0)</f>
        <v>41982</v>
      </c>
      <c r="B974" s="5"/>
      <c r="C974" s="5"/>
      <c r="D974" s="5" t="str">
        <f>IFERROR(__xludf.DUMMYFUNCTION("""COMPUTED_VALUE"""),"COST")</f>
        <v>COST</v>
      </c>
      <c r="E974" s="5"/>
      <c r="F974" s="5"/>
      <c r="G974" s="10">
        <f>IFERROR(__xludf.DUMMYFUNCTION("""COMPUTED_VALUE"""),-6.0)</f>
        <v>-6</v>
      </c>
    </row>
    <row r="975">
      <c r="A975" s="24">
        <f>IFERROR(__xludf.DUMMYFUNCTION("""COMPUTED_VALUE"""),41981.0)</f>
        <v>41981</v>
      </c>
      <c r="B975" s="5"/>
      <c r="C975" s="5"/>
      <c r="D975" s="5" t="str">
        <f>IFERROR(__xludf.DUMMYFUNCTION("""COMPUTED_VALUE"""),"APPROVISIONNEMENT")</f>
        <v>APPROVISIONNEMENT</v>
      </c>
      <c r="E975" s="5"/>
      <c r="F975" s="5"/>
      <c r="G975" s="10">
        <f>IFERROR(__xludf.DUMMYFUNCTION("""COMPUTED_VALUE"""),-13500.0)</f>
        <v>-13500</v>
      </c>
    </row>
    <row r="976">
      <c r="A976" s="24">
        <f>IFERROR(__xludf.DUMMYFUNCTION("""COMPUTED_VALUE"""),41981.0)</f>
        <v>41981</v>
      </c>
      <c r="B976" s="5"/>
      <c r="C976" s="5"/>
      <c r="D976" s="5" t="str">
        <f>IFERROR(__xludf.DUMMYFUNCTION("""COMPUTED_VALUE"""),"APPROVISIONNEMENT")</f>
        <v>APPROVISIONNEMENT</v>
      </c>
      <c r="E976" s="5"/>
      <c r="F976" s="5"/>
      <c r="G976" s="10">
        <f>IFERROR(__xludf.DUMMYFUNCTION("""COMPUTED_VALUE"""),7020.41)</f>
        <v>7020.41</v>
      </c>
    </row>
    <row r="977">
      <c r="A977" s="24">
        <f>IFERROR(__xludf.DUMMYFUNCTION("""COMPUTED_VALUE"""),41933.0)</f>
        <v>41933</v>
      </c>
      <c r="B977" s="5"/>
      <c r="C977" s="5" t="str">
        <f>IFERROR(__xludf.DUMMYFUNCTION("""COMPUTED_VALUE"""),"TOTAL GABON")</f>
        <v>TOTAL GABON</v>
      </c>
      <c r="D977" s="5" t="str">
        <f>IFERROR(__xludf.DUMMYFUNCTION("""COMPUTED_VALUE"""),"BUY")</f>
        <v>BUY</v>
      </c>
      <c r="E977" s="5">
        <f>IFERROR(__xludf.DUMMYFUNCTION("""COMPUTED_VALUE"""),38.0)</f>
        <v>38</v>
      </c>
      <c r="F977" s="25">
        <f>IFERROR(__xludf.DUMMYFUNCTION("""COMPUTED_VALUE"""),346.34)</f>
        <v>346.34</v>
      </c>
      <c r="G977" s="10">
        <f>IFERROR(__xludf.DUMMYFUNCTION("""COMPUTED_VALUE"""),-13172.76)</f>
        <v>-13172.76</v>
      </c>
    </row>
    <row r="978">
      <c r="A978" s="24">
        <f>IFERROR(__xludf.DUMMYFUNCTION("""COMPUTED_VALUE"""),41887.0)</f>
        <v>41887</v>
      </c>
      <c r="B978" s="5"/>
      <c r="C978" s="5" t="str">
        <f>IFERROR(__xludf.DUMMYFUNCTION("""COMPUTED_VALUE"""),"EDF")</f>
        <v>EDF</v>
      </c>
      <c r="D978" s="5" t="str">
        <f>IFERROR(__xludf.DUMMYFUNCTION("""COMPUTED_VALUE"""),"SELL")</f>
        <v>SELL</v>
      </c>
      <c r="E978" s="5">
        <f>IFERROR(__xludf.DUMMYFUNCTION("""COMPUTED_VALUE"""),-525.0)</f>
        <v>-525</v>
      </c>
      <c r="F978" s="25">
        <f>IFERROR(__xludf.DUMMYFUNCTION("""COMPUTED_VALUE"""),25.3755)</f>
        <v>25.3755</v>
      </c>
      <c r="G978" s="10">
        <f>IFERROR(__xludf.DUMMYFUNCTION("""COMPUTED_VALUE"""),13310.15)</f>
        <v>13310.15</v>
      </c>
    </row>
    <row r="979">
      <c r="A979" s="24">
        <f>IFERROR(__xludf.DUMMYFUNCTION("""COMPUTED_VALUE"""),41821.0)</f>
        <v>41821</v>
      </c>
      <c r="B979" s="5"/>
      <c r="C979" s="5" t="str">
        <f>IFERROR(__xludf.DUMMYFUNCTION("""COMPUTED_VALUE"""),"EDF")</f>
        <v>EDF</v>
      </c>
      <c r="D979" s="5" t="str">
        <f>IFERROR(__xludf.DUMMYFUNCTION("""COMPUTED_VALUE"""),"COST")</f>
        <v>COST</v>
      </c>
      <c r="E979" s="5"/>
      <c r="F979" s="5"/>
      <c r="G979" s="10">
        <f>IFERROR(__xludf.DUMMYFUNCTION("""COMPUTED_VALUE"""),-24.17)</f>
        <v>-24.17</v>
      </c>
    </row>
    <row r="980">
      <c r="A980" s="24">
        <f>IFERROR(__xludf.DUMMYFUNCTION("""COMPUTED_VALUE"""),41821.0)</f>
        <v>41821</v>
      </c>
      <c r="B980" s="5"/>
      <c r="C980" s="5" t="str">
        <f>IFERROR(__xludf.DUMMYFUNCTION("""COMPUTED_VALUE"""),"EDF")</f>
        <v>EDF</v>
      </c>
      <c r="D980" s="5" t="str">
        <f>IFERROR(__xludf.DUMMYFUNCTION("""COMPUTED_VALUE"""),"BUY")</f>
        <v>BUY</v>
      </c>
      <c r="E980" s="5">
        <f>IFERROR(__xludf.DUMMYFUNCTION("""COMPUTED_VALUE"""),525.0)</f>
        <v>525</v>
      </c>
      <c r="F980" s="25">
        <f>IFERROR(__xludf.DUMMYFUNCTION("""COMPUTED_VALUE"""),23.02)</f>
        <v>23.02</v>
      </c>
      <c r="G980" s="10">
        <f>IFERROR(__xludf.DUMMYFUNCTION("""COMPUTED_VALUE"""),-12096.38)</f>
        <v>-12096.38</v>
      </c>
    </row>
    <row r="981">
      <c r="A981" s="24">
        <f>IFERROR(__xludf.DUMMYFUNCTION("""COMPUTED_VALUE"""),41816.0)</f>
        <v>41816</v>
      </c>
      <c r="B981" s="5"/>
      <c r="C981" s="5" t="str">
        <f>IFERROR(__xludf.DUMMYFUNCTION("""COMPUTED_VALUE"""),"BOUYGUES")</f>
        <v>BOUYGUES</v>
      </c>
      <c r="D981" s="5" t="str">
        <f>IFERROR(__xludf.DUMMYFUNCTION("""COMPUTED_VALUE"""),"SELL")</f>
        <v>SELL</v>
      </c>
      <c r="E981" s="5">
        <f>IFERROR(__xludf.DUMMYFUNCTION("""COMPUTED_VALUE"""),-345.0)</f>
        <v>-345</v>
      </c>
      <c r="F981" s="25">
        <f>IFERROR(__xludf.DUMMYFUNCTION("""COMPUTED_VALUE"""),31.1974)</f>
        <v>31.1974</v>
      </c>
      <c r="G981" s="10">
        <f>IFERROR(__xludf.DUMMYFUNCTION("""COMPUTED_VALUE"""),10753.41)</f>
        <v>10753.41</v>
      </c>
    </row>
    <row r="982">
      <c r="A982" s="24">
        <f>IFERROR(__xludf.DUMMYFUNCTION("""COMPUTED_VALUE"""),41809.0)</f>
        <v>41809</v>
      </c>
      <c r="B982" s="5"/>
      <c r="C982" s="5" t="str">
        <f>IFERROR(__xludf.DUMMYFUNCTION("""COMPUTED_VALUE"""),"TOTAL GABON")</f>
        <v>TOTAL GABON</v>
      </c>
      <c r="D982" s="5" t="str">
        <f>IFERROR(__xludf.DUMMYFUNCTION("""COMPUTED_VALUE"""),"DIVIDEND")</f>
        <v>DIVIDEND</v>
      </c>
      <c r="E982" s="5"/>
      <c r="F982" s="5"/>
      <c r="G982" s="10">
        <f>IFERROR(__xludf.DUMMYFUNCTION("""COMPUTED_VALUE"""),1586.91)</f>
        <v>1586.91</v>
      </c>
    </row>
    <row r="983">
      <c r="A983" s="24">
        <f>IFERROR(__xludf.DUMMYFUNCTION("""COMPUTED_VALUE"""),41794.0)</f>
        <v>41794</v>
      </c>
      <c r="B983" s="5"/>
      <c r="C983" s="5" t="str">
        <f>IFERROR(__xludf.DUMMYFUNCTION("""COMPUTED_VALUE"""),"BOUYGUES")</f>
        <v>BOUYGUES</v>
      </c>
      <c r="D983" s="5" t="str">
        <f>IFERROR(__xludf.DUMMYFUNCTION("""COMPUTED_VALUE"""),"DIVIDEND")</f>
        <v>DIVIDEND</v>
      </c>
      <c r="E983" s="5"/>
      <c r="F983" s="5"/>
      <c r="G983" s="10">
        <f>IFERROR(__xludf.DUMMYFUNCTION("""COMPUTED_VALUE"""),330.2)</f>
        <v>330.2</v>
      </c>
    </row>
    <row r="984">
      <c r="A984" s="24">
        <f>IFERROR(__xludf.DUMMYFUNCTION("""COMPUTED_VALUE"""),41764.0)</f>
        <v>41764</v>
      </c>
      <c r="B984" s="5"/>
      <c r="C984" s="5" t="str">
        <f>IFERROR(__xludf.DUMMYFUNCTION("""COMPUTED_VALUE"""),"BOUYGUES")</f>
        <v>BOUYGUES</v>
      </c>
      <c r="D984" s="5" t="str">
        <f>IFERROR(__xludf.DUMMYFUNCTION("""COMPUTED_VALUE"""),"COST")</f>
        <v>COST</v>
      </c>
      <c r="E984" s="5">
        <f>IFERROR(__xludf.DUMMYFUNCTION("""COMPUTED_VALUE"""),20.0)</f>
        <v>20</v>
      </c>
      <c r="F984" s="25">
        <f>IFERROR(__xludf.DUMMYFUNCTION("""COMPUTED_VALUE"""),25.21)</f>
        <v>25.21</v>
      </c>
      <c r="G984" s="10">
        <f>IFERROR(__xludf.DUMMYFUNCTION("""COMPUTED_VALUE"""),0.0)</f>
        <v>0</v>
      </c>
    </row>
    <row r="985">
      <c r="A985" s="24">
        <f>IFERROR(__xludf.DUMMYFUNCTION("""COMPUTED_VALUE"""),41764.0)</f>
        <v>41764</v>
      </c>
      <c r="B985" s="5"/>
      <c r="C985" s="5" t="str">
        <f>IFERROR(__xludf.DUMMYFUNCTION("""COMPUTED_VALUE"""),"BOUYGUES")</f>
        <v>BOUYGUES</v>
      </c>
      <c r="D985" s="5" t="str">
        <f>IFERROR(__xludf.DUMMYFUNCTION("""COMPUTED_VALUE"""),"COST")</f>
        <v>COST</v>
      </c>
      <c r="E985" s="5"/>
      <c r="F985" s="5"/>
      <c r="G985" s="10">
        <f>IFERROR(__xludf.DUMMYFUNCTION("""COMPUTED_VALUE"""),-504.2)</f>
        <v>-504.2</v>
      </c>
    </row>
    <row r="986">
      <c r="A986" s="24">
        <f>IFERROR(__xludf.DUMMYFUNCTION("""COMPUTED_VALUE"""),41746.0)</f>
        <v>41746</v>
      </c>
      <c r="B986" s="5"/>
      <c r="C986" s="5" t="str">
        <f>IFERROR(__xludf.DUMMYFUNCTION("""COMPUTED_VALUE"""),"BOUYGUES")</f>
        <v>BOUYGUES</v>
      </c>
      <c r="D986" s="5" t="str">
        <f>IFERROR(__xludf.DUMMYFUNCTION("""COMPUTED_VALUE"""),"BUY")</f>
        <v>BUY</v>
      </c>
      <c r="E986" s="5">
        <f>IFERROR(__xludf.DUMMYFUNCTION("""COMPUTED_VALUE"""),325.0)</f>
        <v>325</v>
      </c>
      <c r="F986" s="25">
        <f>IFERROR(__xludf.DUMMYFUNCTION("""COMPUTED_VALUE"""),29.205)</f>
        <v>29.205</v>
      </c>
      <c r="G986" s="10">
        <f>IFERROR(__xludf.DUMMYFUNCTION("""COMPUTED_VALUE"""),-9500.17)</f>
        <v>-9500.17</v>
      </c>
    </row>
    <row r="987">
      <c r="A987" s="24">
        <f>IFERROR(__xludf.DUMMYFUNCTION("""COMPUTED_VALUE"""),41746.0)</f>
        <v>41746</v>
      </c>
      <c r="B987" s="5"/>
      <c r="C987" s="5" t="str">
        <f>IFERROR(__xludf.DUMMYFUNCTION("""COMPUTED_VALUE"""),"BOUYGUES")</f>
        <v>BOUYGUES</v>
      </c>
      <c r="D987" s="5" t="str">
        <f>IFERROR(__xludf.DUMMYFUNCTION("""COMPUTED_VALUE"""),"COST")</f>
        <v>COST</v>
      </c>
      <c r="E987" s="5"/>
      <c r="F987" s="5"/>
      <c r="G987" s="10">
        <f>IFERROR(__xludf.DUMMYFUNCTION("""COMPUTED_VALUE"""),-18.98)</f>
        <v>-18.98</v>
      </c>
    </row>
    <row r="988">
      <c r="A988" s="24">
        <f>IFERROR(__xludf.DUMMYFUNCTION("""COMPUTED_VALUE"""),41744.0)</f>
        <v>41744</v>
      </c>
      <c r="B988" s="5"/>
      <c r="C988" s="5"/>
      <c r="D988" s="5" t="str">
        <f>IFERROR(__xludf.DUMMYFUNCTION("""COMPUTED_VALUE"""),"APPROVISIONNEMENT")</f>
        <v>APPROVISIONNEMENT</v>
      </c>
      <c r="E988" s="5"/>
      <c r="F988" s="5"/>
      <c r="G988" s="10">
        <f>IFERROR(__xludf.DUMMYFUNCTION("""COMPUTED_VALUE"""),7979.59)</f>
        <v>7979.59</v>
      </c>
    </row>
    <row r="989">
      <c r="A989" s="24">
        <f>IFERROR(__xludf.DUMMYFUNCTION("""COMPUTED_VALUE"""),41743.0)</f>
        <v>41743</v>
      </c>
      <c r="B989" s="5"/>
      <c r="C989" s="5" t="str">
        <f>IFERROR(__xludf.DUMMYFUNCTION("""COMPUTED_VALUE"""),"TOTAL GABON")</f>
        <v>TOTAL GABON</v>
      </c>
      <c r="D989" s="5" t="str">
        <f>IFERROR(__xludf.DUMMYFUNCTION("""COMPUTED_VALUE"""),"BUY")</f>
        <v>BUY</v>
      </c>
      <c r="E989" s="5">
        <f>IFERROR(__xludf.DUMMYFUNCTION("""COMPUTED_VALUE"""),100.0)</f>
        <v>100</v>
      </c>
      <c r="F989" s="25">
        <f>IFERROR(__xludf.DUMMYFUNCTION("""COMPUTED_VALUE"""),411.5)</f>
        <v>411.5</v>
      </c>
      <c r="G989" s="10">
        <f>IFERROR(__xludf.DUMMYFUNCTION("""COMPUTED_VALUE"""),-41162.0)</f>
        <v>-41162</v>
      </c>
    </row>
    <row r="990">
      <c r="A990" s="24">
        <f>IFERROR(__xludf.DUMMYFUNCTION("""COMPUTED_VALUE"""),41722.0)</f>
        <v>41722</v>
      </c>
      <c r="B990" s="5"/>
      <c r="C990" s="5" t="str">
        <f>IFERROR(__xludf.DUMMYFUNCTION("""COMPUTED_VALUE"""),"TECHNIP")</f>
        <v>TECHNIP</v>
      </c>
      <c r="D990" s="5" t="str">
        <f>IFERROR(__xludf.DUMMYFUNCTION("""COMPUTED_VALUE"""),"SELL")</f>
        <v>SELL</v>
      </c>
      <c r="E990" s="5">
        <f>IFERROR(__xludf.DUMMYFUNCTION("""COMPUTED_VALUE"""),-580.0)</f>
        <v>-580</v>
      </c>
      <c r="F990" s="25">
        <f>IFERROR(__xludf.DUMMYFUNCTION("""COMPUTED_VALUE"""),73.2)</f>
        <v>73.2</v>
      </c>
      <c r="G990" s="10">
        <f>IFERROR(__xludf.DUMMYFUNCTION("""COMPUTED_VALUE"""),42444.0)</f>
        <v>42444</v>
      </c>
    </row>
    <row r="991">
      <c r="A991" s="24">
        <f>IFERROR(__xludf.DUMMYFUNCTION("""COMPUTED_VALUE"""),41599.0)</f>
        <v>41599</v>
      </c>
      <c r="B991" s="5"/>
      <c r="C991" s="5" t="str">
        <f>IFERROR(__xludf.DUMMYFUNCTION("""COMPUTED_VALUE"""),"TECHNIP")</f>
        <v>TECHNIP</v>
      </c>
      <c r="D991" s="5" t="str">
        <f>IFERROR(__xludf.DUMMYFUNCTION("""COMPUTED_VALUE"""),"BUY")</f>
        <v>BUY</v>
      </c>
      <c r="E991" s="5">
        <f>IFERROR(__xludf.DUMMYFUNCTION("""COMPUTED_VALUE"""),580.0)</f>
        <v>580</v>
      </c>
      <c r="F991" s="25">
        <f>IFERROR(__xludf.DUMMYFUNCTION("""COMPUTED_VALUE"""),74.2)</f>
        <v>74.2</v>
      </c>
      <c r="G991" s="10">
        <f>IFERROR(__xludf.DUMMYFUNCTION("""COMPUTED_VALUE"""),-43048.0)</f>
        <v>-43048</v>
      </c>
    </row>
    <row r="992">
      <c r="A992" s="24">
        <f>IFERROR(__xludf.DUMMYFUNCTION("""COMPUTED_VALUE"""),41599.0)</f>
        <v>41599</v>
      </c>
      <c r="B992" s="5"/>
      <c r="C992" s="5" t="str">
        <f>IFERROR(__xludf.DUMMYFUNCTION("""COMPUTED_VALUE"""),"TECHNIP")</f>
        <v>TECHNIP</v>
      </c>
      <c r="D992" s="5" t="str">
        <f>IFERROR(__xludf.DUMMYFUNCTION("""COMPUTED_VALUE"""),"COST")</f>
        <v>COST</v>
      </c>
      <c r="E992" s="5"/>
      <c r="F992" s="5"/>
      <c r="G992" s="10">
        <f>IFERROR(__xludf.DUMMYFUNCTION("""COMPUTED_VALUE"""),-86.07)</f>
        <v>-86.07</v>
      </c>
    </row>
    <row r="993">
      <c r="A993" s="24">
        <f>IFERROR(__xludf.DUMMYFUNCTION("""COMPUTED_VALUE"""),41599.0)</f>
        <v>41599</v>
      </c>
      <c r="B993" s="5"/>
      <c r="C993" s="5" t="str">
        <f>IFERROR(__xludf.DUMMYFUNCTION("""COMPUTED_VALUE"""),"STMICROELECTRONICS")</f>
        <v>STMICROELECTRONICS</v>
      </c>
      <c r="D993" s="5" t="str">
        <f>IFERROR(__xludf.DUMMYFUNCTION("""COMPUTED_VALUE"""),"SELL")</f>
        <v>SELL</v>
      </c>
      <c r="E993" s="5">
        <f>IFERROR(__xludf.DUMMYFUNCTION("""COMPUTED_VALUE"""),-7300.0)</f>
        <v>-7300</v>
      </c>
      <c r="F993" s="25">
        <f>IFERROR(__xludf.DUMMYFUNCTION("""COMPUTED_VALUE"""),5.873)</f>
        <v>5.873</v>
      </c>
      <c r="G993" s="10">
        <f>IFERROR(__xludf.DUMMYFUNCTION("""COMPUTED_VALUE"""),42860.9)</f>
        <v>42860.9</v>
      </c>
    </row>
    <row r="994">
      <c r="A994" s="24">
        <f>IFERROR(__xludf.DUMMYFUNCTION("""COMPUTED_VALUE"""),41571.0)</f>
        <v>41571</v>
      </c>
      <c r="B994" s="5"/>
      <c r="C994" s="5" t="str">
        <f>IFERROR(__xludf.DUMMYFUNCTION("""COMPUTED_VALUE"""),"STMICROELECTRONICS")</f>
        <v>STMICROELECTRONICS</v>
      </c>
      <c r="D994" s="5" t="str">
        <f>IFERROR(__xludf.DUMMYFUNCTION("""COMPUTED_VALUE"""),"BUY")</f>
        <v>BUY</v>
      </c>
      <c r="E994" s="5">
        <f>IFERROR(__xludf.DUMMYFUNCTION("""COMPUTED_VALUE"""),7300.0)</f>
        <v>7300</v>
      </c>
      <c r="F994" s="25">
        <f>IFERROR(__xludf.DUMMYFUNCTION("""COMPUTED_VALUE"""),5.704)</f>
        <v>5.704</v>
      </c>
      <c r="G994" s="10">
        <f>IFERROR(__xludf.DUMMYFUNCTION("""COMPUTED_VALUE"""),-41651.2)</f>
        <v>-41651.2</v>
      </c>
    </row>
    <row r="995">
      <c r="A995" s="24">
        <f>IFERROR(__xludf.DUMMYFUNCTION("""COMPUTED_VALUE"""),41569.0)</f>
        <v>41569</v>
      </c>
      <c r="B995" s="5"/>
      <c r="C995" s="5" t="str">
        <f>IFERROR(__xludf.DUMMYFUNCTION("""COMPUTED_VALUE"""),"ALSTOM REGROUPT")</f>
        <v>ALSTOM REGROUPT</v>
      </c>
      <c r="D995" s="5" t="str">
        <f>IFERROR(__xludf.DUMMYFUNCTION("""COMPUTED_VALUE"""),"SELL")</f>
        <v>SELL</v>
      </c>
      <c r="E995" s="5">
        <f>IFERROR(__xludf.DUMMYFUNCTION("""COMPUTED_VALUE"""),-1500.0)</f>
        <v>-1500</v>
      </c>
      <c r="F995" s="25">
        <f>IFERROR(__xludf.DUMMYFUNCTION("""COMPUTED_VALUE"""),27.59)</f>
        <v>27.59</v>
      </c>
      <c r="G995" s="10">
        <f>IFERROR(__xludf.DUMMYFUNCTION("""COMPUTED_VALUE"""),41373.0)</f>
        <v>41373</v>
      </c>
    </row>
    <row r="996">
      <c r="A996" s="24">
        <f>IFERROR(__xludf.DUMMYFUNCTION("""COMPUTED_VALUE"""),41564.0)</f>
        <v>41564</v>
      </c>
      <c r="B996" s="5"/>
      <c r="C996" s="5" t="str">
        <f>IFERROR(__xludf.DUMMYFUNCTION("""COMPUTED_VALUE"""),"ANF IMMOBILIER")</f>
        <v>ANF IMMOBILIER</v>
      </c>
      <c r="D996" s="5" t="str">
        <f>IFERROR(__xludf.DUMMYFUNCTION("""COMPUTED_VALUE"""),"SELL")</f>
        <v>SELL</v>
      </c>
      <c r="E996" s="5">
        <f>IFERROR(__xludf.DUMMYFUNCTION("""COMPUTED_VALUE"""),-32.0)</f>
        <v>-32</v>
      </c>
      <c r="F996" s="25">
        <f>IFERROR(__xludf.DUMMYFUNCTION("""COMPUTED_VALUE"""),21.6)</f>
        <v>21.6</v>
      </c>
      <c r="G996" s="10">
        <f>IFERROR(__xludf.DUMMYFUNCTION("""COMPUTED_VALUE"""),690.21)</f>
        <v>690.21</v>
      </c>
    </row>
    <row r="997">
      <c r="A997" s="24">
        <f>IFERROR(__xludf.DUMMYFUNCTION("""COMPUTED_VALUE"""),41564.0)</f>
        <v>41564</v>
      </c>
      <c r="B997" s="5"/>
      <c r="C997" s="5" t="str">
        <f>IFERROR(__xludf.DUMMYFUNCTION("""COMPUTED_VALUE"""),"SANOFI")</f>
        <v>SANOFI</v>
      </c>
      <c r="D997" s="5" t="str">
        <f>IFERROR(__xludf.DUMMYFUNCTION("""COMPUTED_VALUE"""),"SELL")</f>
        <v>SELL</v>
      </c>
      <c r="E997" s="5">
        <f>IFERROR(__xludf.DUMMYFUNCTION("""COMPUTED_VALUE"""),-16.0)</f>
        <v>-16</v>
      </c>
      <c r="F997" s="25">
        <f>IFERROR(__xludf.DUMMYFUNCTION("""COMPUTED_VALUE"""),72.89)</f>
        <v>72.89</v>
      </c>
      <c r="G997" s="10">
        <f>IFERROR(__xludf.DUMMYFUNCTION("""COMPUTED_VALUE"""),1165.19)</f>
        <v>1165.19</v>
      </c>
    </row>
    <row r="998">
      <c r="A998" s="24">
        <f>IFERROR(__xludf.DUMMYFUNCTION("""COMPUTED_VALUE"""),41564.0)</f>
        <v>41564</v>
      </c>
      <c r="B998" s="5"/>
      <c r="C998" s="5" t="str">
        <f>IFERROR(__xludf.DUMMYFUNCTION("""COMPUTED_VALUE"""),"ALSTOM REGROUPT")</f>
        <v>ALSTOM REGROUPT</v>
      </c>
      <c r="D998" s="5" t="str">
        <f>IFERROR(__xludf.DUMMYFUNCTION("""COMPUTED_VALUE"""),"BUY")</f>
        <v>BUY</v>
      </c>
      <c r="E998" s="5">
        <f>IFERROR(__xludf.DUMMYFUNCTION("""COMPUTED_VALUE"""),1500.0)</f>
        <v>1500</v>
      </c>
      <c r="F998" s="25">
        <f>IFERROR(__xludf.DUMMYFUNCTION("""COMPUTED_VALUE"""),25.2)</f>
        <v>25.2</v>
      </c>
      <c r="G998" s="10">
        <f>IFERROR(__xludf.DUMMYFUNCTION("""COMPUTED_VALUE"""),-37812.0)</f>
        <v>-37812</v>
      </c>
    </row>
    <row r="999">
      <c r="A999" s="24">
        <f>IFERROR(__xludf.DUMMYFUNCTION("""COMPUTED_VALUE"""),41564.0)</f>
        <v>41564</v>
      </c>
      <c r="B999" s="5"/>
      <c r="C999" s="5" t="str">
        <f>IFERROR(__xludf.DUMMYFUNCTION("""COMPUTED_VALUE"""),"ALSTOM REGROUPT")</f>
        <v>ALSTOM REGROUPT</v>
      </c>
      <c r="D999" s="5" t="str">
        <f>IFERROR(__xludf.DUMMYFUNCTION("""COMPUTED_VALUE"""),"COST")</f>
        <v>COST</v>
      </c>
      <c r="E999" s="5"/>
      <c r="F999" s="5"/>
      <c r="G999" s="10">
        <f>IFERROR(__xludf.DUMMYFUNCTION("""COMPUTED_VALUE"""),-75.6)</f>
        <v>-75.6</v>
      </c>
    </row>
    <row r="1000">
      <c r="A1000" s="24">
        <f>IFERROR(__xludf.DUMMYFUNCTION("""COMPUTED_VALUE"""),41557.0)</f>
        <v>41557</v>
      </c>
      <c r="B1000" s="5"/>
      <c r="C1000" s="24" t="str">
        <f>IFERROR(__xludf.DUMMYFUNCTION("""COMPUTED_VALUE"""),"UNIBAIL RODAMCO SE")</f>
        <v>UNIBAIL RODAMCO SE</v>
      </c>
      <c r="D1000" s="5" t="str">
        <f>IFERROR(__xludf.DUMMYFUNCTION("""COMPUTED_VALUE"""),"SELL")</f>
        <v>SELL</v>
      </c>
      <c r="E1000" s="5">
        <f>IFERROR(__xludf.DUMMYFUNCTION("""COMPUTED_VALUE"""),-12.0)</f>
        <v>-12</v>
      </c>
      <c r="F1000" s="25">
        <f>IFERROR(__xludf.DUMMYFUNCTION("""COMPUTED_VALUE"""),185.05)</f>
        <v>185.05</v>
      </c>
      <c r="G1000" s="10">
        <f>IFERROR(__xludf.DUMMYFUNCTION("""COMPUTED_VALUE"""),2218.6)</f>
        <v>2218.6</v>
      </c>
    </row>
    <row r="1001">
      <c r="A1001" s="24">
        <f>IFERROR(__xludf.DUMMYFUNCTION("""COMPUTED_VALUE"""),41537.0)</f>
        <v>41537</v>
      </c>
      <c r="B1001" s="5"/>
      <c r="C1001" s="5"/>
      <c r="D1001" s="5" t="str">
        <f>IFERROR(__xludf.DUMMYFUNCTION("""COMPUTED_VALUE"""),"APPROVISIONNEMENT")</f>
        <v>APPROVISIONNEMENT</v>
      </c>
      <c r="E1001" s="5"/>
      <c r="F1001" s="5"/>
      <c r="G1001" s="10">
        <f>IFERROR(__xludf.DUMMYFUNCTION("""COMPUTED_VALUE"""),16133.41)</f>
        <v>16133.41</v>
      </c>
    </row>
    <row r="1002">
      <c r="A1002" s="24">
        <f>IFERROR(__xludf.DUMMYFUNCTION("""COMPUTED_VALUE"""),41537.0)</f>
        <v>41537</v>
      </c>
      <c r="B1002" s="5"/>
      <c r="C1002" s="5"/>
      <c r="D1002" s="5" t="str">
        <f>IFERROR(__xludf.DUMMYFUNCTION("""COMPUTED_VALUE"""),"APPROVISIONNEMENT")</f>
        <v>APPROVISIONNEMENT</v>
      </c>
      <c r="E1002" s="5"/>
      <c r="F1002" s="5"/>
      <c r="G1002" s="10">
        <f>IFERROR(__xludf.DUMMYFUNCTION("""COMPUTED_VALUE"""),16872.9)</f>
        <v>16872.9</v>
      </c>
    </row>
    <row r="1003">
      <c r="A1003" s="24">
        <f>IFERROR(__xludf.DUMMYFUNCTION("""COMPUTED_VALUE"""),41512.0)</f>
        <v>41512</v>
      </c>
      <c r="B1003" s="5"/>
      <c r="C1003" s="5" t="str">
        <f>IFERROR(__xludf.DUMMYFUNCTION("""COMPUTED_VALUE"""),"ANF IMMOBILIER")</f>
        <v>ANF IMMOBILIER</v>
      </c>
      <c r="D1003" s="5" t="str">
        <f>IFERROR(__xludf.DUMMYFUNCTION("""COMPUTED_VALUE"""),"BUY")</f>
        <v>BUY</v>
      </c>
      <c r="E1003" s="5">
        <f>IFERROR(__xludf.DUMMYFUNCTION("""COMPUTED_VALUE"""),32.0)</f>
        <v>32</v>
      </c>
      <c r="F1003" s="25">
        <f>IFERROR(__xludf.DUMMYFUNCTION("""COMPUTED_VALUE"""),21.71)</f>
        <v>21.71</v>
      </c>
      <c r="G1003" s="10">
        <f>IFERROR(__xludf.DUMMYFUNCTION("""COMPUTED_VALUE"""),-695.71)</f>
        <v>-695.71</v>
      </c>
    </row>
    <row r="1004">
      <c r="A1004" s="24">
        <f>IFERROR(__xludf.DUMMYFUNCTION("""COMPUTED_VALUE"""),41509.0)</f>
        <v>41509</v>
      </c>
      <c r="B1004" s="5"/>
      <c r="C1004" s="5" t="str">
        <f>IFERROR(__xludf.DUMMYFUNCTION("""COMPUTED_VALUE"""),"SANOFI")</f>
        <v>SANOFI</v>
      </c>
      <c r="D1004" s="5" t="str">
        <f>IFERROR(__xludf.DUMMYFUNCTION("""COMPUTED_VALUE"""),"BUY")</f>
        <v>BUY</v>
      </c>
      <c r="E1004" s="5">
        <f>IFERROR(__xludf.DUMMYFUNCTION("""COMPUTED_VALUE"""),16.0)</f>
        <v>16</v>
      </c>
      <c r="F1004" s="25">
        <f>IFERROR(__xludf.DUMMYFUNCTION("""COMPUTED_VALUE"""),74.62)</f>
        <v>74.62</v>
      </c>
      <c r="G1004" s="10">
        <f>IFERROR(__xludf.DUMMYFUNCTION("""COMPUTED_VALUE"""),-1194.99)</f>
        <v>-1194.99</v>
      </c>
    </row>
    <row r="1005">
      <c r="A1005" s="24">
        <f>IFERROR(__xludf.DUMMYFUNCTION("""COMPUTED_VALUE"""),41509.0)</f>
        <v>41509</v>
      </c>
      <c r="B1005" s="5"/>
      <c r="C1005" s="5" t="str">
        <f>IFERROR(__xludf.DUMMYFUNCTION("""COMPUTED_VALUE"""),"SANOFI")</f>
        <v>SANOFI</v>
      </c>
      <c r="D1005" s="5" t="str">
        <f>IFERROR(__xludf.DUMMYFUNCTION("""COMPUTED_VALUE"""),"COST")</f>
        <v>COST</v>
      </c>
      <c r="E1005" s="5"/>
      <c r="F1005" s="5"/>
      <c r="G1005" s="10">
        <f>IFERROR(__xludf.DUMMYFUNCTION("""COMPUTED_VALUE"""),-2.39)</f>
        <v>-2.39</v>
      </c>
    </row>
    <row r="1006">
      <c r="A1006" s="24">
        <f>IFERROR(__xludf.DUMMYFUNCTION("""COMPUTED_VALUE"""),41508.0)</f>
        <v>41508</v>
      </c>
      <c r="B1006" s="5"/>
      <c r="C1006" s="5" t="str">
        <f>IFERROR(__xludf.DUMMYFUNCTION("""COMPUTED_VALUE"""),"UNIBAIL RODAMCO SE")</f>
        <v>UNIBAIL RODAMCO SE</v>
      </c>
      <c r="D1006" s="5" t="str">
        <f>IFERROR(__xludf.DUMMYFUNCTION("""COMPUTED_VALUE"""),"BUY")</f>
        <v>BUY</v>
      </c>
      <c r="E1006" s="5">
        <f>IFERROR(__xludf.DUMMYFUNCTION("""COMPUTED_VALUE"""),12.0)</f>
        <v>12</v>
      </c>
      <c r="F1006" s="25">
        <f>IFERROR(__xludf.DUMMYFUNCTION("""COMPUTED_VALUE"""),175.4)</f>
        <v>175.4</v>
      </c>
      <c r="G1006" s="10">
        <f>IFERROR(__xludf.DUMMYFUNCTION("""COMPUTED_VALUE"""),-2106.69)</f>
        <v>-2106.69</v>
      </c>
    </row>
    <row r="1007">
      <c r="A1007" s="24">
        <f>IFERROR(__xludf.DUMMYFUNCTION("""COMPUTED_VALUE"""),41508.0)</f>
        <v>41508</v>
      </c>
      <c r="B1007" s="5"/>
      <c r="C1007" s="5" t="str">
        <f>IFERROR(__xludf.DUMMYFUNCTION("""COMPUTED_VALUE"""),"UNIBAIL RODAMCO SE")</f>
        <v>UNIBAIL RODAMCO SE</v>
      </c>
      <c r="D1007" s="5" t="str">
        <f>IFERROR(__xludf.DUMMYFUNCTION("""COMPUTED_VALUE"""),"COST")</f>
        <v>COST</v>
      </c>
      <c r="E1007" s="5"/>
      <c r="F1007" s="5"/>
      <c r="G1007" s="10">
        <f>IFERROR(__xludf.DUMMYFUNCTION("""COMPUTED_VALUE"""),-4.21)</f>
        <v>-4.21</v>
      </c>
    </row>
    <row r="1008">
      <c r="A1008" s="24">
        <f>IFERROR(__xludf.DUMMYFUNCTION("""COMPUTED_VALUE"""),41508.0)</f>
        <v>41508</v>
      </c>
      <c r="B1008" s="5"/>
      <c r="C1008" s="5" t="str">
        <f>IFERROR(__xludf.DUMMYFUNCTION("""COMPUTED_VALUE"""),"ORANGE")</f>
        <v>ORANGE</v>
      </c>
      <c r="D1008" s="5" t="str">
        <f>IFERROR(__xludf.DUMMYFUNCTION("""COMPUTED_VALUE"""),"SELL")</f>
        <v>SELL</v>
      </c>
      <c r="E1008" s="5">
        <f>IFERROR(__xludf.DUMMYFUNCTION("""COMPUTED_VALUE"""),-135.0)</f>
        <v>-135</v>
      </c>
      <c r="F1008" s="25">
        <f>IFERROR(__xludf.DUMMYFUNCTION("""COMPUTED_VALUE"""),7.8)</f>
        <v>7.8</v>
      </c>
      <c r="G1008" s="10">
        <f>IFERROR(__xludf.DUMMYFUNCTION("""COMPUTED_VALUE"""),1052.01)</f>
        <v>1052.01</v>
      </c>
    </row>
    <row r="1009">
      <c r="A1009" s="24">
        <f>IFERROR(__xludf.DUMMYFUNCTION("""COMPUTED_VALUE"""),41508.0)</f>
        <v>41508</v>
      </c>
      <c r="B1009" s="5"/>
      <c r="C1009" s="5" t="str">
        <f>IFERROR(__xludf.DUMMYFUNCTION("""COMPUTED_VALUE"""),"GDF SUEZ")</f>
        <v>GDF SUEZ</v>
      </c>
      <c r="D1009" s="5" t="str">
        <f>IFERROR(__xludf.DUMMYFUNCTION("""COMPUTED_VALUE"""),"SELL")</f>
        <v>SELL</v>
      </c>
      <c r="E1009" s="5">
        <f>IFERROR(__xludf.DUMMYFUNCTION("""COMPUTED_VALUE"""),-95.0)</f>
        <v>-95</v>
      </c>
      <c r="F1009" s="25">
        <f>IFERROR(__xludf.DUMMYFUNCTION("""COMPUTED_VALUE"""),16.74)</f>
        <v>16.74</v>
      </c>
      <c r="G1009" s="10">
        <f>IFERROR(__xludf.DUMMYFUNCTION("""COMPUTED_VALUE"""),1588.87)</f>
        <v>1588.87</v>
      </c>
    </row>
    <row r="1010">
      <c r="A1010" s="24">
        <f>IFERROR(__xludf.DUMMYFUNCTION("""COMPUTED_VALUE"""),41506.0)</f>
        <v>41506</v>
      </c>
      <c r="B1010" s="5"/>
      <c r="C1010" s="5" t="str">
        <f>IFERROR(__xludf.DUMMYFUNCTION("""COMPUTED_VALUE"""),"ABC ARBITRAGE")</f>
        <v>ABC ARBITRAGE</v>
      </c>
      <c r="D1010" s="5" t="str">
        <f>IFERROR(__xludf.DUMMYFUNCTION("""COMPUTED_VALUE"""),"SELL")</f>
        <v>SELL</v>
      </c>
      <c r="E1010" s="5">
        <f>IFERROR(__xludf.DUMMYFUNCTION("""COMPUTED_VALUE"""),-355.0)</f>
        <v>-355</v>
      </c>
      <c r="F1010" s="25">
        <f>IFERROR(__xludf.DUMMYFUNCTION("""COMPUTED_VALUE"""),5.07)</f>
        <v>5.07</v>
      </c>
      <c r="G1010" s="10">
        <f>IFERROR(__xludf.DUMMYFUNCTION("""COMPUTED_VALUE"""),1798.23)</f>
        <v>1798.23</v>
      </c>
    </row>
    <row r="1011">
      <c r="A1011" s="24">
        <f>IFERROR(__xludf.DUMMYFUNCTION("""COMPUTED_VALUE"""),41491.0)</f>
        <v>41491</v>
      </c>
      <c r="B1011" s="5"/>
      <c r="C1011" s="5" t="str">
        <f>IFERROR(__xludf.DUMMYFUNCTION("""COMPUTED_VALUE"""),"TOTAL SA")</f>
        <v>TOTAL SA</v>
      </c>
      <c r="D1011" s="5" t="str">
        <f>IFERROR(__xludf.DUMMYFUNCTION("""COMPUTED_VALUE"""),"SELL")</f>
        <v>SELL</v>
      </c>
      <c r="E1011" s="5">
        <f>IFERROR(__xludf.DUMMYFUNCTION("""COMPUTED_VALUE"""),-30.0)</f>
        <v>-30</v>
      </c>
      <c r="F1011" s="25">
        <f>IFERROR(__xludf.DUMMYFUNCTION("""COMPUTED_VALUE"""),40.655)</f>
        <v>40.655</v>
      </c>
      <c r="G1011" s="10">
        <f>IFERROR(__xludf.DUMMYFUNCTION("""COMPUTED_VALUE"""),1218.55)</f>
        <v>1218.55</v>
      </c>
    </row>
    <row r="1012">
      <c r="A1012" s="24">
        <f>IFERROR(__xludf.DUMMYFUNCTION("""COMPUTED_VALUE"""),41466.0)</f>
        <v>41466</v>
      </c>
      <c r="B1012" s="5"/>
      <c r="C1012" s="5" t="str">
        <f>IFERROR(__xludf.DUMMYFUNCTION("""COMPUTED_VALUE"""),"ABC ARBITRAGE")</f>
        <v>ABC ARBITRAGE</v>
      </c>
      <c r="D1012" s="5" t="str">
        <f>IFERROR(__xludf.DUMMYFUNCTION("""COMPUTED_VALUE"""),"BUY")</f>
        <v>BUY</v>
      </c>
      <c r="E1012" s="5">
        <f>IFERROR(__xludf.DUMMYFUNCTION("""COMPUTED_VALUE"""),355.0)</f>
        <v>355</v>
      </c>
      <c r="F1012" s="25">
        <f>IFERROR(__xludf.DUMMYFUNCTION("""COMPUTED_VALUE"""),4.45)</f>
        <v>4.45</v>
      </c>
      <c r="G1012" s="10">
        <f>IFERROR(__xludf.DUMMYFUNCTION("""COMPUTED_VALUE"""),-1581.17)</f>
        <v>-1581.17</v>
      </c>
    </row>
    <row r="1013">
      <c r="A1013" s="24">
        <f>IFERROR(__xludf.DUMMYFUNCTION("""COMPUTED_VALUE"""),41466.0)</f>
        <v>41466</v>
      </c>
      <c r="B1013" s="5"/>
      <c r="C1013" s="5" t="str">
        <f>IFERROR(__xludf.DUMMYFUNCTION("""COMPUTED_VALUE"""),"EDF")</f>
        <v>EDF</v>
      </c>
      <c r="D1013" s="5" t="str">
        <f>IFERROR(__xludf.DUMMYFUNCTION("""COMPUTED_VALUE"""),"SELL")</f>
        <v>SELL</v>
      </c>
      <c r="E1013" s="5">
        <f>IFERROR(__xludf.DUMMYFUNCTION("""COMPUTED_VALUE"""),-75.0)</f>
        <v>-75</v>
      </c>
      <c r="F1013" s="25">
        <f>IFERROR(__xludf.DUMMYFUNCTION("""COMPUTED_VALUE"""),19.625)</f>
        <v>19.625</v>
      </c>
      <c r="G1013" s="10">
        <f>IFERROR(__xludf.DUMMYFUNCTION("""COMPUTED_VALUE"""),1470.56)</f>
        <v>1470.56</v>
      </c>
    </row>
    <row r="1014">
      <c r="A1014" s="24">
        <f>IFERROR(__xludf.DUMMYFUNCTION("""COMPUTED_VALUE"""),41464.0)</f>
        <v>41464</v>
      </c>
      <c r="B1014" s="5"/>
      <c r="C1014" s="5" t="str">
        <f>IFERROR(__xludf.DUMMYFUNCTION("""COMPUTED_VALUE"""),"EDF")</f>
        <v>EDF</v>
      </c>
      <c r="D1014" s="5" t="str">
        <f>IFERROR(__xludf.DUMMYFUNCTION("""COMPUTED_VALUE"""),"DIVIDEND")</f>
        <v>DIVIDEND</v>
      </c>
      <c r="E1014" s="5"/>
      <c r="F1014" s="5"/>
      <c r="G1014" s="10">
        <f>IFERROR(__xludf.DUMMYFUNCTION("""COMPUTED_VALUE"""),27.67)</f>
        <v>27.67</v>
      </c>
    </row>
    <row r="1015">
      <c r="A1015" s="24">
        <f>IFERROR(__xludf.DUMMYFUNCTION("""COMPUTED_VALUE"""),41464.0)</f>
        <v>41464</v>
      </c>
      <c r="B1015" s="5"/>
      <c r="C1015" s="5" t="str">
        <f>IFERROR(__xludf.DUMMYFUNCTION("""COMPUTED_VALUE"""),"EDF")</f>
        <v>EDF</v>
      </c>
      <c r="D1015" s="5" t="str">
        <f>IFERROR(__xludf.DUMMYFUNCTION("""COMPUTED_VALUE"""),"DIVIDEND")</f>
        <v>DIVIDEND</v>
      </c>
      <c r="E1015" s="5"/>
      <c r="F1015" s="5"/>
      <c r="G1015" s="10">
        <f>IFERROR(__xludf.DUMMYFUNCTION("""COMPUTED_VALUE"""),4.8)</f>
        <v>4.8</v>
      </c>
    </row>
    <row r="1016">
      <c r="A1016" s="24">
        <f>IFERROR(__xludf.DUMMYFUNCTION("""COMPUTED_VALUE"""),41452.0)</f>
        <v>41452</v>
      </c>
      <c r="B1016" s="5"/>
      <c r="C1016" s="5" t="str">
        <f>IFERROR(__xludf.DUMMYFUNCTION("""COMPUTED_VALUE"""),"TOTAL SA")</f>
        <v>TOTAL SA</v>
      </c>
      <c r="D1016" s="5" t="str">
        <f>IFERROR(__xludf.DUMMYFUNCTION("""COMPUTED_VALUE"""),"DIVIDEND")</f>
        <v>DIVIDEND</v>
      </c>
      <c r="E1016" s="5"/>
      <c r="F1016" s="5"/>
      <c r="G1016" s="10">
        <f>IFERROR(__xludf.DUMMYFUNCTION("""COMPUTED_VALUE"""),11.29)</f>
        <v>11.29</v>
      </c>
    </row>
    <row r="1017">
      <c r="A1017" s="24">
        <f>IFERROR(__xludf.DUMMYFUNCTION("""COMPUTED_VALUE"""),41436.0)</f>
        <v>41436</v>
      </c>
      <c r="B1017" s="5"/>
      <c r="C1017" s="5" t="str">
        <f>IFERROR(__xludf.DUMMYFUNCTION("""COMPUTED_VALUE"""),"ORANGE")</f>
        <v>ORANGE</v>
      </c>
      <c r="D1017" s="5" t="str">
        <f>IFERROR(__xludf.DUMMYFUNCTION("""COMPUTED_VALUE"""),"DIVIDEND")</f>
        <v>DIVIDEND</v>
      </c>
      <c r="E1017" s="5"/>
      <c r="F1017" s="5"/>
      <c r="G1017" s="10">
        <f>IFERROR(__xludf.DUMMYFUNCTION("""COMPUTED_VALUE"""),17.19)</f>
        <v>17.19</v>
      </c>
    </row>
    <row r="1018">
      <c r="A1018" s="24">
        <f>IFERROR(__xludf.DUMMYFUNCTION("""COMPUTED_VALUE"""),41394.0)</f>
        <v>41394</v>
      </c>
      <c r="B1018" s="5"/>
      <c r="C1018" s="5" t="str">
        <f>IFERROR(__xludf.DUMMYFUNCTION("""COMPUTED_VALUE"""),"GDF SUEZ")</f>
        <v>GDF SUEZ</v>
      </c>
      <c r="D1018" s="5" t="str">
        <f>IFERROR(__xludf.DUMMYFUNCTION("""COMPUTED_VALUE"""),"DIVIDEND")</f>
        <v>DIVIDEND</v>
      </c>
      <c r="E1018" s="5"/>
      <c r="F1018" s="5"/>
      <c r="G1018" s="10">
        <f>IFERROR(__xludf.DUMMYFUNCTION("""COMPUTED_VALUE"""),40.46)</f>
        <v>40.46</v>
      </c>
    </row>
    <row r="1019">
      <c r="A1019" s="24">
        <f>IFERROR(__xludf.DUMMYFUNCTION("""COMPUTED_VALUE"""),41355.0)</f>
        <v>41355</v>
      </c>
      <c r="B1019" s="5"/>
      <c r="C1019" s="5" t="str">
        <f>IFERROR(__xludf.DUMMYFUNCTION("""COMPUTED_VALUE"""),"TOTAL SA")</f>
        <v>TOTAL SA</v>
      </c>
      <c r="D1019" s="5" t="str">
        <f>IFERROR(__xludf.DUMMYFUNCTION("""COMPUTED_VALUE"""),"BUY")</f>
        <v>BUY</v>
      </c>
      <c r="E1019" s="5">
        <f>IFERROR(__xludf.DUMMYFUNCTION("""COMPUTED_VALUE"""),30.0)</f>
        <v>30</v>
      </c>
      <c r="F1019" s="25">
        <f>IFERROR(__xludf.DUMMYFUNCTION("""COMPUTED_VALUE"""),38.33)</f>
        <v>38.33</v>
      </c>
      <c r="G1019" s="10">
        <f>IFERROR(__xludf.DUMMYFUNCTION("""COMPUTED_VALUE"""),-1150.93)</f>
        <v>-1150.93</v>
      </c>
    </row>
    <row r="1020">
      <c r="A1020" s="24">
        <f>IFERROR(__xludf.DUMMYFUNCTION("""COMPUTED_VALUE"""),41355.0)</f>
        <v>41355</v>
      </c>
      <c r="B1020" s="5"/>
      <c r="C1020" s="5" t="str">
        <f>IFERROR(__xludf.DUMMYFUNCTION("""COMPUTED_VALUE"""),"ORANGE")</f>
        <v>ORANGE</v>
      </c>
      <c r="D1020" s="5" t="str">
        <f>IFERROR(__xludf.DUMMYFUNCTION("""COMPUTED_VALUE"""),"BUY")</f>
        <v>BUY</v>
      </c>
      <c r="E1020" s="5">
        <f>IFERROR(__xludf.DUMMYFUNCTION("""COMPUTED_VALUE"""),135.0)</f>
        <v>135</v>
      </c>
      <c r="F1020" s="25">
        <f>IFERROR(__xludf.DUMMYFUNCTION("""COMPUTED_VALUE"""),8.42)</f>
        <v>8.42</v>
      </c>
      <c r="G1020" s="10">
        <f>IFERROR(__xludf.DUMMYFUNCTION("""COMPUTED_VALUE"""),-1137.32)</f>
        <v>-1137.32</v>
      </c>
    </row>
    <row r="1021">
      <c r="A1021" s="24">
        <f>IFERROR(__xludf.DUMMYFUNCTION("""COMPUTED_VALUE"""),41355.0)</f>
        <v>41355</v>
      </c>
      <c r="B1021" s="5"/>
      <c r="C1021" s="5" t="str">
        <f>IFERROR(__xludf.DUMMYFUNCTION("""COMPUTED_VALUE"""),"GDF SUEZ")</f>
        <v>GDF SUEZ</v>
      </c>
      <c r="D1021" s="5" t="str">
        <f>IFERROR(__xludf.DUMMYFUNCTION("""COMPUTED_VALUE"""),"BUY")</f>
        <v>BUY</v>
      </c>
      <c r="E1021" s="5">
        <f>IFERROR(__xludf.DUMMYFUNCTION("""COMPUTED_VALUE"""),95.0)</f>
        <v>95</v>
      </c>
      <c r="F1021" s="25">
        <f>IFERROR(__xludf.DUMMYFUNCTION("""COMPUTED_VALUE"""),15.4)</f>
        <v>15.4</v>
      </c>
      <c r="G1021" s="10">
        <f>IFERROR(__xludf.DUMMYFUNCTION("""COMPUTED_VALUE"""),-1464.32)</f>
        <v>-1464.32</v>
      </c>
    </row>
    <row r="1022">
      <c r="A1022" s="24">
        <f>IFERROR(__xludf.DUMMYFUNCTION("""COMPUTED_VALUE"""),41355.0)</f>
        <v>41355</v>
      </c>
      <c r="B1022" s="5"/>
      <c r="C1022" s="5" t="str">
        <f>IFERROR(__xludf.DUMMYFUNCTION("""COMPUTED_VALUE"""),"EDF")</f>
        <v>EDF</v>
      </c>
      <c r="D1022" s="5" t="str">
        <f>IFERROR(__xludf.DUMMYFUNCTION("""COMPUTED_VALUE"""),"BUY")</f>
        <v>BUY</v>
      </c>
      <c r="E1022" s="5">
        <f>IFERROR(__xludf.DUMMYFUNCTION("""COMPUTED_VALUE"""),75.0)</f>
        <v>75</v>
      </c>
      <c r="F1022" s="25">
        <f>IFERROR(__xludf.DUMMYFUNCTION("""COMPUTED_VALUE"""),15.15)</f>
        <v>15.15</v>
      </c>
      <c r="G1022" s="10">
        <f>IFERROR(__xludf.DUMMYFUNCTION("""COMPUTED_VALUE"""),-1137.27)</f>
        <v>-1137.27</v>
      </c>
    </row>
    <row r="1023">
      <c r="A1023" s="24">
        <f>IFERROR(__xludf.DUMMYFUNCTION("""COMPUTED_VALUE"""),41355.0)</f>
        <v>41355</v>
      </c>
      <c r="B1023" s="5"/>
      <c r="C1023" s="5" t="str">
        <f>IFERROR(__xludf.DUMMYFUNCTION("""COMPUTED_VALUE"""),"TOTAL SA")</f>
        <v>TOTAL SA</v>
      </c>
      <c r="D1023" s="5" t="str">
        <f>IFERROR(__xludf.DUMMYFUNCTION("""COMPUTED_VALUE"""),"COST")</f>
        <v>COST</v>
      </c>
      <c r="E1023" s="5"/>
      <c r="F1023" s="5"/>
      <c r="G1023" s="10">
        <f>IFERROR(__xludf.DUMMYFUNCTION("""COMPUTED_VALUE"""),-2.3)</f>
        <v>-2.3</v>
      </c>
    </row>
    <row r="1024">
      <c r="A1024" s="24">
        <f>IFERROR(__xludf.DUMMYFUNCTION("""COMPUTED_VALUE"""),41355.0)</f>
        <v>41355</v>
      </c>
      <c r="B1024" s="5"/>
      <c r="C1024" s="5" t="str">
        <f>IFERROR(__xludf.DUMMYFUNCTION("""COMPUTED_VALUE"""),"FRANCE TELECOM")</f>
        <v>FRANCE TELECOM</v>
      </c>
      <c r="D1024" s="5" t="str">
        <f>IFERROR(__xludf.DUMMYFUNCTION("""COMPUTED_VALUE"""),"COST")</f>
        <v>COST</v>
      </c>
      <c r="E1024" s="5"/>
      <c r="F1024" s="5"/>
      <c r="G1024" s="10">
        <f>IFERROR(__xludf.DUMMYFUNCTION("""COMPUTED_VALUE"""),-2.27)</f>
        <v>-2.27</v>
      </c>
    </row>
    <row r="1025">
      <c r="A1025" s="24">
        <f>IFERROR(__xludf.DUMMYFUNCTION("""COMPUTED_VALUE"""),41355.0)</f>
        <v>41355</v>
      </c>
      <c r="B1025" s="5"/>
      <c r="C1025" s="5" t="str">
        <f>IFERROR(__xludf.DUMMYFUNCTION("""COMPUTED_VALUE"""),"GDF SUEZ")</f>
        <v>GDF SUEZ</v>
      </c>
      <c r="D1025" s="5" t="str">
        <f>IFERROR(__xludf.DUMMYFUNCTION("""COMPUTED_VALUE"""),"COST")</f>
        <v>COST</v>
      </c>
      <c r="E1025" s="5"/>
      <c r="F1025" s="5"/>
      <c r="G1025" s="10">
        <f>IFERROR(__xludf.DUMMYFUNCTION("""COMPUTED_VALUE"""),-2.93)</f>
        <v>-2.93</v>
      </c>
    </row>
    <row r="1026">
      <c r="A1026" s="24">
        <f>IFERROR(__xludf.DUMMYFUNCTION("""COMPUTED_VALUE"""),41355.0)</f>
        <v>41355</v>
      </c>
      <c r="B1026" s="5"/>
      <c r="C1026" s="5" t="str">
        <f>IFERROR(__xludf.DUMMYFUNCTION("""COMPUTED_VALUE"""),"EDF")</f>
        <v>EDF</v>
      </c>
      <c r="D1026" s="5" t="str">
        <f>IFERROR(__xludf.DUMMYFUNCTION("""COMPUTED_VALUE"""),"COST")</f>
        <v>COST</v>
      </c>
      <c r="E1026" s="5"/>
      <c r="F1026" s="5"/>
      <c r="G1026" s="10">
        <f>IFERROR(__xludf.DUMMYFUNCTION("""COMPUTED_VALUE"""),-2.27)</f>
        <v>-2.27</v>
      </c>
    </row>
    <row r="1027">
      <c r="A1027" s="24">
        <f>IFERROR(__xludf.DUMMYFUNCTION("""COMPUTED_VALUE"""),41326.0)</f>
        <v>41326</v>
      </c>
      <c r="B1027" s="5"/>
      <c r="C1027" s="5"/>
      <c r="D1027" s="5" t="str">
        <f>IFERROR(__xludf.DUMMYFUNCTION("""COMPUTED_VALUE"""),"COST")</f>
        <v>COST</v>
      </c>
      <c r="E1027" s="5"/>
      <c r="F1027" s="5"/>
      <c r="G1027" s="10">
        <f>IFERROR(__xludf.DUMMYFUNCTION("""COMPUTED_VALUE"""),-6.0)</f>
        <v>-6</v>
      </c>
    </row>
    <row r="1028">
      <c r="A1028" s="24">
        <f>IFERROR(__xludf.DUMMYFUNCTION("""COMPUTED_VALUE"""),41326.0)</f>
        <v>41326</v>
      </c>
      <c r="B1028" s="5"/>
      <c r="C1028" s="5"/>
      <c r="D1028" s="5" t="str">
        <f>IFERROR(__xludf.DUMMYFUNCTION("""COMPUTED_VALUE"""),"APPROVISIONNEMENT")</f>
        <v>APPROVISIONNEMENT</v>
      </c>
      <c r="E1028" s="5"/>
      <c r="F1028" s="5"/>
      <c r="G1028" s="10">
        <f>IFERROR(__xludf.DUMMYFUNCTION("""COMPUTED_VALUE"""),-9872.9)</f>
        <v>-9872.9</v>
      </c>
    </row>
    <row r="1029">
      <c r="A1029" s="24">
        <f>IFERROR(__xludf.DUMMYFUNCTION("""COMPUTED_VALUE"""),41124.0)</f>
        <v>41124</v>
      </c>
      <c r="B1029" s="5"/>
      <c r="C1029" s="5" t="str">
        <f>IFERROR(__xludf.DUMMYFUNCTION("""COMPUTED_VALUE"""),"FRANCE TELECOM")</f>
        <v>FRANCE TELECOM</v>
      </c>
      <c r="D1029" s="5" t="str">
        <f>IFERROR(__xludf.DUMMYFUNCTION("""COMPUTED_VALUE"""),"SELL")</f>
        <v>SELL</v>
      </c>
      <c r="E1029" s="5">
        <f>IFERROR(__xludf.DUMMYFUNCTION("""COMPUTED_VALUE"""),-455.0)</f>
        <v>-455</v>
      </c>
      <c r="F1029" s="25">
        <f>IFERROR(__xludf.DUMMYFUNCTION("""COMPUTED_VALUE"""),10.8)</f>
        <v>10.8</v>
      </c>
      <c r="G1029" s="10">
        <f>IFERROR(__xludf.DUMMYFUNCTION("""COMPUTED_VALUE"""),4909.58)</f>
        <v>4909.58</v>
      </c>
    </row>
    <row r="1030">
      <c r="A1030" s="24">
        <f>IFERROR(__xludf.DUMMYFUNCTION("""COMPUTED_VALUE"""),41122.0)</f>
        <v>41122</v>
      </c>
      <c r="B1030" s="5"/>
      <c r="C1030" s="5" t="str">
        <f>IFERROR(__xludf.DUMMYFUNCTION("""COMPUTED_VALUE"""),"TOTAL SA")</f>
        <v>TOTAL SA</v>
      </c>
      <c r="D1030" s="5" t="str">
        <f>IFERROR(__xludf.DUMMYFUNCTION("""COMPUTED_VALUE"""),"SELL")</f>
        <v>SELL</v>
      </c>
      <c r="E1030" s="5">
        <f>IFERROR(__xludf.DUMMYFUNCTION("""COMPUTED_VALUE"""),-33.0)</f>
        <v>-33</v>
      </c>
      <c r="F1030" s="25">
        <f>IFERROR(__xludf.DUMMYFUNCTION("""COMPUTED_VALUE"""),37.93)</f>
        <v>37.93</v>
      </c>
      <c r="G1030" s="10">
        <f>IFERROR(__xludf.DUMMYFUNCTION("""COMPUTED_VALUE"""),1250.4)</f>
        <v>1250.4</v>
      </c>
    </row>
    <row r="1031">
      <c r="A1031" s="24">
        <f>IFERROR(__xludf.DUMMYFUNCTION("""COMPUTED_VALUE"""),41122.0)</f>
        <v>41122</v>
      </c>
      <c r="B1031" s="5"/>
      <c r="C1031" s="5" t="str">
        <f>IFERROR(__xludf.DUMMYFUNCTION("""COMPUTED_VALUE"""),"BOUYGUES")</f>
        <v>BOUYGUES</v>
      </c>
      <c r="D1031" s="5" t="str">
        <f>IFERROR(__xludf.DUMMYFUNCTION("""COMPUTED_VALUE"""),"SELL")</f>
        <v>SELL</v>
      </c>
      <c r="E1031" s="5">
        <f>IFERROR(__xludf.DUMMYFUNCTION("""COMPUTED_VALUE"""),-70.0)</f>
        <v>-70</v>
      </c>
      <c r="F1031" s="25">
        <f>IFERROR(__xludf.DUMMYFUNCTION("""COMPUTED_VALUE"""),20.6)</f>
        <v>20.6</v>
      </c>
      <c r="G1031" s="10">
        <f>IFERROR(__xludf.DUMMYFUNCTION("""COMPUTED_VALUE"""),1440.7)</f>
        <v>1440.7</v>
      </c>
    </row>
    <row r="1032">
      <c r="A1032" s="24">
        <f>IFERROR(__xludf.DUMMYFUNCTION("""COMPUTED_VALUE"""),41122.0)</f>
        <v>41122</v>
      </c>
      <c r="B1032" s="5"/>
      <c r="C1032" s="5" t="str">
        <f>IFERROR(__xludf.DUMMYFUNCTION("""COMPUTED_VALUE"""),"GDF SUEZ")</f>
        <v>GDF SUEZ</v>
      </c>
      <c r="D1032" s="5" t="str">
        <f>IFERROR(__xludf.DUMMYFUNCTION("""COMPUTED_VALUE"""),"SELL")</f>
        <v>SELL</v>
      </c>
      <c r="E1032" s="5">
        <f>IFERROR(__xludf.DUMMYFUNCTION("""COMPUTED_VALUE"""),-74.0)</f>
        <v>-74</v>
      </c>
      <c r="F1032" s="25">
        <f>IFERROR(__xludf.DUMMYFUNCTION("""COMPUTED_VALUE"""),18.27)</f>
        <v>18.27</v>
      </c>
      <c r="G1032" s="10">
        <f>IFERROR(__xludf.DUMMYFUNCTION("""COMPUTED_VALUE"""),1350.39)</f>
        <v>1350.39</v>
      </c>
    </row>
    <row r="1033">
      <c r="A1033" s="24">
        <f>IFERROR(__xludf.DUMMYFUNCTION("""COMPUTED_VALUE"""),41122.0)</f>
        <v>41122</v>
      </c>
      <c r="B1033" s="5"/>
      <c r="C1033" s="5" t="str">
        <f>IFERROR(__xludf.DUMMYFUNCTION("""COMPUTED_VALUE"""),"EDF")</f>
        <v>EDF</v>
      </c>
      <c r="D1033" s="5" t="str">
        <f>IFERROR(__xludf.DUMMYFUNCTION("""COMPUTED_VALUE"""),"SELL")</f>
        <v>SELL</v>
      </c>
      <c r="E1033" s="5">
        <f>IFERROR(__xludf.DUMMYFUNCTION("""COMPUTED_VALUE"""),-70.0)</f>
        <v>-70</v>
      </c>
      <c r="F1033" s="25">
        <f>IFERROR(__xludf.DUMMYFUNCTION("""COMPUTED_VALUE"""),16.67)</f>
        <v>16.67</v>
      </c>
      <c r="G1033" s="10">
        <f>IFERROR(__xludf.DUMMYFUNCTION("""COMPUTED_VALUE"""),1165.5)</f>
        <v>1165.5</v>
      </c>
    </row>
    <row r="1034">
      <c r="A1034" s="24">
        <f>IFERROR(__xludf.DUMMYFUNCTION("""COMPUTED_VALUE"""),41100.0)</f>
        <v>41100</v>
      </c>
      <c r="B1034" s="5"/>
      <c r="C1034" s="5" t="str">
        <f>IFERROR(__xludf.DUMMYFUNCTION("""COMPUTED_VALUE"""),"VIVENDI")</f>
        <v>VIVENDI</v>
      </c>
      <c r="D1034" s="5" t="str">
        <f>IFERROR(__xludf.DUMMYFUNCTION("""COMPUTED_VALUE"""),"SELL")</f>
        <v>SELL</v>
      </c>
      <c r="E1034" s="5">
        <f>IFERROR(__xludf.DUMMYFUNCTION("""COMPUTED_VALUE"""),-263.0)</f>
        <v>-263</v>
      </c>
      <c r="F1034" s="25">
        <f>IFERROR(__xludf.DUMMYFUNCTION("""COMPUTED_VALUE"""),15.08)</f>
        <v>15.08</v>
      </c>
      <c r="G1034" s="10">
        <f>IFERROR(__xludf.DUMMYFUNCTION("""COMPUTED_VALUE"""),3962.47)</f>
        <v>3962.47</v>
      </c>
    </row>
    <row r="1035">
      <c r="A1035" s="24">
        <f>IFERROR(__xludf.DUMMYFUNCTION("""COMPUTED_VALUE"""),41081.0)</f>
        <v>41081</v>
      </c>
      <c r="B1035" s="5"/>
      <c r="C1035" s="5" t="str">
        <f>IFERROR(__xludf.DUMMYFUNCTION("""COMPUTED_VALUE"""),"TOTAL SA")</f>
        <v>TOTAL SA</v>
      </c>
      <c r="D1035" s="5" t="str">
        <f>IFERROR(__xludf.DUMMYFUNCTION("""COMPUTED_VALUE"""),"DIVIDEND")</f>
        <v>DIVIDEND</v>
      </c>
      <c r="E1035" s="5"/>
      <c r="F1035" s="5"/>
      <c r="G1035" s="10">
        <f>IFERROR(__xludf.DUMMYFUNCTION("""COMPUTED_VALUE"""),16.32)</f>
        <v>16.32</v>
      </c>
    </row>
    <row r="1036">
      <c r="A1036" s="24">
        <f>IFERROR(__xludf.DUMMYFUNCTION("""COMPUTED_VALUE"""),41073.0)</f>
        <v>41073</v>
      </c>
      <c r="B1036" s="5"/>
      <c r="C1036" s="5" t="str">
        <f>IFERROR(__xludf.DUMMYFUNCTION("""COMPUTED_VALUE"""),"FRANCE TELECOM")</f>
        <v>FRANCE TELECOM</v>
      </c>
      <c r="D1036" s="5" t="str">
        <f>IFERROR(__xludf.DUMMYFUNCTION("""COMPUTED_VALUE"""),"DIVIDEND")</f>
        <v>DIVIDEND</v>
      </c>
      <c r="E1036" s="5"/>
      <c r="F1036" s="5"/>
      <c r="G1036" s="10">
        <f>IFERROR(__xludf.DUMMYFUNCTION("""COMPUTED_VALUE"""),314.9)</f>
        <v>314.9</v>
      </c>
    </row>
    <row r="1037">
      <c r="A1037" s="24">
        <f>IFERROR(__xludf.DUMMYFUNCTION("""COMPUTED_VALUE"""),41066.0)</f>
        <v>41066</v>
      </c>
      <c r="B1037" s="5"/>
      <c r="C1037" s="5" t="str">
        <f>IFERROR(__xludf.DUMMYFUNCTION("""COMPUTED_VALUE"""),"EDF")</f>
        <v>EDF</v>
      </c>
      <c r="D1037" s="5" t="str">
        <f>IFERROR(__xludf.DUMMYFUNCTION("""COMPUTED_VALUE"""),"DIVIDEND")</f>
        <v>DIVIDEND</v>
      </c>
      <c r="E1037" s="5"/>
      <c r="F1037" s="5"/>
      <c r="G1037" s="10">
        <f>IFERROR(__xludf.DUMMYFUNCTION("""COMPUTED_VALUE"""),35.14)</f>
        <v>35.14</v>
      </c>
    </row>
    <row r="1038">
      <c r="A1038" s="24">
        <f>IFERROR(__xludf.DUMMYFUNCTION("""COMPUTED_VALUE"""),41061.0)</f>
        <v>41061</v>
      </c>
      <c r="B1038" s="5"/>
      <c r="C1038" s="5" t="str">
        <f>IFERROR(__xludf.DUMMYFUNCTION("""COMPUTED_VALUE"""),"VIVENDI")</f>
        <v>VIVENDI</v>
      </c>
      <c r="D1038" s="5" t="str">
        <f>IFERROR(__xludf.DUMMYFUNCTION("""COMPUTED_VALUE"""),"DIVIDEND")</f>
        <v>DIVIDEND</v>
      </c>
      <c r="E1038" s="5"/>
      <c r="F1038" s="5"/>
      <c r="G1038" s="10">
        <f>IFERROR(__xludf.DUMMYFUNCTION("""COMPUTED_VALUE"""),6.5)</f>
        <v>6.5</v>
      </c>
    </row>
    <row r="1039">
      <c r="A1039" s="24">
        <f>IFERROR(__xludf.DUMMYFUNCTION("""COMPUTED_VALUE"""),41061.0)</f>
        <v>41061</v>
      </c>
      <c r="B1039" s="5"/>
      <c r="C1039" s="5" t="str">
        <f>IFERROR(__xludf.DUMMYFUNCTION("""COMPUTED_VALUE"""),"VIVENDI")</f>
        <v>VIVENDI</v>
      </c>
      <c r="D1039" s="5" t="str">
        <f>IFERROR(__xludf.DUMMYFUNCTION("""COMPUTED_VALUE"""),"DIVIDEND")</f>
        <v>DIVIDEND</v>
      </c>
      <c r="E1039" s="5">
        <f>IFERROR(__xludf.DUMMYFUNCTION("""COMPUTED_VALUE"""),-15.0)</f>
        <v>-15</v>
      </c>
      <c r="F1039" s="25">
        <f>IFERROR(__xludf.DUMMYFUNCTION("""COMPUTED_VALUE"""),0.0)</f>
        <v>0</v>
      </c>
      <c r="G1039" s="10">
        <f>IFERROR(__xludf.DUMMYFUNCTION("""COMPUTED_VALUE"""),0.0)</f>
        <v>0</v>
      </c>
    </row>
    <row r="1040">
      <c r="A1040" s="24">
        <f>IFERROR(__xludf.DUMMYFUNCTION("""COMPUTED_VALUE"""),41053.0)</f>
        <v>41053</v>
      </c>
      <c r="B1040" s="5"/>
      <c r="C1040" s="5" t="str">
        <f>IFERROR(__xludf.DUMMYFUNCTION("""COMPUTED_VALUE"""),"GDF SUEZ")</f>
        <v>GDF SUEZ</v>
      </c>
      <c r="D1040" s="5" t="str">
        <f>IFERROR(__xludf.DUMMYFUNCTION("""COMPUTED_VALUE"""),"DIVIDEND")</f>
        <v>DIVIDEND</v>
      </c>
      <c r="E1040" s="5"/>
      <c r="F1040" s="5"/>
      <c r="G1040" s="10">
        <f>IFERROR(__xludf.DUMMYFUNCTION("""COMPUTED_VALUE"""),41.75)</f>
        <v>41.75</v>
      </c>
    </row>
    <row r="1041">
      <c r="A1041" s="24">
        <f>IFERROR(__xludf.DUMMYFUNCTION("""COMPUTED_VALUE"""),41050.0)</f>
        <v>41050</v>
      </c>
      <c r="B1041" s="5"/>
      <c r="C1041" s="5" t="str">
        <f>IFERROR(__xludf.DUMMYFUNCTION("""COMPUTED_VALUE"""),"VIVENDI")</f>
        <v>VIVENDI</v>
      </c>
      <c r="D1041" s="5" t="str">
        <f>IFERROR(__xludf.DUMMYFUNCTION("""COMPUTED_VALUE"""),"DIVIDEND")</f>
        <v>DIVIDEND</v>
      </c>
      <c r="E1041" s="5">
        <f>IFERROR(__xludf.DUMMYFUNCTION("""COMPUTED_VALUE"""),8.0)</f>
        <v>8</v>
      </c>
      <c r="F1041" s="25">
        <f>IFERROR(__xludf.DUMMYFUNCTION("""COMPUTED_VALUE"""),13.2)</f>
        <v>13.2</v>
      </c>
      <c r="G1041" s="10">
        <f>IFERROR(__xludf.DUMMYFUNCTION("""COMPUTED_VALUE"""),0.0)</f>
        <v>0</v>
      </c>
    </row>
    <row r="1042">
      <c r="A1042" s="24">
        <f>IFERROR(__xludf.DUMMYFUNCTION("""COMPUTED_VALUE"""),41050.0)</f>
        <v>41050</v>
      </c>
      <c r="B1042" s="5"/>
      <c r="C1042" s="5" t="str">
        <f>IFERROR(__xludf.DUMMYFUNCTION("""COMPUTED_VALUE"""),"VIVENDI")</f>
        <v>VIVENDI</v>
      </c>
      <c r="D1042" s="5" t="str">
        <f>IFERROR(__xludf.DUMMYFUNCTION("""COMPUTED_VALUE"""),"DIVIDEND")</f>
        <v>DIVIDEND</v>
      </c>
      <c r="E1042" s="5">
        <f>IFERROR(__xludf.DUMMYFUNCTION("""COMPUTED_VALUE"""),-240.0)</f>
        <v>-240</v>
      </c>
      <c r="F1042" s="25">
        <f>IFERROR(__xludf.DUMMYFUNCTION("""COMPUTED_VALUE"""),0.0)</f>
        <v>0</v>
      </c>
      <c r="G1042" s="10">
        <f>IFERROR(__xludf.DUMMYFUNCTION("""COMPUTED_VALUE"""),0.0)</f>
        <v>0</v>
      </c>
    </row>
    <row r="1043">
      <c r="A1043" s="24">
        <f>IFERROR(__xludf.DUMMYFUNCTION("""COMPUTED_VALUE"""),41038.0)</f>
        <v>41038</v>
      </c>
      <c r="B1043" s="5"/>
      <c r="C1043" s="5" t="str">
        <f>IFERROR(__xludf.DUMMYFUNCTION("""COMPUTED_VALUE"""),"VIVENDI")</f>
        <v>VIVENDI</v>
      </c>
      <c r="D1043" s="5" t="str">
        <f>IFERROR(__xludf.DUMMYFUNCTION("""COMPUTED_VALUE"""),"DIVIDEND")</f>
        <v>DIVIDEND</v>
      </c>
      <c r="E1043" s="5"/>
      <c r="F1043" s="5"/>
      <c r="G1043" s="10">
        <f>IFERROR(__xludf.DUMMYFUNCTION("""COMPUTED_VALUE"""),220.61)</f>
        <v>220.61</v>
      </c>
    </row>
    <row r="1044">
      <c r="A1044" s="24">
        <f>IFERROR(__xludf.DUMMYFUNCTION("""COMPUTED_VALUE"""),41038.0)</f>
        <v>41038</v>
      </c>
      <c r="B1044" s="5"/>
      <c r="C1044" s="5" t="str">
        <f>IFERROR(__xludf.DUMMYFUNCTION("""COMPUTED_VALUE"""),"VIVENDI")</f>
        <v>VIVENDI</v>
      </c>
      <c r="D1044" s="5" t="str">
        <f>IFERROR(__xludf.DUMMYFUNCTION("""COMPUTED_VALUE"""),"DIVIDEND")</f>
        <v>DIVIDEND</v>
      </c>
      <c r="E1044" s="5">
        <f>IFERROR(__xludf.DUMMYFUNCTION("""COMPUTED_VALUE"""),255.0)</f>
        <v>255</v>
      </c>
      <c r="F1044" s="25">
        <f>IFERROR(__xludf.DUMMYFUNCTION("""COMPUTED_VALUE"""),0.0)</f>
        <v>0</v>
      </c>
      <c r="G1044" s="10">
        <f>IFERROR(__xludf.DUMMYFUNCTION("""COMPUTED_VALUE"""),0.0)</f>
        <v>0</v>
      </c>
    </row>
    <row r="1045">
      <c r="A1045" s="24">
        <f>IFERROR(__xludf.DUMMYFUNCTION("""COMPUTED_VALUE"""),41033.0)</f>
        <v>41033</v>
      </c>
      <c r="B1045" s="5"/>
      <c r="C1045" s="5" t="str">
        <f>IFERROR(__xludf.DUMMYFUNCTION("""COMPUTED_VALUE"""),"BOUYGUES")</f>
        <v>BOUYGUES</v>
      </c>
      <c r="D1045" s="5" t="str">
        <f>IFERROR(__xludf.DUMMYFUNCTION("""COMPUTED_VALUE"""),"DIVIDEND")</f>
        <v>DIVIDEND</v>
      </c>
      <c r="E1045" s="5"/>
      <c r="F1045" s="5"/>
      <c r="G1045" s="10">
        <f>IFERROR(__xludf.DUMMYFUNCTION("""COMPUTED_VALUE"""),96.91)</f>
        <v>96.91</v>
      </c>
    </row>
    <row r="1046">
      <c r="A1046" s="24">
        <f>IFERROR(__xludf.DUMMYFUNCTION("""COMPUTED_VALUE"""),41025.0)</f>
        <v>41025</v>
      </c>
      <c r="B1046" s="5"/>
      <c r="C1046" s="5" t="str">
        <f>IFERROR(__xludf.DUMMYFUNCTION("""COMPUTED_VALUE"""),"TOTAL SA")</f>
        <v>TOTAL SA</v>
      </c>
      <c r="D1046" s="5" t="str">
        <f>IFERROR(__xludf.DUMMYFUNCTION("""COMPUTED_VALUE"""),"BUY")</f>
        <v>BUY</v>
      </c>
      <c r="E1046" s="5">
        <f>IFERROR(__xludf.DUMMYFUNCTION("""COMPUTED_VALUE"""),33.0)</f>
        <v>33</v>
      </c>
      <c r="F1046" s="25">
        <f>IFERROR(__xludf.DUMMYFUNCTION("""COMPUTED_VALUE"""),36.5)</f>
        <v>36.5</v>
      </c>
      <c r="G1046" s="10">
        <f>IFERROR(__xludf.DUMMYFUNCTION("""COMPUTED_VALUE"""),-1205.42)</f>
        <v>-1205.42</v>
      </c>
    </row>
    <row r="1047">
      <c r="A1047" s="24">
        <f>IFERROR(__xludf.DUMMYFUNCTION("""COMPUTED_VALUE"""),41025.0)</f>
        <v>41025</v>
      </c>
      <c r="B1047" s="5"/>
      <c r="C1047" s="5" t="str">
        <f>IFERROR(__xludf.DUMMYFUNCTION("""COMPUTED_VALUE"""),"PEUGEOT")</f>
        <v>PEUGEOT</v>
      </c>
      <c r="D1047" s="5" t="str">
        <f>IFERROR(__xludf.DUMMYFUNCTION("""COMPUTED_VALUE"""),"SELL")</f>
        <v>SELL</v>
      </c>
      <c r="E1047" s="5">
        <f>IFERROR(__xludf.DUMMYFUNCTION("""COMPUTED_VALUE"""),-135.0)</f>
        <v>-135</v>
      </c>
      <c r="F1047" s="25">
        <f>IFERROR(__xludf.DUMMYFUNCTION("""COMPUTED_VALUE"""),9.03)</f>
        <v>9.03</v>
      </c>
      <c r="G1047" s="10">
        <f>IFERROR(__xludf.DUMMYFUNCTION("""COMPUTED_VALUE"""),1218.49)</f>
        <v>1218.49</v>
      </c>
    </row>
    <row r="1048">
      <c r="A1048" s="24">
        <f>IFERROR(__xludf.DUMMYFUNCTION("""COMPUTED_VALUE"""),41024.0)</f>
        <v>41024</v>
      </c>
      <c r="B1048" s="5"/>
      <c r="C1048" s="5" t="str">
        <f>IFERROR(__xludf.DUMMYFUNCTION("""COMPUTED_VALUE"""),"GDF SUEZ")</f>
        <v>GDF SUEZ</v>
      </c>
      <c r="D1048" s="5" t="str">
        <f>IFERROR(__xludf.DUMMYFUNCTION("""COMPUTED_VALUE"""),"DIVIDEND")</f>
        <v>DIVIDEND</v>
      </c>
      <c r="E1048" s="5">
        <f>IFERROR(__xludf.DUMMYFUNCTION("""COMPUTED_VALUE"""),2.0)</f>
        <v>2</v>
      </c>
      <c r="F1048" s="25">
        <f>IFERROR(__xludf.DUMMYFUNCTION("""COMPUTED_VALUE"""),16.43)</f>
        <v>16.43</v>
      </c>
      <c r="G1048" s="10">
        <f>IFERROR(__xludf.DUMMYFUNCTION("""COMPUTED_VALUE"""),0.0)</f>
        <v>0</v>
      </c>
    </row>
    <row r="1049">
      <c r="A1049" s="24">
        <f>IFERROR(__xludf.DUMMYFUNCTION("""COMPUTED_VALUE"""),41024.0)</f>
        <v>41024</v>
      </c>
      <c r="B1049" s="5"/>
      <c r="C1049" s="5" t="str">
        <f>IFERROR(__xludf.DUMMYFUNCTION("""COMPUTED_VALUE"""),"VIVENDI")</f>
        <v>VIVENDI</v>
      </c>
      <c r="D1049" s="5" t="str">
        <f>IFERROR(__xludf.DUMMYFUNCTION("""COMPUTED_VALUE"""),"DIVIDEND")</f>
        <v>DIVIDEND</v>
      </c>
      <c r="E1049" s="5"/>
      <c r="F1049" s="5"/>
      <c r="G1049" s="10">
        <f>IFERROR(__xludf.DUMMYFUNCTION("""COMPUTED_VALUE"""),-32.86)</f>
        <v>-32.86</v>
      </c>
    </row>
    <row r="1050">
      <c r="A1050" s="24">
        <f>IFERROR(__xludf.DUMMYFUNCTION("""COMPUTED_VALUE"""),41004.0)</f>
        <v>41004</v>
      </c>
      <c r="B1050" s="5"/>
      <c r="C1050" s="5" t="str">
        <f>IFERROR(__xludf.DUMMYFUNCTION("""COMPUTED_VALUE"""),"BOUYGUES")</f>
        <v>BOUYGUES</v>
      </c>
      <c r="D1050" s="5" t="str">
        <f>IFERROR(__xludf.DUMMYFUNCTION("""COMPUTED_VALUE"""),"BUY")</f>
        <v>BUY</v>
      </c>
      <c r="E1050" s="5">
        <f>IFERROR(__xludf.DUMMYFUNCTION("""COMPUTED_VALUE"""),70.0)</f>
        <v>70</v>
      </c>
      <c r="F1050" s="25">
        <f>IFERROR(__xludf.DUMMYFUNCTION("""COMPUTED_VALUE"""),21.5)</f>
        <v>21.5</v>
      </c>
      <c r="G1050" s="10">
        <f>IFERROR(__xludf.DUMMYFUNCTION("""COMPUTED_VALUE"""),-1506.35)</f>
        <v>-1506.35</v>
      </c>
    </row>
    <row r="1051">
      <c r="A1051" s="24">
        <f>IFERROR(__xludf.DUMMYFUNCTION("""COMPUTED_VALUE"""),41002.0)</f>
        <v>41002</v>
      </c>
      <c r="B1051" s="5"/>
      <c r="C1051" s="5"/>
      <c r="D1051" s="5" t="str">
        <f>IFERROR(__xludf.DUMMYFUNCTION("""COMPUTED_VALUE"""),"APPROVISIONNEMENT")</f>
        <v>APPROVISIONNEMENT</v>
      </c>
      <c r="E1051" s="5"/>
      <c r="F1051" s="5"/>
      <c r="G1051" s="10">
        <f>IFERROR(__xludf.DUMMYFUNCTION("""COMPUTED_VALUE"""),1520.0)</f>
        <v>1520</v>
      </c>
    </row>
    <row r="1052">
      <c r="A1052" s="24">
        <f>IFERROR(__xludf.DUMMYFUNCTION("""COMPUTED_VALUE"""),40987.0)</f>
        <v>40987</v>
      </c>
      <c r="B1052" s="5"/>
      <c r="C1052" s="5" t="str">
        <f>IFERROR(__xludf.DUMMYFUNCTION("""COMPUTED_VALUE"""),"GDF SUEZ")</f>
        <v>GDF SUEZ</v>
      </c>
      <c r="D1052" s="5" t="str">
        <f>IFERROR(__xludf.DUMMYFUNCTION("""COMPUTED_VALUE"""),"BUY")</f>
        <v>BUY</v>
      </c>
      <c r="E1052" s="5">
        <f>IFERROR(__xludf.DUMMYFUNCTION("""COMPUTED_VALUE"""),72.0)</f>
        <v>72</v>
      </c>
      <c r="F1052" s="25">
        <f>IFERROR(__xludf.DUMMYFUNCTION("""COMPUTED_VALUE"""),19.86)</f>
        <v>19.86</v>
      </c>
      <c r="G1052" s="10">
        <f>IFERROR(__xludf.DUMMYFUNCTION("""COMPUTED_VALUE"""),-1430.85)</f>
        <v>-1430.85</v>
      </c>
    </row>
    <row r="1053">
      <c r="A1053" s="24">
        <f>IFERROR(__xludf.DUMMYFUNCTION("""COMPUTED_VALUE"""),40983.0)</f>
        <v>40983</v>
      </c>
      <c r="B1053" s="5"/>
      <c r="C1053" s="5" t="str">
        <f>IFERROR(__xludf.DUMMYFUNCTION("""COMPUTED_VALUE"""),"PEUGEOT")</f>
        <v>PEUGEOT</v>
      </c>
      <c r="D1053" s="5" t="str">
        <f>IFERROR(__xludf.DUMMYFUNCTION("""COMPUTED_VALUE"""),"BUY")</f>
        <v>BUY</v>
      </c>
      <c r="E1053" s="5">
        <f>IFERROR(__xludf.DUMMYFUNCTION("""COMPUTED_VALUE"""),135.0)</f>
        <v>135</v>
      </c>
      <c r="F1053" s="25">
        <f>IFERROR(__xludf.DUMMYFUNCTION("""COMPUTED_VALUE"""),12.96)</f>
        <v>12.96</v>
      </c>
      <c r="G1053" s="10">
        <f>IFERROR(__xludf.DUMMYFUNCTION("""COMPUTED_VALUE"""),-1750.5)</f>
        <v>-1750.5</v>
      </c>
    </row>
    <row r="1054">
      <c r="A1054" s="24">
        <f>IFERROR(__xludf.DUMMYFUNCTION("""COMPUTED_VALUE"""),40983.0)</f>
        <v>40983</v>
      </c>
      <c r="B1054" s="5"/>
      <c r="C1054" s="5" t="str">
        <f>IFERROR(__xludf.DUMMYFUNCTION("""COMPUTED_VALUE"""),"FRANCE TELECOM")</f>
        <v>FRANCE TELECOM</v>
      </c>
      <c r="D1054" s="5" t="str">
        <f>IFERROR(__xludf.DUMMYFUNCTION("""COMPUTED_VALUE"""),"BUY")</f>
        <v>BUY</v>
      </c>
      <c r="E1054" s="5">
        <f>IFERROR(__xludf.DUMMYFUNCTION("""COMPUTED_VALUE"""),110.0)</f>
        <v>110</v>
      </c>
      <c r="F1054" s="25">
        <f>IFERROR(__xludf.DUMMYFUNCTION("""COMPUTED_VALUE"""),11.24)</f>
        <v>11.24</v>
      </c>
      <c r="G1054" s="10">
        <f>IFERROR(__xludf.DUMMYFUNCTION("""COMPUTED_VALUE"""),-1236.96)</f>
        <v>-1236.96</v>
      </c>
    </row>
    <row r="1055">
      <c r="A1055" s="24">
        <f>IFERROR(__xludf.DUMMYFUNCTION("""COMPUTED_VALUE"""),40983.0)</f>
        <v>40983</v>
      </c>
      <c r="B1055" s="5"/>
      <c r="C1055" s="5" t="str">
        <f>IFERROR(__xludf.DUMMYFUNCTION("""COMPUTED_VALUE"""),"CREDIT AGRICOLE")</f>
        <v>CREDIT AGRICOLE</v>
      </c>
      <c r="D1055" s="5" t="str">
        <f>IFERROR(__xludf.DUMMYFUNCTION("""COMPUTED_VALUE"""),"SELL")</f>
        <v>SELL</v>
      </c>
      <c r="E1055" s="5">
        <f>IFERROR(__xludf.DUMMYFUNCTION("""COMPUTED_VALUE"""),-445.0)</f>
        <v>-445</v>
      </c>
      <c r="F1055" s="25">
        <f>IFERROR(__xludf.DUMMYFUNCTION("""COMPUTED_VALUE"""),5.09)</f>
        <v>5.09</v>
      </c>
      <c r="G1055" s="10">
        <f>IFERROR(__xludf.DUMMYFUNCTION("""COMPUTED_VALUE"""),2262.12)</f>
        <v>2262.12</v>
      </c>
    </row>
    <row r="1056">
      <c r="A1056" s="24">
        <f>IFERROR(__xludf.DUMMYFUNCTION("""COMPUTED_VALUE"""),40980.0)</f>
        <v>40980</v>
      </c>
      <c r="B1056" s="5"/>
      <c r="C1056" s="5"/>
      <c r="D1056" s="5" t="str">
        <f>IFERROR(__xludf.DUMMYFUNCTION("""COMPUTED_VALUE"""),"APPROVISIONNEMENT")</f>
        <v>APPROVISIONNEMENT</v>
      </c>
      <c r="E1056" s="5"/>
      <c r="F1056" s="5"/>
      <c r="G1056" s="10">
        <f>IFERROR(__xludf.DUMMYFUNCTION("""COMPUTED_VALUE"""),1700.0)</f>
        <v>1700</v>
      </c>
    </row>
    <row r="1057">
      <c r="A1057" s="24">
        <f>IFERROR(__xludf.DUMMYFUNCTION("""COMPUTED_VALUE"""),40970.0)</f>
        <v>40970</v>
      </c>
      <c r="B1057" s="5"/>
      <c r="C1057" s="5" t="str">
        <f>IFERROR(__xludf.DUMMYFUNCTION("""COMPUTED_VALUE"""),"VIVENDI")</f>
        <v>VIVENDI</v>
      </c>
      <c r="D1057" s="5" t="str">
        <f>IFERROR(__xludf.DUMMYFUNCTION("""COMPUTED_VALUE"""),"BUY")</f>
        <v>BUY</v>
      </c>
      <c r="E1057" s="5">
        <f>IFERROR(__xludf.DUMMYFUNCTION("""COMPUTED_VALUE"""),100.0)</f>
        <v>100</v>
      </c>
      <c r="F1057" s="25">
        <f>IFERROR(__xludf.DUMMYFUNCTION("""COMPUTED_VALUE"""),14.2)</f>
        <v>14.2</v>
      </c>
      <c r="G1057" s="10">
        <f>IFERROR(__xludf.DUMMYFUNCTION("""COMPUTED_VALUE"""),-1421.28)</f>
        <v>-1421.28</v>
      </c>
    </row>
    <row r="1058">
      <c r="A1058" s="24">
        <f>IFERROR(__xludf.DUMMYFUNCTION("""COMPUTED_VALUE"""),40969.0)</f>
        <v>40969</v>
      </c>
      <c r="B1058" s="5"/>
      <c r="C1058" s="5" t="str">
        <f>IFERROR(__xludf.DUMMYFUNCTION("""COMPUTED_VALUE"""),"VIVENDI")</f>
        <v>VIVENDI</v>
      </c>
      <c r="D1058" s="5" t="str">
        <f>IFERROR(__xludf.DUMMYFUNCTION("""COMPUTED_VALUE"""),"BUY")</f>
        <v>BUY</v>
      </c>
      <c r="E1058" s="5">
        <f>IFERROR(__xludf.DUMMYFUNCTION("""COMPUTED_VALUE"""),155.0)</f>
        <v>155</v>
      </c>
      <c r="F1058" s="25">
        <f>IFERROR(__xludf.DUMMYFUNCTION("""COMPUTED_VALUE"""),14.67)</f>
        <v>14.67</v>
      </c>
      <c r="G1058" s="10">
        <f>IFERROR(__xludf.DUMMYFUNCTION("""COMPUTED_VALUE"""),-2275.13)</f>
        <v>-2275.13</v>
      </c>
    </row>
    <row r="1059">
      <c r="A1059" s="24">
        <f>IFERROR(__xludf.DUMMYFUNCTION("""COMPUTED_VALUE"""),40969.0)</f>
        <v>40969</v>
      </c>
      <c r="B1059" s="5"/>
      <c r="C1059" s="5" t="str">
        <f>IFERROR(__xludf.DUMMYFUNCTION("""COMPUTED_VALUE"""),"VEOLIA ENVIRON")</f>
        <v>VEOLIA ENVIRON</v>
      </c>
      <c r="D1059" s="5" t="str">
        <f>IFERROR(__xludf.DUMMYFUNCTION("""COMPUTED_VALUE"""),"SELL")</f>
        <v>SELL</v>
      </c>
      <c r="E1059" s="5">
        <f>IFERROR(__xludf.DUMMYFUNCTION("""COMPUTED_VALUE"""),-250.0)</f>
        <v>-250</v>
      </c>
      <c r="F1059" s="25">
        <f>IFERROR(__xludf.DUMMYFUNCTION("""COMPUTED_VALUE"""),9.68)</f>
        <v>9.68</v>
      </c>
      <c r="G1059" s="10">
        <f>IFERROR(__xludf.DUMMYFUNCTION("""COMPUTED_VALUE"""),2416.57)</f>
        <v>2416.57</v>
      </c>
    </row>
    <row r="1060">
      <c r="A1060" s="24">
        <f>IFERROR(__xludf.DUMMYFUNCTION("""COMPUTED_VALUE"""),40968.0)</f>
        <v>40968</v>
      </c>
      <c r="B1060" s="5"/>
      <c r="C1060" s="5"/>
      <c r="D1060" s="5" t="str">
        <f>IFERROR(__xludf.DUMMYFUNCTION("""COMPUTED_VALUE"""),"APPROVISIONNEMENT")</f>
        <v>APPROVISIONNEMENT</v>
      </c>
      <c r="E1060" s="5"/>
      <c r="F1060" s="5"/>
      <c r="G1060" s="10">
        <f>IFERROR(__xludf.DUMMYFUNCTION("""COMPUTED_VALUE"""),1280.0)</f>
        <v>1280</v>
      </c>
    </row>
    <row r="1061">
      <c r="A1061" s="24">
        <f>IFERROR(__xludf.DUMMYFUNCTION("""COMPUTED_VALUE"""),40967.0)</f>
        <v>40967</v>
      </c>
      <c r="B1061" s="5"/>
      <c r="C1061" s="5" t="str">
        <f>IFERROR(__xludf.DUMMYFUNCTION("""COMPUTED_VALUE"""),"CREDIT AGRICOLE")</f>
        <v>CREDIT AGRICOLE</v>
      </c>
      <c r="D1061" s="5" t="str">
        <f>IFERROR(__xludf.DUMMYFUNCTION("""COMPUTED_VALUE"""),"BUY")</f>
        <v>BUY</v>
      </c>
      <c r="E1061" s="5">
        <f>IFERROR(__xludf.DUMMYFUNCTION("""COMPUTED_VALUE"""),445.0)</f>
        <v>445</v>
      </c>
      <c r="F1061" s="25">
        <f>IFERROR(__xludf.DUMMYFUNCTION("""COMPUTED_VALUE"""),4.69)</f>
        <v>4.69</v>
      </c>
      <c r="G1061" s="10">
        <f>IFERROR(__xludf.DUMMYFUNCTION("""COMPUTED_VALUE"""),-2088.93)</f>
        <v>-2088.93</v>
      </c>
    </row>
    <row r="1062">
      <c r="A1062" s="24">
        <f>IFERROR(__xludf.DUMMYFUNCTION("""COMPUTED_VALUE"""),40967.0)</f>
        <v>40967</v>
      </c>
      <c r="B1062" s="5"/>
      <c r="C1062" s="5" t="str">
        <f>IFERROR(__xludf.DUMMYFUNCTION("""COMPUTED_VALUE"""),"FRANCE TELECOM")</f>
        <v>FRANCE TELECOM</v>
      </c>
      <c r="D1062" s="5" t="str">
        <f>IFERROR(__xludf.DUMMYFUNCTION("""COMPUTED_VALUE"""),"BUY")</f>
        <v>BUY</v>
      </c>
      <c r="E1062" s="5">
        <f>IFERROR(__xludf.DUMMYFUNCTION("""COMPUTED_VALUE"""),100.0)</f>
        <v>100</v>
      </c>
      <c r="F1062" s="25">
        <f>IFERROR(__xludf.DUMMYFUNCTION("""COMPUTED_VALUE"""),11.66)</f>
        <v>11.66</v>
      </c>
      <c r="G1062" s="10">
        <f>IFERROR(__xludf.DUMMYFUNCTION("""COMPUTED_VALUE"""),-1166.55)</f>
        <v>-1166.55</v>
      </c>
    </row>
    <row r="1063">
      <c r="A1063" s="24">
        <f>IFERROR(__xludf.DUMMYFUNCTION("""COMPUTED_VALUE"""),40967.0)</f>
        <v>40967</v>
      </c>
      <c r="B1063" s="5"/>
      <c r="C1063" s="5" t="str">
        <f>IFERROR(__xludf.DUMMYFUNCTION("""COMPUTED_VALUE"""),"EDF")</f>
        <v>EDF</v>
      </c>
      <c r="D1063" s="5" t="str">
        <f>IFERROR(__xludf.DUMMYFUNCTION("""COMPUTED_VALUE"""),"BUY")</f>
        <v>BUY</v>
      </c>
      <c r="E1063" s="5">
        <f>IFERROR(__xludf.DUMMYFUNCTION("""COMPUTED_VALUE"""),70.0)</f>
        <v>70</v>
      </c>
      <c r="F1063" s="25">
        <f>IFERROR(__xludf.DUMMYFUNCTION("""COMPUTED_VALUE"""),18.58)</f>
        <v>18.58</v>
      </c>
      <c r="G1063" s="10">
        <f>IFERROR(__xludf.DUMMYFUNCTION("""COMPUTED_VALUE"""),-1301.77)</f>
        <v>-1301.77</v>
      </c>
    </row>
    <row r="1064">
      <c r="A1064" s="24">
        <f>IFERROR(__xludf.DUMMYFUNCTION("""COMPUTED_VALUE"""),40963.0)</f>
        <v>40963</v>
      </c>
      <c r="B1064" s="5"/>
      <c r="C1064" s="5"/>
      <c r="D1064" s="5" t="str">
        <f>IFERROR(__xludf.DUMMYFUNCTION("""COMPUTED_VALUE"""),"APPROVISIONNEMENT")</f>
        <v>APPROVISIONNEMENT</v>
      </c>
      <c r="E1064" s="5"/>
      <c r="F1064" s="5"/>
      <c r="G1064" s="10">
        <f>IFERROR(__xludf.DUMMYFUNCTION("""COMPUTED_VALUE"""),5000.0)</f>
        <v>5000</v>
      </c>
    </row>
    <row r="1065">
      <c r="A1065" s="24">
        <f>IFERROR(__xludf.DUMMYFUNCTION("""COMPUTED_VALUE"""),40917.0)</f>
        <v>40917</v>
      </c>
      <c r="B1065" s="5"/>
      <c r="C1065" s="5" t="str">
        <f>IFERROR(__xludf.DUMMYFUNCTION("""COMPUTED_VALUE"""),"VEOLIA ENVIRON")</f>
        <v>VEOLIA ENVIRON</v>
      </c>
      <c r="D1065" s="5" t="str">
        <f>IFERROR(__xludf.DUMMYFUNCTION("""COMPUTED_VALUE"""),"BUY")</f>
        <v>BUY</v>
      </c>
      <c r="E1065" s="5">
        <f>IFERROR(__xludf.DUMMYFUNCTION("""COMPUTED_VALUE"""),250.0)</f>
        <v>250</v>
      </c>
      <c r="F1065" s="25">
        <f>IFERROR(__xludf.DUMMYFUNCTION("""COMPUTED_VALUE"""),8.06)</f>
        <v>8.06</v>
      </c>
      <c r="G1065" s="10">
        <f>IFERROR(__xludf.DUMMYFUNCTION("""COMPUTED_VALUE"""),-2015.56)</f>
        <v>-2015.56</v>
      </c>
    </row>
    <row r="1066">
      <c r="A1066" s="24">
        <f>IFERROR(__xludf.DUMMYFUNCTION("""COMPUTED_VALUE"""),40914.0)</f>
        <v>40914</v>
      </c>
      <c r="B1066" s="5"/>
      <c r="C1066" s="5"/>
      <c r="D1066" s="5" t="str">
        <f>IFERROR(__xludf.DUMMYFUNCTION("""COMPUTED_VALUE"""),"APPROVISIONNEMENT")</f>
        <v>APPROVISIONNEMENT</v>
      </c>
      <c r="E1066" s="5"/>
      <c r="F1066" s="5"/>
      <c r="G1066" s="10">
        <f>IFERROR(__xludf.DUMMYFUNCTION("""COMPUTED_VALUE"""),2000.0)</f>
        <v>2000</v>
      </c>
    </row>
    <row r="1067">
      <c r="A1067" s="24">
        <f>IFERROR(__xludf.DUMMYFUNCTION("""COMPUTED_VALUE"""),40906.0)</f>
        <v>40906</v>
      </c>
      <c r="B1067" s="5"/>
      <c r="C1067" s="5" t="str">
        <f>IFERROR(__xludf.DUMMYFUNCTION("""COMPUTED_VALUE"""),"FRANCE TELECOM")</f>
        <v>FRANCE TELECOM</v>
      </c>
      <c r="D1067" s="5" t="str">
        <f>IFERROR(__xludf.DUMMYFUNCTION("""COMPUTED_VALUE"""),"BUY")</f>
        <v>BUY</v>
      </c>
      <c r="E1067" s="5">
        <f>IFERROR(__xludf.DUMMYFUNCTION("""COMPUTED_VALUE"""),245.0)</f>
        <v>245</v>
      </c>
      <c r="F1067" s="25">
        <f>IFERROR(__xludf.DUMMYFUNCTION("""COMPUTED_VALUE"""),11.815)</f>
        <v>11.815</v>
      </c>
      <c r="G1067" s="10">
        <f>IFERROR(__xludf.DUMMYFUNCTION("""COMPUTED_VALUE"""),-2897.57)</f>
        <v>-2897.57</v>
      </c>
    </row>
    <row r="1068">
      <c r="A1068" s="24">
        <f>IFERROR(__xludf.DUMMYFUNCTION("""COMPUTED_VALUE"""),40828.0)</f>
        <v>40828</v>
      </c>
      <c r="B1068" s="5"/>
      <c r="C1068" s="24" t="str">
        <f>IFERROR(__xludf.DUMMYFUNCTION("""COMPUTED_VALUE"""),"FRANCE TELECOM")</f>
        <v>FRANCE TELECOM</v>
      </c>
      <c r="D1068" s="24" t="str">
        <f>IFERROR(__xludf.DUMMYFUNCTION("""COMPUTED_VALUE"""),"SELL")</f>
        <v>SELL</v>
      </c>
      <c r="E1068" s="5">
        <f>IFERROR(__xludf.DUMMYFUNCTION("""COMPUTED_VALUE"""),-555.0)</f>
        <v>-555</v>
      </c>
      <c r="F1068" s="25">
        <f>IFERROR(__xludf.DUMMYFUNCTION("""COMPUTED_VALUE"""),17.613675675675676)</f>
        <v>17.61367568</v>
      </c>
      <c r="G1068" s="10">
        <f>IFERROR(__xludf.DUMMYFUNCTION("""COMPUTED_VALUE"""),9775.59)</f>
        <v>9775.59</v>
      </c>
    </row>
    <row r="1069">
      <c r="A1069" s="24">
        <f>IFERROR(__xludf.DUMMYFUNCTION("""COMPUTED_VALUE"""),40668.0)</f>
        <v>40668</v>
      </c>
      <c r="B1069" s="5"/>
      <c r="C1069" s="24" t="str">
        <f>IFERROR(__xludf.DUMMYFUNCTION("""COMPUTED_VALUE"""),"FRANCE TELECOM")</f>
        <v>FRANCE TELECOM</v>
      </c>
      <c r="D1069" s="24" t="str">
        <f>IFERROR(__xludf.DUMMYFUNCTION("""COMPUTED_VALUE"""),"BUY")</f>
        <v>BUY</v>
      </c>
      <c r="E1069" s="5">
        <f>IFERROR(__xludf.DUMMYFUNCTION("""COMPUTED_VALUE"""),555.0)</f>
        <v>555</v>
      </c>
      <c r="F1069" s="25">
        <f>IFERROR(__xludf.DUMMYFUNCTION("""COMPUTED_VALUE"""),15.58)</f>
        <v>15.58</v>
      </c>
      <c r="G1069" s="10">
        <f>IFERROR(__xludf.DUMMYFUNCTION("""COMPUTED_VALUE"""),-8646.9)</f>
        <v>-8646.9</v>
      </c>
    </row>
    <row r="1070">
      <c r="A1070" s="24">
        <f>IFERROR(__xludf.DUMMYFUNCTION("""COMPUTED_VALUE"""),40639.0)</f>
        <v>40639</v>
      </c>
      <c r="B1070" s="5"/>
      <c r="C1070" s="5"/>
      <c r="D1070" s="5" t="str">
        <f>IFERROR(__xludf.DUMMYFUNCTION("""COMPUTED_VALUE"""),"APPROVISIONNEMENT")</f>
        <v>APPROVISIONNEMENT</v>
      </c>
      <c r="E1070" s="5"/>
      <c r="F1070" s="5"/>
      <c r="G1070"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IFERROR(__xludf.DUMMYFUNCTION("""COMPUTED_VALUE"""),899025.42)</f>
        <v>899025.42</v>
      </c>
      <c r="E2" s="11">
        <f>IFERROR(__xludf.DUMMYFUNCTION("""COMPUTED_VALUE"""),0.9967022394678493)</f>
        <v>0.9967022395</v>
      </c>
      <c r="F2" s="10">
        <f>IFERROR(__xludf.DUMMYFUNCTION("""COMPUTED_VALUE"""),1282377.52)</f>
        <v>1282377.52</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IFERROR(__xludf.DUMMYFUNCTION("""COMPUTED_VALUE"""),902579.6200000002)</f>
        <v>902579.62</v>
      </c>
      <c r="E3" s="11">
        <f>IFERROR(__xludf.DUMMYFUNCTION("""COMPUTED_VALUE"""),1.027995011389522)</f>
        <v>1.027995011</v>
      </c>
      <c r="F3" s="10">
        <f>IFERROR(__xludf.DUMMYFUNCTION("""COMPUTED_VALUE"""),1275462.2800000003)</f>
        <v>1275462.28</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ROW()-2</f>
        <v>0</v>
      </c>
      <c r="B2" s="32" t="s">
        <v>40</v>
      </c>
      <c r="C2" s="33"/>
      <c r="D2" s="33">
        <f t="shared" ref="D2:D7" si="2">IF(ISREF(INDIRECT($B2&amp;"!$A$1")),INDIRECT($B2&amp;"!$K$2"),0) </f>
        <v>0</v>
      </c>
      <c r="E2" s="33">
        <f>SUMIFS(AssociateHistoric!$C:$C,AssociateHistoric!$B:$B,$B2,AssociateHistoric!$D:$D,"&gt;0")</f>
        <v>0</v>
      </c>
      <c r="F2" s="34">
        <f>COUNTIFS(Historic!$A:$A,"&gt;="&amp;MIN(INDIRECT($B2&amp;"!$A:$A")),Historic!$D:$D,"BUY")</f>
        <v>1</v>
      </c>
      <c r="G2" s="35">
        <f t="array" ref="G2">IF(ROW()=2,MAX(Dashboard!$B$26,Dashboard!$B$57/12),INDEX(G:G,ROW()-1))</f>
        <v>0.001041666667</v>
      </c>
      <c r="H2" s="33">
        <f t="shared" ref="H2:H7" si="3">$G2*$N2</f>
        <v>0</v>
      </c>
      <c r="I2" s="33" t="str">
        <f>IF(ISREF(INDIRECT($B2&amp;"!$A$1")),ROUNDUP((DateTime!$B$2-MIN(INDIRECT($B2&amp;"!$A:$A")))/365.25*12) &amp; " months (" &amp; ROUNDUP((DateTime!$B$2-MIN(INDIRECT($B2&amp;"!$A:$A")))/365.25,1) &amp;  " years)",)</f>
        <v>0 months (0 years)</v>
      </c>
      <c r="J2" s="33">
        <f>SUMIFS(AssociateHistoric!$C:$C,AssociateHistoric!$A:$A,"&lt;&gt;",AssociateHistoric!$B:$B,$B2,AssociateHistoric!$C:$C,"&gt;0")</f>
        <v>0</v>
      </c>
      <c r="K2" s="33">
        <f>SUMIFS(AssociateHistoric!$C:$C,AssociateHistoric!$B:$B,$B2,AssociateHistoric!$C:$C,"&lt;0",AssociateHistoric!$D:$D,"&lt;=0")</f>
        <v>0</v>
      </c>
      <c r="L2" s="33" t="str">
        <f t="shared" ref="L2:L7" si="4">IF(ISREF(INDIRECT($B2&amp;"!$A$1")),INDIRECT($B2&amp;"!J2"),)</f>
        <v/>
      </c>
      <c r="M2" s="35" t="str">
        <f t="shared" ref="M2:M7" si="5">IF(ISREF(INDIRECT($B2&amp;"!$A$1")),INDIRECT($B2&amp;"!H2"),)</f>
        <v/>
      </c>
      <c r="N2" s="36" t="str">
        <f t="shared" ref="N2:N7" si="6">IF(ISREF(INDIRECT($B2&amp;"!$A$1")),INDIRECT($B2&amp;"!N2")+INDIRECT($B2&amp;"!C2"),)</f>
        <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1</v>
      </c>
      <c r="B3" s="32" t="s">
        <v>50</v>
      </c>
      <c r="C3" s="33">
        <v>-1000.0</v>
      </c>
      <c r="D3" s="33">
        <f t="shared" si="2"/>
        <v>-241.2682864</v>
      </c>
      <c r="E3" s="33">
        <f>SUMIFS(AssociateHistoric!$C:$C,AssociateHistoric!$B:$B,$B3,AssociateHistoric!$D:$D,"&gt;0")</f>
        <v>-434.68</v>
      </c>
      <c r="F3" s="34">
        <f>COUNTIFS(Historic!$A:$A,"&gt;="&amp;MIN(INDIRECT($B3&amp;"!$A:$A")),Historic!$D:$D,"BUY")</f>
        <v>205</v>
      </c>
      <c r="G3" s="35">
        <f t="array" ref="G3">IF(ROW()=2,MAX(Dashboard!$B$26,Dashboard!$B$57/12),INDEX(G:G,ROW()-1))</f>
        <v>0.001041666667</v>
      </c>
      <c r="H3" s="33">
        <f t="shared" si="3"/>
        <v>15.10281308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-17550</v>
      </c>
      <c r="L3" s="33">
        <f t="shared" si="4"/>
        <v>12048.70056</v>
      </c>
      <c r="M3" s="35">
        <f t="shared" si="5"/>
        <v>0.2453609633</v>
      </c>
      <c r="N3" s="36">
        <f t="shared" si="6"/>
        <v>14498.70056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2</v>
      </c>
      <c r="B4" s="32" t="s">
        <v>58</v>
      </c>
      <c r="C4" s="33"/>
      <c r="D4" s="33">
        <f t="shared" si="2"/>
        <v>-2.224301602</v>
      </c>
      <c r="E4" s="33">
        <f>SUMIFS(AssociateHistoric!$C:$C,AssociateHistoric!$B:$B,$B4,AssociateHistoric!$D:$D,"&gt;0")</f>
        <v>0</v>
      </c>
      <c r="F4" s="34">
        <f>COUNTIFS(Historic!$A:$A,"&gt;="&amp;MIN(INDIRECT($B4&amp;"!$A:$A")),Historic!$D:$D,"BUY")</f>
        <v>113</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3</v>
      </c>
      <c r="B5" s="32" t="s">
        <v>65</v>
      </c>
      <c r="C5" s="33"/>
      <c r="D5" s="33">
        <f t="shared" si="2"/>
        <v>-65.26808195</v>
      </c>
      <c r="E5" s="33">
        <f>SUMIFS(AssociateHistoric!$C:$C,AssociateHistoric!$B:$B,$B5,AssociateHistoric!$D:$D,"&gt;0")</f>
        <v>0</v>
      </c>
      <c r="F5" s="34">
        <f>COUNTIFS(Historic!$A:$A,"&gt;="&amp;MIN(INDIRECT($B5&amp;"!$A:$A")),Historic!$D:$D,"BUY")</f>
        <v>26</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(0.2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4</v>
      </c>
      <c r="B6" s="32" t="s">
        <v>76</v>
      </c>
      <c r="C6" s="33"/>
      <c r="D6" s="33">
        <f t="shared" si="2"/>
        <v>0</v>
      </c>
      <c r="E6" s="33">
        <f>SUMIFS(AssociateHistoric!$C:$C,AssociateHistoric!$B:$B,$B6,AssociateHistoric!$D:$D,"&gt;0")</f>
        <v>0</v>
      </c>
      <c r="F6" s="34">
        <f>COUNTIFS(Historic!$A:$A,"&gt;="&amp;MIN(INDIRECT($B6&amp;"!$A:$A")),Historic!$D:$D,"BUY")</f>
        <v>1</v>
      </c>
      <c r="G6" s="35">
        <f t="array" ref="G6">IF(ROW()=2,MAX(Dashboard!$B$26,Dashboard!$B$57/12),INDEX(G:G,ROW()-1))</f>
        <v>0.001041666667</v>
      </c>
      <c r="H6" s="33">
        <f t="shared" si="3"/>
        <v>0</v>
      </c>
      <c r="I6" s="33" t="str">
        <f>IF(ISREF(INDIRECT($B6&amp;"!$A$1")),ROUNDUP((DateTime!$B$2-MIN(INDIRECT($B6&amp;"!$A:$A")))/365.25*12) &amp; " months (" &amp; ROUNDUP((DateTime!$B$2-MIN(INDIRECT($B6&amp;"!$A:$A")))/365.25,1) &amp;  " years)",)</f>
        <v>0 months (0 years)</v>
      </c>
      <c r="J6" s="33">
        <f>SUMIFS(AssociateHistoric!$C:$C,AssociateHistoric!$A:$A,"&lt;&gt;",AssociateHistoric!$B:$B,$B6,AssociateHistoric!$C:$C,"&gt;0")</f>
        <v>4999</v>
      </c>
      <c r="K6" s="33">
        <f>SUMIFS(AssociateHistoric!$C:$C,AssociateHistoric!$B:$B,$B6,AssociateHistoric!$C:$C,"&lt;0",AssociateHistoric!$D:$D,"&lt;=0")</f>
        <v>0</v>
      </c>
      <c r="L6" s="33" t="str">
        <f t="shared" si="4"/>
        <v/>
      </c>
      <c r="M6" s="35" t="str">
        <f t="shared" si="5"/>
        <v/>
      </c>
      <c r="N6" s="36" t="str">
        <f t="shared" si="6"/>
        <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5</v>
      </c>
      <c r="B7" s="32" t="s">
        <v>87</v>
      </c>
      <c r="C7" s="33"/>
      <c r="D7" s="33">
        <f t="shared" si="2"/>
        <v>0</v>
      </c>
      <c r="E7" s="33">
        <f>SUMIFS(AssociateHistoric!$C:$C,AssociateHistoric!$B:$B,$B7,AssociateHistoric!$D:$D,"&gt;0")</f>
        <v>0</v>
      </c>
      <c r="F7" s="34">
        <f>COUNTIFS(Historic!$A:$A,"&gt;="&amp;MIN(INDIRECT($B7&amp;"!$A:$A")),Historic!$D:$D,"BUY")</f>
        <v>1</v>
      </c>
      <c r="G7" s="35">
        <f t="array" ref="G7">IF(ROW()=2,MAX(Dashboard!$B$26,Dashboard!$B$57/12),INDEX(G:G,ROW()-1))</f>
        <v>0.001041666667</v>
      </c>
      <c r="H7" s="33">
        <f t="shared" si="3"/>
        <v>0</v>
      </c>
      <c r="I7" s="33" t="str">
        <f>IF(ISREF(INDIRECT($B7&amp;"!$A$1")),ROUNDUP((DateTime!$B$2-MIN(INDIRECT($B7&amp;"!$A:$A")))/365.25*12) &amp; " months (" &amp; ROUNDUP((DateTime!$B$2-MIN(INDIRECT($B7&amp;"!$A:$A")))/365.25,1) &amp;  " years)",)</f>
        <v>0 months (0 years)</v>
      </c>
      <c r="J7" s="33">
        <f>SUMIFS(AssociateHistoric!$C:$C,AssociateHistoric!$A:$A,"&lt;&gt;",AssociateHistoric!$B:$B,$B7,AssociateHistoric!$C:$C,"&gt;0")</f>
        <v>4999</v>
      </c>
      <c r="K7" s="33">
        <f>SUMIFS(AssociateHistoric!$C:$C,AssociateHistoric!$B:$B,$B7,AssociateHistoric!$C:$C,"&lt;0",AssociateHistoric!$D:$D,"&lt;=0")</f>
        <v>0</v>
      </c>
      <c r="L7" s="33" t="str">
        <f t="shared" si="4"/>
        <v/>
      </c>
      <c r="M7" s="35" t="str">
        <f t="shared" si="5"/>
        <v/>
      </c>
      <c r="N7" s="36" t="str">
        <f t="shared" si="6"/>
        <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41">
        <v>44170.0</v>
      </c>
      <c r="B2" s="32" t="s">
        <v>50</v>
      </c>
      <c r="C2" s="33">
        <v>-1000.0</v>
      </c>
      <c r="D2" s="33">
        <v>0.0</v>
      </c>
    </row>
    <row r="3">
      <c r="A3" s="38">
        <v>44166.0</v>
      </c>
      <c r="B3" s="32" t="s">
        <v>50</v>
      </c>
      <c r="C3" s="33">
        <v>-3000.0</v>
      </c>
      <c r="D3" s="33">
        <v>0.0</v>
      </c>
    </row>
    <row r="4">
      <c r="A4" s="38">
        <v>44162.0</v>
      </c>
      <c r="B4" s="32" t="s">
        <v>87</v>
      </c>
      <c r="C4" s="33">
        <v>4999.0</v>
      </c>
      <c r="D4" s="33">
        <v>0.0</v>
      </c>
    </row>
    <row r="5">
      <c r="A5" s="38">
        <v>44162.0</v>
      </c>
      <c r="B5" s="32" t="s">
        <v>76</v>
      </c>
      <c r="C5" s="33">
        <v>4999.0</v>
      </c>
      <c r="D5" s="33">
        <v>0.0</v>
      </c>
    </row>
    <row r="6">
      <c r="A6" s="38">
        <v>44158.0</v>
      </c>
      <c r="B6" s="32" t="s">
        <v>58</v>
      </c>
      <c r="C6" s="33">
        <v>100.0</v>
      </c>
      <c r="D6" s="33">
        <v>0.0</v>
      </c>
    </row>
    <row r="7">
      <c r="A7" s="41">
        <v>44140.0</v>
      </c>
      <c r="B7" s="32" t="s">
        <v>50</v>
      </c>
      <c r="C7" s="33">
        <v>-1000.0</v>
      </c>
      <c r="D7" s="33">
        <v>0.0</v>
      </c>
    </row>
    <row r="8">
      <c r="A8" s="38">
        <v>44131.0</v>
      </c>
      <c r="B8" s="32" t="s">
        <v>58</v>
      </c>
      <c r="C8" s="33">
        <v>100.0</v>
      </c>
      <c r="D8" s="33">
        <v>0.0</v>
      </c>
    </row>
    <row r="9">
      <c r="A9" s="38">
        <v>44116.0</v>
      </c>
      <c r="B9" s="32" t="s">
        <v>58</v>
      </c>
      <c r="C9" s="33">
        <v>100.0</v>
      </c>
      <c r="D9" s="33">
        <v>0.0</v>
      </c>
    </row>
    <row r="10">
      <c r="A10" s="38">
        <v>44115.0</v>
      </c>
      <c r="B10" s="32" t="s">
        <v>50</v>
      </c>
      <c r="C10" s="33">
        <v>-300.0</v>
      </c>
      <c r="D10" s="33">
        <v>0.0</v>
      </c>
    </row>
    <row r="11">
      <c r="A11" s="38">
        <v>44092.0</v>
      </c>
      <c r="B11" s="32" t="s">
        <v>65</v>
      </c>
      <c r="C11" s="33">
        <v>40000.0</v>
      </c>
      <c r="D11" s="33">
        <v>0.0</v>
      </c>
    </row>
    <row r="12">
      <c r="A12" s="38">
        <v>44091.0</v>
      </c>
      <c r="B12" s="32" t="s">
        <v>58</v>
      </c>
      <c r="C12" s="33">
        <v>100.0</v>
      </c>
      <c r="D12" s="33">
        <v>0.0</v>
      </c>
    </row>
    <row r="13">
      <c r="A13" s="38">
        <v>44054.0</v>
      </c>
      <c r="B13" s="32" t="s">
        <v>50</v>
      </c>
      <c r="C13" s="33">
        <v>-300.0</v>
      </c>
      <c r="D13" s="33">
        <v>0.0</v>
      </c>
    </row>
    <row r="14">
      <c r="A14" s="38">
        <v>44053.0</v>
      </c>
      <c r="B14" s="32" t="s">
        <v>50</v>
      </c>
      <c r="C14" s="33">
        <v>-300.0</v>
      </c>
      <c r="D14" s="33">
        <v>0.0</v>
      </c>
    </row>
    <row r="15">
      <c r="A15" s="38">
        <v>44048.0</v>
      </c>
      <c r="B15" s="32" t="s">
        <v>50</v>
      </c>
      <c r="C15" s="33">
        <v>-1500.0</v>
      </c>
      <c r="D15" s="33">
        <v>0.0</v>
      </c>
    </row>
    <row r="16">
      <c r="A16" s="38">
        <v>44046.0</v>
      </c>
      <c r="B16" s="32" t="s">
        <v>50</v>
      </c>
      <c r="C16" s="33">
        <v>-2200.0</v>
      </c>
      <c r="D16" s="33">
        <v>0.0</v>
      </c>
    </row>
    <row r="17">
      <c r="A17" s="38">
        <v>44035.0</v>
      </c>
      <c r="B17" s="32" t="s">
        <v>50</v>
      </c>
      <c r="C17" s="33">
        <v>-500.0</v>
      </c>
      <c r="D17" s="33">
        <v>0.0</v>
      </c>
    </row>
    <row r="18">
      <c r="A18" s="38">
        <v>44029.0</v>
      </c>
      <c r="B18" s="32" t="s">
        <v>50</v>
      </c>
      <c r="C18" s="33">
        <v>-300.0</v>
      </c>
      <c r="D18" s="33">
        <v>0.0</v>
      </c>
    </row>
    <row r="19">
      <c r="A19" s="38">
        <v>44014.0</v>
      </c>
      <c r="B19" s="32" t="s">
        <v>50</v>
      </c>
      <c r="C19" s="33">
        <v>-300.0</v>
      </c>
      <c r="D19" s="33">
        <v>0.0</v>
      </c>
    </row>
    <row r="20">
      <c r="A20" s="38">
        <v>44008.0</v>
      </c>
      <c r="B20" s="32" t="s">
        <v>50</v>
      </c>
      <c r="C20" s="33">
        <v>3000.0</v>
      </c>
      <c r="D20" s="33">
        <v>0.0</v>
      </c>
    </row>
    <row r="21">
      <c r="A21" s="38">
        <v>43990.0</v>
      </c>
      <c r="B21" s="32" t="s">
        <v>50</v>
      </c>
      <c r="C21" s="33">
        <v>-300.0</v>
      </c>
      <c r="D21" s="33">
        <v>0.0</v>
      </c>
    </row>
    <row r="22">
      <c r="A22" s="38">
        <v>43959.0</v>
      </c>
      <c r="B22" s="32" t="s">
        <v>50</v>
      </c>
      <c r="C22" s="33">
        <v>-300.0</v>
      </c>
      <c r="D22" s="33">
        <v>0.0</v>
      </c>
    </row>
    <row r="23">
      <c r="A23" s="38">
        <v>43935.0</v>
      </c>
      <c r="B23" s="32" t="s">
        <v>50</v>
      </c>
      <c r="C23" s="33">
        <v>-300.0</v>
      </c>
      <c r="D23" s="33">
        <v>0.0</v>
      </c>
    </row>
    <row r="24">
      <c r="A24" s="38">
        <v>43899.0</v>
      </c>
      <c r="B24" s="32" t="s">
        <v>50</v>
      </c>
      <c r="C24" s="33">
        <v>-300.0</v>
      </c>
      <c r="D24" s="33">
        <v>0.0</v>
      </c>
    </row>
    <row r="25">
      <c r="A25" s="38">
        <v>43871.0</v>
      </c>
      <c r="B25" s="32" t="s">
        <v>58</v>
      </c>
      <c r="C25" s="33">
        <v>100.0</v>
      </c>
      <c r="D25" s="33">
        <v>0.0</v>
      </c>
    </row>
    <row r="26">
      <c r="A26" s="38">
        <v>43850.0</v>
      </c>
      <c r="B26" s="32" t="s">
        <v>50</v>
      </c>
      <c r="C26" s="33">
        <v>-1000.0</v>
      </c>
      <c r="D26" s="33">
        <v>0.0</v>
      </c>
    </row>
    <row r="27">
      <c r="A27" s="38">
        <v>43844.0</v>
      </c>
      <c r="B27" s="32" t="s">
        <v>50</v>
      </c>
      <c r="C27" s="33">
        <v>-434.68</v>
      </c>
      <c r="D27" s="33">
        <v>434.68</v>
      </c>
    </row>
    <row r="28">
      <c r="A28" s="38">
        <v>43804.0</v>
      </c>
      <c r="B28" s="32" t="s">
        <v>50</v>
      </c>
      <c r="C28" s="33">
        <v>-700.0</v>
      </c>
      <c r="D28" s="33">
        <v>0.0</v>
      </c>
    </row>
    <row r="29">
      <c r="A29" s="38">
        <v>43775.0</v>
      </c>
      <c r="B29" s="32" t="s">
        <v>50</v>
      </c>
      <c r="C29" s="33">
        <v>-300.0</v>
      </c>
      <c r="D29" s="33">
        <v>0.0</v>
      </c>
    </row>
    <row r="30">
      <c r="A30" s="38">
        <v>43756.0</v>
      </c>
      <c r="B30" s="32" t="s">
        <v>50</v>
      </c>
      <c r="C30" s="33">
        <v>-150.0</v>
      </c>
      <c r="D30" s="33">
        <v>0.0</v>
      </c>
    </row>
    <row r="31">
      <c r="A31" s="38">
        <v>43706.0</v>
      </c>
      <c r="B31" s="32" t="s">
        <v>50</v>
      </c>
      <c r="C31" s="33">
        <v>-1000.0</v>
      </c>
      <c r="D31" s="33">
        <v>0.0</v>
      </c>
    </row>
    <row r="32">
      <c r="A32" s="38">
        <v>43675.0</v>
      </c>
      <c r="B32" s="32" t="s">
        <v>58</v>
      </c>
      <c r="C32" s="33">
        <v>100.0</v>
      </c>
      <c r="D32" s="33">
        <v>0.0</v>
      </c>
    </row>
    <row r="33">
      <c r="A33" s="38">
        <v>43601.0</v>
      </c>
      <c r="B33" s="32" t="s">
        <v>50</v>
      </c>
      <c r="C33" s="33">
        <v>-500.0</v>
      </c>
      <c r="D33" s="33">
        <v>0.0</v>
      </c>
    </row>
    <row r="34">
      <c r="A34" s="38">
        <v>43474.0</v>
      </c>
      <c r="B34" s="32" t="s">
        <v>50</v>
      </c>
      <c r="C34" s="33">
        <v>-1000.0</v>
      </c>
      <c r="D34" s="33">
        <v>0.0</v>
      </c>
    </row>
    <row r="35">
      <c r="A35" s="38">
        <v>43444.0</v>
      </c>
      <c r="B35" s="32" t="s">
        <v>50</v>
      </c>
      <c r="C35" s="33">
        <v>-1000.0</v>
      </c>
      <c r="D35" s="33">
        <v>0.0</v>
      </c>
    </row>
    <row r="36">
      <c r="A36" s="38">
        <v>43395.0</v>
      </c>
      <c r="B36" s="32" t="s">
        <v>50</v>
      </c>
      <c r="C36" s="33">
        <v>7000.0</v>
      </c>
      <c r="D36" s="33">
        <v>0.0</v>
      </c>
    </row>
    <row r="37">
      <c r="A37" s="38">
        <v>43068.0</v>
      </c>
      <c r="B37" s="32" t="s">
        <v>50</v>
      </c>
      <c r="C37" s="33">
        <v>10000.0</v>
      </c>
      <c r="D37"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2" t="s">
        <v>99</v>
      </c>
      <c r="B1" s="43" t="s">
        <v>100</v>
      </c>
    </row>
    <row r="2">
      <c r="A2" s="44" t="s">
        <v>101</v>
      </c>
      <c r="B2" s="44" t="s">
        <v>102</v>
      </c>
    </row>
    <row r="3">
      <c r="A3" s="44" t="s">
        <v>103</v>
      </c>
      <c r="B3" s="45" t="s">
        <v>104</v>
      </c>
    </row>
    <row r="4">
      <c r="A4" s="45" t="s">
        <v>105</v>
      </c>
      <c r="B4" s="44" t="s">
        <v>106</v>
      </c>
    </row>
    <row r="5">
      <c r="A5" s="44" t="s">
        <v>107</v>
      </c>
      <c r="B5" s="44" t="s">
        <v>108</v>
      </c>
    </row>
    <row r="6">
      <c r="A6" s="44" t="s">
        <v>109</v>
      </c>
      <c r="B6" s="44" t="s">
        <v>110</v>
      </c>
    </row>
    <row r="7">
      <c r="A7" s="44" t="s">
        <v>111</v>
      </c>
      <c r="B7" s="44" t="s">
        <v>112</v>
      </c>
    </row>
    <row r="8">
      <c r="A8" s="44" t="s">
        <v>113</v>
      </c>
      <c r="B8" s="44" t="s">
        <v>114</v>
      </c>
    </row>
    <row r="9">
      <c r="A9" s="45" t="s">
        <v>115</v>
      </c>
      <c r="B9" s="45" t="s">
        <v>116</v>
      </c>
    </row>
    <row r="10">
      <c r="A10" s="45" t="s">
        <v>117</v>
      </c>
      <c r="B10" s="45" t="s">
        <v>118</v>
      </c>
    </row>
    <row r="11">
      <c r="A11" s="45" t="s">
        <v>119</v>
      </c>
      <c r="B11" s="45" t="s">
        <v>120</v>
      </c>
    </row>
    <row r="12">
      <c r="A12" s="45" t="s">
        <v>121</v>
      </c>
      <c r="B12" s="45" t="s">
        <v>122</v>
      </c>
    </row>
    <row r="13">
      <c r="A13" s="45" t="s">
        <v>123</v>
      </c>
      <c r="B13" s="45"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1,282,377.52 €. J'en suis propriétaire de 29.9%, soit 383,352.10 € dont 70,632.89 € de dettes (incluant l'argent prêté par les associés, c'est à dire, vous).&lt;br&gt;C'est pas encore du niveau des entrepr"&amp;"ises du CAC40, mais on s'en emproche ...")</f>
        <v>Au 01/12/2020, la capitalisation de l'entreprise est de 1,282,377.52 €. J'en suis propriétaire de 29.9%, soit 383,352.10 € dont 70,632.89 € de dettes (incluant l'argent prêté par les associés, c'est à dire, vous).&lt;br&gt;C'est pas encore du niveau des entreprises du CAC40, mais on s'en emproche ...</v>
      </c>
    </row>
    <row r="14">
      <c r="A14" s="45" t="s">
        <v>124</v>
      </c>
      <c r="B14" s="45" t="s">
        <v>125</v>
      </c>
    </row>
    <row r="15">
      <c r="A15" s="45" t="s">
        <v>126</v>
      </c>
      <c r="B15" s="45" t="s">
        <v>127</v>
      </c>
    </row>
    <row r="16">
      <c r="A16" s="45" t="s">
        <v>128</v>
      </c>
      <c r="B16" s="45" t="s">
        <v>129</v>
      </c>
    </row>
    <row r="17">
      <c r="A17" s="45" t="s">
        <v>130</v>
      </c>
      <c r="B17" s="45" t="s">
        <v>131</v>
      </c>
    </row>
    <row r="18">
      <c r="A18" s="45" t="s">
        <v>132</v>
      </c>
      <c r="B18" s="45" t="s">
        <v>133</v>
      </c>
    </row>
    <row r="19">
      <c r="A19" s="45" t="s">
        <v>134</v>
      </c>
      <c r="B19" s="45" t="s">
        <v>135</v>
      </c>
    </row>
    <row r="20">
      <c r="A20" s="45" t="s">
        <v>136</v>
      </c>
      <c r="B20" s="45" t="s">
        <v>137</v>
      </c>
    </row>
    <row r="21">
      <c r="A21" s="45" t="s">
        <v>138</v>
      </c>
      <c r="B21" s="45" t="s">
        <v>139</v>
      </c>
    </row>
    <row r="22">
      <c r="A22" s="45" t="s">
        <v>140</v>
      </c>
      <c r="B22" s="45" t="s">
        <v>141</v>
      </c>
    </row>
    <row r="23">
      <c r="A23" s="45" t="s">
        <v>142</v>
      </c>
      <c r="B23" s="45" t="s">
        <v>143</v>
      </c>
    </row>
    <row r="24">
      <c r="A24" s="45" t="s">
        <v>144</v>
      </c>
      <c r="B24" s="45" t="s">
        <v>145</v>
      </c>
    </row>
    <row r="25">
      <c r="A25" s="45" t="s">
        <v>146</v>
      </c>
      <c r="B25" s="45" t="s">
        <v>147</v>
      </c>
    </row>
    <row r="26">
      <c r="A26" s="45" t="s">
        <v>148</v>
      </c>
      <c r="B26" s="45" t="str">
        <f>IFERROR(__xludf.DUMMYFUNCTION("""En date du "" &amp; TO_TEXT(DateTime!$B$6)&amp;""/""&amp;TO_TEXT(DateTime!$B$5)&amp;""/""&amp;TO_TEXT(DateTime!$B$4) &amp; "", "" &amp; COUNT(Associate!$A:$A)-1 &amp; "" personnes. Plus moi, "" &amp; COUNT(Associate!$A:$A) &amp; "" :-)"""),"En date du 1/12/2020, 5 personnes. Plus moi, 6 :-)")</f>
        <v>En date du 1/12/2020, 5 personnes. Plus moi, 6 :-)</v>
      </c>
    </row>
    <row r="27">
      <c r="A27" s="45" t="s">
        <v>149</v>
      </c>
      <c r="B27" s="45" t="s">
        <v>150</v>
      </c>
    </row>
    <row r="28">
      <c r="A28" s="45" t="s">
        <v>151</v>
      </c>
      <c r="B28" s="45" t="s">
        <v>152</v>
      </c>
    </row>
    <row r="29">
      <c r="A29" s="45" t="s">
        <v>153</v>
      </c>
      <c r="B29" s="45" t="s">
        <v>154</v>
      </c>
    </row>
    <row r="30">
      <c r="A30" s="45" t="s">
        <v>155</v>
      </c>
      <c r="B30" s="45" t="s">
        <v>156</v>
      </c>
    </row>
    <row r="31">
      <c r="A31" s="45" t="s">
        <v>157</v>
      </c>
      <c r="B31" s="45" t="s">
        <v>158</v>
      </c>
    </row>
    <row r="32">
      <c r="A32" s="45" t="s">
        <v>159</v>
      </c>
      <c r="B32" s="45" t="s">
        <v>160</v>
      </c>
    </row>
    <row r="33">
      <c r="A33" s="45" t="s">
        <v>161</v>
      </c>
      <c r="B33" s="45" t="s">
        <v>162</v>
      </c>
    </row>
    <row r="34">
      <c r="A34" s="45" t="s">
        <v>163</v>
      </c>
      <c r="B34" s="46" t="s">
        <v>164</v>
      </c>
    </row>
    <row r="35">
      <c r="A35" s="45" t="s">
        <v>165</v>
      </c>
      <c r="B35" s="45" t="s">
        <v>166</v>
      </c>
    </row>
    <row r="36">
      <c r="A36" s="45" t="s">
        <v>167</v>
      </c>
      <c r="B36" s="45" t="s">
        <v>168</v>
      </c>
    </row>
    <row r="37">
      <c r="A37" s="45" t="s">
        <v>169</v>
      </c>
      <c r="B37" s="45" t="s">
        <v>170</v>
      </c>
    </row>
    <row r="38">
      <c r="A38" s="45" t="s">
        <v>171</v>
      </c>
      <c r="B38" s="45" t="s">
        <v>172</v>
      </c>
    </row>
    <row r="39">
      <c r="A39" s="45" t="s">
        <v>173</v>
      </c>
      <c r="B39" s="45" t="s">
        <v>174</v>
      </c>
    </row>
    <row r="40">
      <c r="A40" s="45" t="s">
        <v>175</v>
      </c>
      <c r="B40" s="45" t="s">
        <v>176</v>
      </c>
    </row>
    <row r="41">
      <c r="A41" s="45" t="s">
        <v>177</v>
      </c>
      <c r="B41" s="45" t="s">
        <v>178</v>
      </c>
    </row>
    <row r="42">
      <c r="A42" s="45" t="s">
        <v>179</v>
      </c>
      <c r="B42" s="47" t="s">
        <v>180</v>
      </c>
    </row>
    <row r="43">
      <c r="A43" s="45" t="s">
        <v>181</v>
      </c>
      <c r="B43" s="47" t="s">
        <v>182</v>
      </c>
    </row>
    <row r="44">
      <c r="A44" s="45" t="s">
        <v>183</v>
      </c>
      <c r="B44" s="48" t="s">
        <v>184</v>
      </c>
    </row>
    <row r="45">
      <c r="A45" s="45" t="s">
        <v>185</v>
      </c>
      <c r="B45" s="48" t="s">
        <v>186</v>
      </c>
    </row>
    <row r="46">
      <c r="A46" s="45" t="s">
        <v>187</v>
      </c>
      <c r="B46" s="45" t="s">
        <v>188</v>
      </c>
    </row>
    <row r="47">
      <c r="A47" s="45" t="s">
        <v>189</v>
      </c>
      <c r="B47" s="45" t="s">
        <v>190</v>
      </c>
    </row>
    <row r="48">
      <c r="A48" s="45" t="s">
        <v>191</v>
      </c>
      <c r="B48" s="45"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58.43"/>
    <col customWidth="1" min="3" max="3" width="40.57"/>
    <col customWidth="1" min="4" max="4" width="63.43"/>
  </cols>
  <sheetData>
    <row r="1">
      <c r="A1" s="49" t="s">
        <v>193</v>
      </c>
      <c r="B1" s="49" t="s">
        <v>194</v>
      </c>
      <c r="C1" s="49" t="s">
        <v>195</v>
      </c>
      <c r="D1" s="50" t="s">
        <v>194</v>
      </c>
    </row>
    <row r="2">
      <c r="A2" s="32" t="s">
        <v>196</v>
      </c>
      <c r="B2" s="32"/>
      <c r="C2" s="32" t="s">
        <v>197</v>
      </c>
      <c r="D2" s="51"/>
    </row>
    <row r="3">
      <c r="A3" s="32" t="s">
        <v>95</v>
      </c>
      <c r="B3" s="32" t="s">
        <v>198</v>
      </c>
      <c r="C3" s="32" t="s">
        <v>199</v>
      </c>
      <c r="D3" s="51" t="s">
        <v>200</v>
      </c>
    </row>
    <row r="4">
      <c r="A4" s="52" t="s">
        <v>98</v>
      </c>
      <c r="B4" s="53" t="s">
        <v>201</v>
      </c>
      <c r="C4" s="53" t="s">
        <v>202</v>
      </c>
      <c r="D4" s="32" t="s">
        <v>203</v>
      </c>
    </row>
    <row r="5">
      <c r="A5" s="52" t="s">
        <v>204</v>
      </c>
      <c r="B5" s="53" t="s">
        <v>205</v>
      </c>
      <c r="C5" s="53" t="s">
        <v>206</v>
      </c>
      <c r="D5" s="32" t="s">
        <v>207</v>
      </c>
    </row>
    <row r="6">
      <c r="A6" s="52" t="s">
        <v>208</v>
      </c>
      <c r="B6" s="53"/>
      <c r="C6" s="53" t="s">
        <v>209</v>
      </c>
      <c r="D6" s="32"/>
    </row>
    <row r="7">
      <c r="A7" s="52" t="s">
        <v>210</v>
      </c>
      <c r="B7" s="53"/>
      <c r="C7" s="53" t="s">
        <v>211</v>
      </c>
      <c r="D7" s="32"/>
    </row>
    <row r="8">
      <c r="A8" s="52" t="s">
        <v>212</v>
      </c>
      <c r="B8" s="53"/>
      <c r="C8" s="53" t="s">
        <v>213</v>
      </c>
      <c r="D8" s="32"/>
    </row>
    <row r="9">
      <c r="A9" s="52" t="s">
        <v>14</v>
      </c>
      <c r="B9" s="53" t="s">
        <v>214</v>
      </c>
      <c r="C9" s="53" t="s">
        <v>215</v>
      </c>
      <c r="D9" s="32" t="s">
        <v>216</v>
      </c>
    </row>
    <row r="10">
      <c r="A10" s="52" t="s">
        <v>15</v>
      </c>
      <c r="B10" s="53" t="s">
        <v>217</v>
      </c>
      <c r="C10" s="53" t="s">
        <v>218</v>
      </c>
      <c r="D10" s="53" t="s">
        <v>219</v>
      </c>
    </row>
    <row r="11">
      <c r="A11" s="52" t="s">
        <v>220</v>
      </c>
      <c r="B11" s="53" t="s">
        <v>221</v>
      </c>
      <c r="C11" s="53" t="s">
        <v>222</v>
      </c>
      <c r="D11" s="53" t="s">
        <v>223</v>
      </c>
    </row>
    <row r="12">
      <c r="A12" s="52" t="s">
        <v>19</v>
      </c>
      <c r="B12" s="32" t="s">
        <v>224</v>
      </c>
      <c r="C12" s="32" t="s">
        <v>225</v>
      </c>
      <c r="D12" s="32" t="s">
        <v>226</v>
      </c>
    </row>
    <row r="13">
      <c r="A13" s="52" t="s">
        <v>20</v>
      </c>
      <c r="B13" s="32" t="s">
        <v>227</v>
      </c>
      <c r="C13" s="32" t="s">
        <v>228</v>
      </c>
      <c r="D13" s="32" t="s">
        <v>229</v>
      </c>
    </row>
    <row r="14">
      <c r="A14" s="52" t="s">
        <v>17</v>
      </c>
      <c r="B14" s="32" t="s">
        <v>230</v>
      </c>
      <c r="C14" s="32" t="s">
        <v>231</v>
      </c>
      <c r="D14" s="32" t="s">
        <v>232</v>
      </c>
    </row>
    <row r="15">
      <c r="A15" s="52" t="s">
        <v>18</v>
      </c>
      <c r="B15" s="32" t="s">
        <v>233</v>
      </c>
      <c r="C15" s="32" t="s">
        <v>234</v>
      </c>
      <c r="D15" s="32" t="s">
        <v>235</v>
      </c>
    </row>
    <row r="16">
      <c r="A16" s="52" t="s">
        <v>21</v>
      </c>
      <c r="B16" s="32" t="s">
        <v>236</v>
      </c>
      <c r="C16" s="32" t="s">
        <v>237</v>
      </c>
      <c r="D16" s="32" t="s">
        <v>238</v>
      </c>
    </row>
    <row r="17">
      <c r="A17" s="52" t="s">
        <v>22</v>
      </c>
      <c r="B17" s="32" t="s">
        <v>239</v>
      </c>
      <c r="C17" s="32" t="s">
        <v>240</v>
      </c>
      <c r="D17" s="32" t="s">
        <v>241</v>
      </c>
    </row>
    <row r="18">
      <c r="A18" s="52" t="s">
        <v>23</v>
      </c>
      <c r="B18" s="32" t="s">
        <v>242</v>
      </c>
      <c r="C18" s="32" t="s">
        <v>243</v>
      </c>
      <c r="D18" s="54" t="s">
        <v>244</v>
      </c>
    </row>
    <row r="19">
      <c r="A19" s="55" t="s">
        <v>27</v>
      </c>
      <c r="B19" s="32"/>
      <c r="C19" s="32" t="s">
        <v>27</v>
      </c>
      <c r="D19" s="32"/>
    </row>
    <row r="20">
      <c r="A20" s="52" t="s">
        <v>28</v>
      </c>
      <c r="B20" s="32"/>
      <c r="C20" s="32" t="s">
        <v>245</v>
      </c>
      <c r="D20" s="32"/>
    </row>
    <row r="21">
      <c r="A21" s="52" t="s">
        <v>29</v>
      </c>
      <c r="B21" s="32"/>
      <c r="C21" s="32" t="s">
        <v>246</v>
      </c>
      <c r="D21" s="32"/>
    </row>
    <row r="22">
      <c r="A22" s="56" t="s">
        <v>30</v>
      </c>
      <c r="B22" s="32"/>
      <c r="C22" s="32" t="s">
        <v>247</v>
      </c>
      <c r="D22" s="32"/>
    </row>
    <row r="23">
      <c r="A23" s="52" t="s">
        <v>31</v>
      </c>
      <c r="B23" s="32"/>
      <c r="C23" s="32" t="s">
        <v>248</v>
      </c>
      <c r="D23" s="57"/>
    </row>
    <row r="24">
      <c r="A24" s="52" t="s">
        <v>32</v>
      </c>
      <c r="B24" s="32"/>
      <c r="C24" s="32" t="s">
        <v>249</v>
      </c>
      <c r="D24" s="57"/>
    </row>
    <row r="25">
      <c r="A25" s="52" t="s">
        <v>33</v>
      </c>
      <c r="B25" s="32"/>
      <c r="C25" s="32" t="s">
        <v>250</v>
      </c>
      <c r="D25" s="57"/>
    </row>
    <row r="26">
      <c r="A26" s="52" t="s">
        <v>34</v>
      </c>
      <c r="B26" s="32"/>
      <c r="C26" s="32" t="s">
        <v>251</v>
      </c>
      <c r="D26" s="57"/>
    </row>
    <row r="27">
      <c r="A27" s="52" t="s">
        <v>35</v>
      </c>
      <c r="B27" s="32" t="s">
        <v>252</v>
      </c>
      <c r="C27" s="32" t="s">
        <v>35</v>
      </c>
      <c r="D27" s="32" t="s">
        <v>253</v>
      </c>
    </row>
    <row r="28">
      <c r="A28" s="52" t="s">
        <v>36</v>
      </c>
      <c r="B28" s="32" t="s">
        <v>254</v>
      </c>
      <c r="C28" s="32" t="s">
        <v>255</v>
      </c>
      <c r="D28" s="32" t="s">
        <v>256</v>
      </c>
    </row>
    <row r="29">
      <c r="A29" s="52" t="s">
        <v>37</v>
      </c>
      <c r="B29" s="32" t="s">
        <v>257</v>
      </c>
      <c r="C29" s="32" t="s">
        <v>37</v>
      </c>
      <c r="D29" s="51" t="s">
        <v>258</v>
      </c>
    </row>
    <row r="30">
      <c r="A30" s="52" t="s">
        <v>38</v>
      </c>
      <c r="B30" s="51" t="s">
        <v>259</v>
      </c>
      <c r="C30" s="51" t="s">
        <v>260</v>
      </c>
      <c r="D30" s="51" t="s">
        <v>261</v>
      </c>
    </row>
    <row r="31">
      <c r="A31" s="52" t="s">
        <v>39</v>
      </c>
      <c r="B31" s="32" t="s">
        <v>262</v>
      </c>
      <c r="C31" s="32" t="s">
        <v>263</v>
      </c>
      <c r="D31" s="32" t="s">
        <v>264</v>
      </c>
    </row>
    <row r="32">
      <c r="A32" s="52" t="s">
        <v>1</v>
      </c>
      <c r="B32" s="32" t="s">
        <v>265</v>
      </c>
      <c r="C32" s="32" t="s">
        <v>1</v>
      </c>
      <c r="D32" s="32" t="s">
        <v>266</v>
      </c>
    </row>
    <row r="33">
      <c r="A33" s="51" t="s">
        <v>97</v>
      </c>
      <c r="B33" s="52" t="s">
        <v>267</v>
      </c>
      <c r="C33" s="52" t="s">
        <v>268</v>
      </c>
      <c r="D33" s="52" t="s">
        <v>269</v>
      </c>
    </row>
    <row r="34">
      <c r="A34" s="52" t="s">
        <v>270</v>
      </c>
      <c r="B34" s="32" t="s">
        <v>271</v>
      </c>
      <c r="C34" s="32" t="s">
        <v>272</v>
      </c>
      <c r="D34" s="32" t="s">
        <v>273</v>
      </c>
    </row>
    <row r="35">
      <c r="A35" s="52" t="s">
        <v>274</v>
      </c>
      <c r="B35" s="32" t="s">
        <v>275</v>
      </c>
      <c r="C35" s="32" t="s">
        <v>276</v>
      </c>
      <c r="D35" s="32" t="s">
        <v>277</v>
      </c>
    </row>
    <row r="36">
      <c r="A36" s="52" t="s">
        <v>278</v>
      </c>
      <c r="B36" s="32" t="s">
        <v>279</v>
      </c>
      <c r="C36" s="32" t="s">
        <v>280</v>
      </c>
      <c r="D36" s="32" t="s">
        <v>281</v>
      </c>
    </row>
    <row r="37">
      <c r="A37" s="52" t="s">
        <v>282</v>
      </c>
      <c r="B37" s="32" t="s">
        <v>283</v>
      </c>
      <c r="C37" s="32" t="s">
        <v>284</v>
      </c>
      <c r="D37" s="32" t="s">
        <v>285</v>
      </c>
    </row>
    <row r="38">
      <c r="A38" s="52" t="s">
        <v>286</v>
      </c>
      <c r="B38" s="32" t="s">
        <v>287</v>
      </c>
      <c r="C38" s="32" t="s">
        <v>288</v>
      </c>
      <c r="D38" s="32" t="s">
        <v>289</v>
      </c>
    </row>
    <row r="39">
      <c r="A39" s="52" t="s">
        <v>25</v>
      </c>
      <c r="B39" s="32" t="s">
        <v>290</v>
      </c>
      <c r="C39" s="32" t="s">
        <v>291</v>
      </c>
      <c r="D39" s="32" t="s">
        <v>292</v>
      </c>
    </row>
    <row r="40">
      <c r="A40" s="52" t="s">
        <v>293</v>
      </c>
      <c r="B40" s="32" t="s">
        <v>294</v>
      </c>
      <c r="C40" s="32" t="s">
        <v>295</v>
      </c>
      <c r="D40" s="32" t="s">
        <v>296</v>
      </c>
    </row>
    <row r="41">
      <c r="A41" s="52" t="s">
        <v>24</v>
      </c>
      <c r="B41" s="32" t="s">
        <v>297</v>
      </c>
      <c r="C41" s="32" t="s">
        <v>298</v>
      </c>
      <c r="D41" s="32" t="s">
        <v>299</v>
      </c>
    </row>
    <row r="42">
      <c r="A42" s="52" t="s">
        <v>16</v>
      </c>
      <c r="B42" s="32" t="s">
        <v>300</v>
      </c>
      <c r="C42" s="32" t="s">
        <v>301</v>
      </c>
      <c r="D42" s="32" t="s">
        <v>302</v>
      </c>
    </row>
    <row r="43">
      <c r="A43" s="52" t="s">
        <v>303</v>
      </c>
      <c r="B43" s="32" t="s">
        <v>304</v>
      </c>
      <c r="C43" s="32" t="s">
        <v>305</v>
      </c>
      <c r="D43" s="32" t="s">
        <v>306</v>
      </c>
    </row>
    <row r="44">
      <c r="A44" s="52" t="s">
        <v>307</v>
      </c>
      <c r="B44" s="32" t="s">
        <v>308</v>
      </c>
      <c r="C44" s="32" t="s">
        <v>307</v>
      </c>
      <c r="D44" s="51" t="s">
        <v>309</v>
      </c>
    </row>
    <row r="45">
      <c r="A45" s="52" t="s">
        <v>26</v>
      </c>
      <c r="B45" s="32" t="s">
        <v>310</v>
      </c>
      <c r="C45" s="32" t="s">
        <v>26</v>
      </c>
      <c r="D45" s="32" t="s">
        <v>311</v>
      </c>
    </row>
    <row r="46">
      <c r="A46" s="52" t="s">
        <v>312</v>
      </c>
      <c r="B46" s="32"/>
      <c r="C46" s="32" t="s">
        <v>313</v>
      </c>
      <c r="D46" s="32"/>
    </row>
    <row r="47">
      <c r="A47" s="52" t="s">
        <v>314</v>
      </c>
      <c r="B47" s="54"/>
      <c r="C47" s="54" t="s">
        <v>315</v>
      </c>
      <c r="D47" s="32"/>
    </row>
    <row r="48">
      <c r="A48" s="52" t="s">
        <v>316</v>
      </c>
      <c r="B48" s="54"/>
      <c r="C48" s="54" t="s">
        <v>317</v>
      </c>
      <c r="D48" s="32"/>
    </row>
    <row r="49">
      <c r="A49" s="52" t="s">
        <v>318</v>
      </c>
      <c r="B49" s="32"/>
      <c r="C49" s="32" t="s">
        <v>319</v>
      </c>
      <c r="D49" s="32"/>
    </row>
    <row r="50">
      <c r="A50" s="52" t="s">
        <v>320</v>
      </c>
      <c r="B50" s="32"/>
      <c r="C50" s="32" t="s">
        <v>321</v>
      </c>
      <c r="D50" s="32"/>
    </row>
    <row r="51">
      <c r="A51" s="52" t="s">
        <v>322</v>
      </c>
      <c r="B51" s="32"/>
      <c r="C51" s="32" t="s">
        <v>323</v>
      </c>
      <c r="D51" s="32"/>
    </row>
    <row r="52">
      <c r="A52" s="52" t="s">
        <v>324</v>
      </c>
      <c r="B52" s="32"/>
      <c r="C52" s="32" t="s">
        <v>325</v>
      </c>
      <c r="D52" s="32"/>
    </row>
    <row r="53">
      <c r="A53" s="32" t="s">
        <v>326</v>
      </c>
      <c r="B53" s="52" t="s">
        <v>327</v>
      </c>
      <c r="C53" s="52" t="s">
        <v>328</v>
      </c>
      <c r="D53" s="32" t="s">
        <v>329</v>
      </c>
    </row>
    <row r="54">
      <c r="A54" s="52" t="s">
        <v>330</v>
      </c>
      <c r="B54" s="52" t="s">
        <v>327</v>
      </c>
      <c r="C54" s="32" t="s">
        <v>331</v>
      </c>
      <c r="D54" s="32" t="s">
        <v>329</v>
      </c>
    </row>
    <row r="55">
      <c r="A55" s="52" t="s">
        <v>332</v>
      </c>
      <c r="B55" s="52" t="s">
        <v>327</v>
      </c>
      <c r="C55" s="32" t="s">
        <v>333</v>
      </c>
      <c r="D55" s="32" t="s">
        <v>329</v>
      </c>
    </row>
    <row r="56">
      <c r="A56" s="52" t="s">
        <v>334</v>
      </c>
      <c r="B56" s="32"/>
      <c r="C56" s="32" t="s">
        <v>335</v>
      </c>
      <c r="D56" s="32"/>
    </row>
    <row r="57">
      <c r="A57" s="52" t="s">
        <v>336</v>
      </c>
      <c r="B57" s="32"/>
      <c r="C57" s="32" t="s">
        <v>337</v>
      </c>
      <c r="D57" s="32"/>
    </row>
    <row r="58">
      <c r="A58" s="52" t="s">
        <v>338</v>
      </c>
      <c r="B58" s="32"/>
      <c r="C58" s="32" t="s">
        <v>339</v>
      </c>
      <c r="D58" s="32"/>
    </row>
    <row r="59">
      <c r="A59" s="52" t="s">
        <v>340</v>
      </c>
      <c r="B59" s="32"/>
      <c r="C59" s="32" t="s">
        <v>341</v>
      </c>
      <c r="D59" s="32"/>
    </row>
    <row r="60">
      <c r="A60" s="52" t="s">
        <v>342</v>
      </c>
      <c r="B60" s="32"/>
      <c r="C60" s="32" t="s">
        <v>343</v>
      </c>
      <c r="D60" s="32"/>
    </row>
    <row r="61">
      <c r="A61" s="52" t="s">
        <v>344</v>
      </c>
      <c r="B61" s="32"/>
      <c r="C61" s="32" t="s">
        <v>345</v>
      </c>
      <c r="D61" s="32"/>
    </row>
    <row r="62">
      <c r="A62" s="52" t="s">
        <v>346</v>
      </c>
      <c r="B62" s="32"/>
      <c r="C62" s="32" t="s">
        <v>347</v>
      </c>
      <c r="D62" s="32"/>
    </row>
    <row r="63">
      <c r="A63" s="52" t="s">
        <v>348</v>
      </c>
      <c r="B63" s="32"/>
      <c r="C63" s="32" t="s">
        <v>349</v>
      </c>
      <c r="D63" s="32"/>
    </row>
    <row r="64">
      <c r="A64" s="52" t="s">
        <v>350</v>
      </c>
      <c r="B64" s="32"/>
      <c r="C64" s="32" t="s">
        <v>351</v>
      </c>
      <c r="D64" s="32"/>
    </row>
    <row r="65">
      <c r="A65" s="32" t="s">
        <v>352</v>
      </c>
      <c r="B65" s="52"/>
      <c r="C65" s="52" t="s">
        <v>353</v>
      </c>
      <c r="D65" s="32"/>
    </row>
    <row r="66">
      <c r="A66" s="32" t="s">
        <v>354</v>
      </c>
      <c r="B66" s="52"/>
      <c r="C66" s="52" t="s">
        <v>355</v>
      </c>
      <c r="D66" s="32"/>
    </row>
    <row r="67">
      <c r="A67" s="32" t="s">
        <v>356</v>
      </c>
      <c r="B67" s="52"/>
      <c r="C67" s="52" t="s">
        <v>215</v>
      </c>
      <c r="D67" s="32"/>
    </row>
    <row r="68">
      <c r="A68" s="32" t="s">
        <v>357</v>
      </c>
      <c r="B68" s="52"/>
      <c r="C68" s="52" t="s">
        <v>358</v>
      </c>
      <c r="D68" s="32"/>
    </row>
    <row r="69">
      <c r="A69" s="32" t="s">
        <v>359</v>
      </c>
      <c r="B69" s="52"/>
      <c r="C69" s="52" t="s">
        <v>360</v>
      </c>
      <c r="D69" s="32"/>
    </row>
    <row r="70">
      <c r="A70" s="32" t="s">
        <v>361</v>
      </c>
      <c r="B70" s="52" t="s">
        <v>362</v>
      </c>
      <c r="C70" s="52" t="s">
        <v>363</v>
      </c>
      <c r="D70" s="32" t="s">
        <v>364</v>
      </c>
    </row>
    <row r="71">
      <c r="A71" s="32" t="s">
        <v>365</v>
      </c>
      <c r="B71" s="52" t="s">
        <v>366</v>
      </c>
      <c r="C71" s="52" t="s">
        <v>361</v>
      </c>
      <c r="D71" s="32" t="s">
        <v>367</v>
      </c>
    </row>
    <row r="72">
      <c r="A72" s="32" t="s">
        <v>368</v>
      </c>
      <c r="B72" s="52"/>
      <c r="C72" s="52" t="s">
        <v>369</v>
      </c>
      <c r="D72" s="32"/>
    </row>
    <row r="73">
      <c r="A73" s="32" t="s">
        <v>370</v>
      </c>
      <c r="B73" s="52"/>
      <c r="C73" s="52" t="s">
        <v>371</v>
      </c>
      <c r="D73" s="3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8" t="s">
        <v>1</v>
      </c>
      <c r="B1" s="58" t="s">
        <v>97</v>
      </c>
      <c r="C1" s="58" t="s">
        <v>270</v>
      </c>
      <c r="D1" s="58" t="s">
        <v>274</v>
      </c>
      <c r="E1" s="58" t="s">
        <v>278</v>
      </c>
      <c r="F1" s="58" t="s">
        <v>282</v>
      </c>
      <c r="G1" s="58" t="s">
        <v>286</v>
      </c>
      <c r="H1" s="58" t="s">
        <v>25</v>
      </c>
      <c r="I1" s="58" t="s">
        <v>293</v>
      </c>
      <c r="J1" s="58" t="s">
        <v>24</v>
      </c>
      <c r="K1" s="58" t="s">
        <v>16</v>
      </c>
      <c r="L1" s="58" t="s">
        <v>303</v>
      </c>
      <c r="M1" s="58" t="s">
        <v>307</v>
      </c>
      <c r="N1" s="58" t="s">
        <v>26</v>
      </c>
      <c r="O1" s="58" t="s">
        <v>372</v>
      </c>
    </row>
    <row r="2">
      <c r="A2" s="59">
        <f t="array" ref="A2">EOMONTH(IF(ROW()=2,DateTime!$B$1-TIME(3,0,0),INDEX($A:$A,ROW()-1)-1),-1)+1</f>
        <v>44166</v>
      </c>
      <c r="B2" s="6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-4000</v>
      </c>
      <c r="C2" s="60">
        <f>MAX($B2+IF($B2&gt;0,SUMIFS(Historic!$G:$G,Historic!$D:$D,"BUY",Historic!$A:$A,"&gt;"&amp;MAX(EOMONTH($A2,-2),MAXIFS(AssociateHistoric!$A:$A,AssociateHistoric!$A:$A,"&gt;"&amp;EOMONTH($A2,-2),AssociateHistoric!$A:$A,"&lt;"&amp;$A2,AssociateHistoric!$B:$B,$O$2,AssociateHistoric!$C:$C,"&gt;0")),Historic!$A:$A,"&lt;"&amp;$A2),0),0)</f>
        <v>0</v>
      </c>
      <c r="D2" s="60">
        <f>$B2-$C2</f>
        <v>-4000</v>
      </c>
      <c r="E2" s="60">
        <f t="array" ref="E2">INDEX($E:$E,ROW()+1)+$D2</f>
        <v>2450</v>
      </c>
      <c r="F2" s="61">
        <f t="array" ref="F2">IF(INDEX($A:$A,ROW()+1),MAXIFS(AllocationHistoric!$I:$I,AllocationHistoric!$A:$A,$A2),0)</f>
        <v>0.0329042922</v>
      </c>
      <c r="G2" s="61">
        <f t="array" ref="G2">$F2+INDEX($G:$G,ROW()+1)</f>
        <v>0.7360828898</v>
      </c>
      <c r="H2" s="61">
        <f t="array" ref="H2">IF(INDEX($A:$A,ROW()+1),$G2/ROWS($A3:$A38)*12,0)</f>
        <v>0.2453609633</v>
      </c>
      <c r="I2" s="60">
        <f>MAX($L2,$M2)-$E2-SUM($I3:$I38)</f>
        <v>596.982136</v>
      </c>
      <c r="J2" s="60">
        <f>$N2-$E2</f>
        <v>12048.70056</v>
      </c>
      <c r="K2" s="60">
        <f t="array" ref="K2">-$I2*5.5/100+INDEX($K:$K,ROW()+1)+SUMIFS(AssociateHistoric!$D:$D,AssociateHistoric!$A:$A,"&gt;"&amp;EOMONTH($A2,-2),AssociateHistoric!$A:$A,"&lt;"&amp;$A2,AssociateHistoric!$B:$B,$O$2)</f>
        <v>-241.2682864</v>
      </c>
      <c r="L2" s="60">
        <f t="array" ref="L2">(INDEX($E:$E,ROW()+1)+INDEX($C:$C,ROW()+1))*Dashboard!$B$57/12+$D2+INDEX($L:$L,ROW()+1)</f>
        <v>2886.25</v>
      </c>
      <c r="M2" s="60">
        <f t="array" ref="M2">INDEX($M:$M,ROW()+1)+$D2+INDEX($M:$M,ROW()+1)*$F2+INDEX($C:$C,ROW()+1)*Dashboard!$B$57/12</f>
        <v>14739.96884</v>
      </c>
      <c r="N2" s="62">
        <f>MAX($M2,$L2)+$K2</f>
        <v>14498.70056</v>
      </c>
      <c r="O2" s="63" t="str">
        <f t="array" ref="O2">IF(ROW()=2,"Bloopsy",INDEX(O:O,ROW()-1))</f>
        <v>Bloopsy</v>
      </c>
    </row>
    <row r="3">
      <c r="A3" s="59">
        <v>44136.0</v>
      </c>
      <c r="B3" s="60">
        <v>-1000.0</v>
      </c>
      <c r="C3" s="60">
        <v>0.0</v>
      </c>
      <c r="D3" s="60">
        <v>-1000.0</v>
      </c>
      <c r="E3" s="60">
        <v>6450.0</v>
      </c>
      <c r="F3" s="61">
        <v>-0.016432831295333683</v>
      </c>
      <c r="G3" s="61">
        <v>0.703178597556773</v>
      </c>
      <c r="H3" s="61">
        <v>0.24108980487660792</v>
      </c>
      <c r="I3" s="60">
        <v>-319.8291698477624</v>
      </c>
      <c r="J3" s="60">
        <v>11484.552438769417</v>
      </c>
      <c r="K3" s="60">
        <v>-208.4342689230876</v>
      </c>
      <c r="L3" s="60">
        <v>6879.53124999999</v>
      </c>
      <c r="M3" s="60">
        <v>18142.986707692504</v>
      </c>
      <c r="N3" s="62">
        <v>17934.552438769417</v>
      </c>
      <c r="O3" s="63" t="s">
        <v>50</v>
      </c>
    </row>
    <row r="4">
      <c r="A4" s="59">
        <v>44105.0</v>
      </c>
      <c r="B4" s="60">
        <v>-300.0</v>
      </c>
      <c r="C4" s="60">
        <v>0.0</v>
      </c>
      <c r="D4" s="60">
        <v>-300.0</v>
      </c>
      <c r="E4" s="60">
        <v>7450.0</v>
      </c>
      <c r="F4" s="61">
        <v>-0.0030358834822477613</v>
      </c>
      <c r="G4" s="61">
        <v>0.7196114288521067</v>
      </c>
      <c r="H4" s="61">
        <v>0.25398050430074354</v>
      </c>
      <c r="I4" s="60">
        <v>-60.18030668434949</v>
      </c>
      <c r="J4" s="60">
        <v>11786.79100427555</v>
      </c>
      <c r="K4" s="60">
        <v>-226.02487326471453</v>
      </c>
      <c r="L4" s="60">
        <v>7871.770833333323</v>
      </c>
      <c r="M4" s="60">
        <v>19462.815877540266</v>
      </c>
      <c r="N4" s="62">
        <v>19236.79100427555</v>
      </c>
      <c r="O4" s="63" t="s">
        <v>50</v>
      </c>
    </row>
    <row r="5">
      <c r="A5" s="59">
        <v>44075.0</v>
      </c>
      <c r="B5" s="60">
        <v>0.0</v>
      </c>
      <c r="C5" s="60">
        <v>0.0</v>
      </c>
      <c r="D5" s="60">
        <v>0.0</v>
      </c>
      <c r="E5" s="60">
        <v>7750.0</v>
      </c>
      <c r="F5" s="61">
        <v>0.0695011442271417</v>
      </c>
      <c r="G5" s="61">
        <v>0.7226473123343545</v>
      </c>
      <c r="H5" s="61">
        <v>0.2627808408488562</v>
      </c>
      <c r="I5" s="60">
        <v>1288.1902223764919</v>
      </c>
      <c r="J5" s="60">
        <v>11843.661394092262</v>
      </c>
      <c r="K5" s="60">
        <v>-229.33479013235376</v>
      </c>
      <c r="L5" s="60">
        <v>8163.697916666656</v>
      </c>
      <c r="M5" s="60">
        <v>19822.996184224616</v>
      </c>
      <c r="N5" s="62">
        <v>19593.66139409226</v>
      </c>
      <c r="O5" s="63" t="s">
        <v>50</v>
      </c>
    </row>
    <row r="6">
      <c r="A6" s="59">
        <v>44044.0</v>
      </c>
      <c r="B6" s="60">
        <v>-2400.0</v>
      </c>
      <c r="C6" s="60">
        <v>0.0</v>
      </c>
      <c r="D6" s="60">
        <v>-2400.0</v>
      </c>
      <c r="E6" s="60">
        <v>7750.0</v>
      </c>
      <c r="F6" s="61">
        <v>-0.0011851593150153932</v>
      </c>
      <c r="G6" s="61">
        <v>0.6531461681072128</v>
      </c>
      <c r="H6" s="61">
        <v>0.2449298130402048</v>
      </c>
      <c r="I6" s="60">
        <v>-22.85900518998824</v>
      </c>
      <c r="J6" s="60">
        <v>10626.321633946478</v>
      </c>
      <c r="K6" s="60">
        <v>-158.4843279016467</v>
      </c>
      <c r="L6" s="60">
        <v>8155.624999999989</v>
      </c>
      <c r="M6" s="60">
        <v>18534.805961848124</v>
      </c>
      <c r="N6" s="62">
        <v>18376.321633946478</v>
      </c>
      <c r="O6" s="63" t="s">
        <v>50</v>
      </c>
    </row>
    <row r="7">
      <c r="A7" s="59">
        <v>44013.0</v>
      </c>
      <c r="B7" s="60">
        <v>1900.0</v>
      </c>
      <c r="C7" s="60">
        <v>1900.0</v>
      </c>
      <c r="D7" s="60">
        <v>0.0</v>
      </c>
      <c r="E7" s="60">
        <v>10150.0</v>
      </c>
      <c r="F7" s="61">
        <v>0.01670595001387467</v>
      </c>
      <c r="G7" s="61">
        <v>0.6543313274222282</v>
      </c>
      <c r="H7" s="61">
        <v>0.25328954609892707</v>
      </c>
      <c r="I7" s="60">
        <v>344.36476283245065</v>
      </c>
      <c r="J7" s="60">
        <v>10647.923393851015</v>
      </c>
      <c r="K7" s="60">
        <v>-159.74157318709607</v>
      </c>
      <c r="L7" s="60">
        <v>10543.072916666655</v>
      </c>
      <c r="M7" s="60">
        <v>20957.664967038112</v>
      </c>
      <c r="N7" s="62">
        <v>20797.923393851015</v>
      </c>
      <c r="O7" s="63" t="s">
        <v>50</v>
      </c>
    </row>
    <row r="8">
      <c r="A8" s="59">
        <v>43983.0</v>
      </c>
      <c r="B8" s="60">
        <v>-300.0</v>
      </c>
      <c r="C8" s="60">
        <v>0.0</v>
      </c>
      <c r="D8" s="60">
        <v>-300.0</v>
      </c>
      <c r="E8" s="60">
        <v>10150.0</v>
      </c>
      <c r="F8" s="61">
        <v>-0.00659387295460559</v>
      </c>
      <c r="G8" s="61">
        <v>0.6376253774083536</v>
      </c>
      <c r="H8" s="61">
        <v>0.25505015096334144</v>
      </c>
      <c r="I8" s="60">
        <v>-138.8149729035831</v>
      </c>
      <c r="J8" s="60">
        <v>10322.49869297435</v>
      </c>
      <c r="K8" s="60">
        <v>-140.80151123131128</v>
      </c>
      <c r="L8" s="60">
        <v>10532.499999999989</v>
      </c>
      <c r="M8" s="60">
        <v>20613.30020420566</v>
      </c>
      <c r="N8" s="62">
        <v>20472.49869297435</v>
      </c>
      <c r="O8" s="63" t="s">
        <v>50</v>
      </c>
    </row>
    <row r="9">
      <c r="A9" s="59">
        <v>43952.0</v>
      </c>
      <c r="B9" s="60">
        <v>-300.0</v>
      </c>
      <c r="C9" s="60">
        <v>0.0</v>
      </c>
      <c r="D9" s="60">
        <v>-300.0</v>
      </c>
      <c r="E9" s="60">
        <v>10450.0</v>
      </c>
      <c r="F9" s="61">
        <v>0.17167870410952307</v>
      </c>
      <c r="G9" s="61">
        <v>0.6442192503629591</v>
      </c>
      <c r="H9" s="61">
        <v>0.26657348290881067</v>
      </c>
      <c r="I9" s="60">
        <v>3128.591012831741</v>
      </c>
      <c r="J9" s="60">
        <v>10453.678842368237</v>
      </c>
      <c r="K9" s="60">
        <v>-148.43633474100835</v>
      </c>
      <c r="L9" s="60">
        <v>10821.614583333323</v>
      </c>
      <c r="M9" s="60">
        <v>21052.115177109245</v>
      </c>
      <c r="N9" s="62">
        <v>20903.678842368237</v>
      </c>
      <c r="O9" s="63" t="s">
        <v>50</v>
      </c>
    </row>
    <row r="10">
      <c r="A10" s="59">
        <v>43922.0</v>
      </c>
      <c r="B10" s="60">
        <v>-300.0</v>
      </c>
      <c r="C10" s="60">
        <v>0.0</v>
      </c>
      <c r="D10" s="60">
        <v>-300.0</v>
      </c>
      <c r="E10" s="60">
        <v>10750.0</v>
      </c>
      <c r="F10" s="61">
        <v>-0.09031985768405248</v>
      </c>
      <c r="G10" s="61">
        <v>0.4725405462534361</v>
      </c>
      <c r="H10" s="61">
        <v>0.20251737696575833</v>
      </c>
      <c r="I10" s="60">
        <v>-1839.1542131119495</v>
      </c>
      <c r="J10" s="60">
        <v>7497.160335242243</v>
      </c>
      <c r="K10" s="60">
        <v>23.63617096473739</v>
      </c>
      <c r="L10" s="60">
        <v>11110.416666666657</v>
      </c>
      <c r="M10" s="60">
        <v>18223.524164277504</v>
      </c>
      <c r="N10" s="62">
        <v>18247.160335242243</v>
      </c>
      <c r="O10" s="63" t="s">
        <v>50</v>
      </c>
    </row>
    <row r="11">
      <c r="A11" s="59">
        <v>43891.0</v>
      </c>
      <c r="B11" s="60">
        <v>-300.0</v>
      </c>
      <c r="C11" s="60">
        <v>0.0</v>
      </c>
      <c r="D11" s="60">
        <v>-300.0</v>
      </c>
      <c r="E11" s="60">
        <v>11050.0</v>
      </c>
      <c r="F11" s="61">
        <v>-6.988944889106389E-4</v>
      </c>
      <c r="G11" s="61">
        <v>0.5628604039374886</v>
      </c>
      <c r="H11" s="61">
        <v>0.2501601795277727</v>
      </c>
      <c r="I11" s="60">
        <v>-14.451131860507303</v>
      </c>
      <c r="J11" s="60">
        <v>9235.161066633034</v>
      </c>
      <c r="K11" s="60">
        <v>-77.51731075641983</v>
      </c>
      <c r="L11" s="60">
        <v>11398.90624999999</v>
      </c>
      <c r="M11" s="60">
        <v>20362.678377389453</v>
      </c>
      <c r="N11" s="62">
        <v>20285.161066633034</v>
      </c>
      <c r="O11" s="63" t="s">
        <v>50</v>
      </c>
    </row>
    <row r="12">
      <c r="A12" s="59">
        <v>43862.0</v>
      </c>
      <c r="B12" s="60">
        <v>0.0</v>
      </c>
      <c r="C12" s="60">
        <v>0.0</v>
      </c>
      <c r="D12" s="60">
        <v>0.0</v>
      </c>
      <c r="E12" s="60">
        <v>11350.0</v>
      </c>
      <c r="F12" s="61">
        <v>-0.013571483773815925</v>
      </c>
      <c r="G12" s="61">
        <v>0.5635592984263992</v>
      </c>
      <c r="H12" s="61">
        <v>0.260104291581415</v>
      </c>
      <c r="I12" s="60">
        <v>-284.48014529978536</v>
      </c>
      <c r="J12" s="60">
        <v>9248.817386241211</v>
      </c>
      <c r="K12" s="60">
        <v>-78.31212300874773</v>
      </c>
      <c r="L12" s="60">
        <v>11687.083333333325</v>
      </c>
      <c r="M12" s="60">
        <v>20677.12950924996</v>
      </c>
      <c r="N12" s="62">
        <v>20598.81738624121</v>
      </c>
      <c r="O12" s="63" t="s">
        <v>50</v>
      </c>
    </row>
    <row r="13">
      <c r="A13" s="59">
        <v>43831.0</v>
      </c>
      <c r="B13" s="60">
        <v>-1000.0</v>
      </c>
      <c r="C13" s="60">
        <v>0.0</v>
      </c>
      <c r="D13" s="60">
        <v>-1000.0</v>
      </c>
      <c r="E13" s="60">
        <v>11350.0</v>
      </c>
      <c r="F13" s="61">
        <v>0.06953970791992178</v>
      </c>
      <c r="G13" s="61">
        <v>0.5771307822002151</v>
      </c>
      <c r="H13" s="61">
        <v>0.27702277545610327</v>
      </c>
      <c r="I13" s="60">
        <v>1427.907640567064</v>
      </c>
      <c r="J13" s="60">
        <v>9082.971123549509</v>
      </c>
      <c r="K13" s="60">
        <v>-528.638531000236</v>
      </c>
      <c r="L13" s="60">
        <v>11675.260416666659</v>
      </c>
      <c r="M13" s="60">
        <v>20961.609654549746</v>
      </c>
      <c r="N13" s="62">
        <v>20432.97112354951</v>
      </c>
      <c r="O13" s="63" t="s">
        <v>50</v>
      </c>
    </row>
    <row r="14">
      <c r="A14" s="59">
        <v>43800.0</v>
      </c>
      <c r="B14" s="60">
        <v>-700.0</v>
      </c>
      <c r="C14" s="60">
        <v>0.0</v>
      </c>
      <c r="D14" s="60">
        <v>-700.0</v>
      </c>
      <c r="E14" s="60">
        <v>12350.0</v>
      </c>
      <c r="F14" s="61">
        <v>0.02764486097227171</v>
      </c>
      <c r="G14" s="61">
        <v>0.5075910742802933</v>
      </c>
      <c r="H14" s="61">
        <v>0.25379553714014663</v>
      </c>
      <c r="I14" s="60">
        <v>571.2116728222863</v>
      </c>
      <c r="J14" s="60">
        <v>7733.598403213633</v>
      </c>
      <c r="K14" s="60">
        <v>-450.10361076904746</v>
      </c>
      <c r="L14" s="60">
        <v>12662.395833333325</v>
      </c>
      <c r="M14" s="60">
        <v>20533.702013982682</v>
      </c>
      <c r="N14" s="62">
        <v>20083.598403213633</v>
      </c>
      <c r="O14" s="63" t="s">
        <v>50</v>
      </c>
    </row>
    <row r="15">
      <c r="A15" s="59">
        <v>43770.0</v>
      </c>
      <c r="B15" s="60">
        <v>-300.0</v>
      </c>
      <c r="C15" s="60">
        <v>0.0</v>
      </c>
      <c r="D15" s="60">
        <v>-300.0</v>
      </c>
      <c r="E15" s="60">
        <v>13050.0</v>
      </c>
      <c r="F15" s="61">
        <v>-0.031204251937763165</v>
      </c>
      <c r="G15" s="61">
        <v>0.4799462133080215</v>
      </c>
      <c r="H15" s="61">
        <v>0.25040671998679387</v>
      </c>
      <c r="I15" s="60">
        <v>-675.1875523368581</v>
      </c>
      <c r="J15" s="60">
        <v>7193.803372396575</v>
      </c>
      <c r="K15" s="60">
        <v>-418.6869687638217</v>
      </c>
      <c r="L15" s="60">
        <v>13348.802083333325</v>
      </c>
      <c r="M15" s="60">
        <v>20662.490341160395</v>
      </c>
      <c r="N15" s="62">
        <v>20243.803372396575</v>
      </c>
      <c r="O15" s="63" t="s">
        <v>50</v>
      </c>
    </row>
    <row r="16">
      <c r="A16" s="59">
        <v>43739.0</v>
      </c>
      <c r="B16" s="60">
        <v>-150.0</v>
      </c>
      <c r="C16" s="60">
        <v>0.0</v>
      </c>
      <c r="D16" s="60">
        <v>-150.0</v>
      </c>
      <c r="E16" s="60">
        <v>13350.0</v>
      </c>
      <c r="F16" s="61">
        <v>-0.0017577640676155197</v>
      </c>
      <c r="G16" s="61">
        <v>0.5111504652457847</v>
      </c>
      <c r="H16" s="61">
        <v>0.2788093446795189</v>
      </c>
      <c r="I16" s="60">
        <v>-38.36503399618232</v>
      </c>
      <c r="J16" s="60">
        <v>7831.855609354905</v>
      </c>
      <c r="K16" s="60">
        <v>-455.8222841423489</v>
      </c>
      <c r="L16" s="60">
        <v>13634.895833333325</v>
      </c>
      <c r="M16" s="60">
        <v>21637.677893497254</v>
      </c>
      <c r="N16" s="62">
        <v>21181.855609354905</v>
      </c>
      <c r="O16" s="63" t="s">
        <v>50</v>
      </c>
    </row>
    <row r="17">
      <c r="A17" s="59">
        <v>43709.0</v>
      </c>
      <c r="B17" s="60">
        <v>0.0</v>
      </c>
      <c r="C17" s="60">
        <v>0.0</v>
      </c>
      <c r="D17" s="60">
        <v>0.0</v>
      </c>
      <c r="E17" s="60">
        <v>13500.0</v>
      </c>
      <c r="F17" s="61">
        <v>0.09663855056374034</v>
      </c>
      <c r="G17" s="61">
        <v>0.5129082293134002</v>
      </c>
      <c r="H17" s="61">
        <v>0.2930904167505144</v>
      </c>
      <c r="I17" s="60">
        <v>1923.3658637758672</v>
      </c>
      <c r="J17" s="60">
        <v>7868.110566481297</v>
      </c>
      <c r="K17" s="60">
        <v>-457.9323610121389</v>
      </c>
      <c r="L17" s="60">
        <v>13770.833333333325</v>
      </c>
      <c r="M17" s="60">
        <v>21826.042927493436</v>
      </c>
      <c r="N17" s="62">
        <v>21368.110566481297</v>
      </c>
      <c r="O17" s="63" t="s">
        <v>50</v>
      </c>
    </row>
    <row r="18">
      <c r="A18" s="59">
        <v>43678.0</v>
      </c>
      <c r="B18" s="60">
        <v>-1000.0</v>
      </c>
      <c r="C18" s="60">
        <v>0.0</v>
      </c>
      <c r="D18" s="60">
        <v>-1000.0</v>
      </c>
      <c r="E18" s="60">
        <v>13500.0</v>
      </c>
      <c r="F18" s="61">
        <v>0.07804921004485675</v>
      </c>
      <c r="G18" s="61">
        <v>0.4162696787496598</v>
      </c>
      <c r="H18" s="61">
        <v>0.2497618072497959</v>
      </c>
      <c r="I18" s="60">
        <v>1513.323712354486</v>
      </c>
      <c r="J18" s="60">
        <v>6050.529825213103</v>
      </c>
      <c r="K18" s="60">
        <v>-352.14723850446626</v>
      </c>
      <c r="L18" s="60">
        <v>13756.770833333325</v>
      </c>
      <c r="M18" s="60">
        <v>19902.67706371757</v>
      </c>
      <c r="N18" s="62">
        <v>19550.529825213103</v>
      </c>
      <c r="O18" s="63" t="s">
        <v>50</v>
      </c>
    </row>
    <row r="19">
      <c r="A19" s="59">
        <v>43647.0</v>
      </c>
      <c r="B19" s="60">
        <v>0.0</v>
      </c>
      <c r="C19" s="60">
        <v>0.0</v>
      </c>
      <c r="D19" s="60">
        <v>0.0</v>
      </c>
      <c r="E19" s="60">
        <v>14500.0</v>
      </c>
      <c r="F19" s="61">
        <v>0.05571063566313939</v>
      </c>
      <c r="G19" s="61">
        <v>0.33822046870480305</v>
      </c>
      <c r="H19" s="61">
        <v>0.21361292760303352</v>
      </c>
      <c r="I19" s="60">
        <v>1023.1906014882006</v>
      </c>
      <c r="J19" s="60">
        <v>4620.438917038115</v>
      </c>
      <c r="K19" s="60">
        <v>-268.91443432496953</v>
      </c>
      <c r="L19" s="60">
        <v>14741.666666666659</v>
      </c>
      <c r="M19" s="60">
        <v>19389.353351363083</v>
      </c>
      <c r="N19" s="62">
        <v>19120.438917038115</v>
      </c>
      <c r="O19" s="63" t="s">
        <v>50</v>
      </c>
    </row>
    <row r="20">
      <c r="A20" s="59">
        <v>43617.0</v>
      </c>
      <c r="B20" s="60">
        <v>0.0</v>
      </c>
      <c r="C20" s="60">
        <v>0.0</v>
      </c>
      <c r="D20" s="60">
        <v>0.0</v>
      </c>
      <c r="E20" s="60">
        <v>14500.0</v>
      </c>
      <c r="F20" s="61">
        <v>0.03999771844904346</v>
      </c>
      <c r="G20" s="61">
        <v>0.28250983304166366</v>
      </c>
      <c r="H20" s="61">
        <v>0.18833988869444246</v>
      </c>
      <c r="I20" s="60">
        <v>706.3521329203759</v>
      </c>
      <c r="J20" s="60">
        <v>3653.5237986317625</v>
      </c>
      <c r="K20" s="60">
        <v>-212.63895124311853</v>
      </c>
      <c r="L20" s="60">
        <v>14726.562499999993</v>
      </c>
      <c r="M20" s="60">
        <v>18366.162749874882</v>
      </c>
      <c r="N20" s="62">
        <v>18153.523798631762</v>
      </c>
      <c r="O20" s="63" t="s">
        <v>50</v>
      </c>
    </row>
    <row r="21">
      <c r="A21" s="59">
        <v>43586.0</v>
      </c>
      <c r="B21" s="60">
        <v>-500.0</v>
      </c>
      <c r="C21" s="60">
        <v>0.0</v>
      </c>
      <c r="D21" s="60">
        <v>-500.0</v>
      </c>
      <c r="E21" s="60">
        <v>14500.0</v>
      </c>
      <c r="F21" s="61">
        <v>0.026231385182183264</v>
      </c>
      <c r="G21" s="61">
        <v>0.24251211459262018</v>
      </c>
      <c r="H21" s="61">
        <v>0.17118502206537894</v>
      </c>
      <c r="I21" s="60">
        <v>464.18087967975225</v>
      </c>
      <c r="J21" s="60">
        <v>2986.021033022007</v>
      </c>
      <c r="K21" s="60">
        <v>-173.78958393249786</v>
      </c>
      <c r="L21" s="60">
        <v>14711.458333333327</v>
      </c>
      <c r="M21" s="60">
        <v>17659.810616954506</v>
      </c>
      <c r="N21" s="62">
        <v>17486.021033022007</v>
      </c>
      <c r="O21" s="63" t="s">
        <v>50</v>
      </c>
    </row>
    <row r="22">
      <c r="A22" s="59">
        <v>43556.0</v>
      </c>
      <c r="B22" s="60">
        <v>0.0</v>
      </c>
      <c r="C22" s="60">
        <v>0.0</v>
      </c>
      <c r="D22" s="60">
        <v>0.0</v>
      </c>
      <c r="E22" s="60">
        <v>15000.0</v>
      </c>
      <c r="F22" s="61">
        <v>0.10199738482836891</v>
      </c>
      <c r="G22" s="61">
        <v>0.2162807294104369</v>
      </c>
      <c r="H22" s="61">
        <v>0.16221054705782767</v>
      </c>
      <c r="I22" s="60">
        <v>1637.8513968744555</v>
      </c>
      <c r="J22" s="60">
        <v>2547.370101724642</v>
      </c>
      <c r="K22" s="60">
        <v>-148.25963555011148</v>
      </c>
      <c r="L22" s="60">
        <v>15195.833333333327</v>
      </c>
      <c r="M22" s="60">
        <v>17695.629737274754</v>
      </c>
      <c r="N22" s="62">
        <v>17547.370101724642</v>
      </c>
      <c r="O22" s="63" t="s">
        <v>50</v>
      </c>
    </row>
    <row r="23">
      <c r="A23" s="59">
        <v>43525.0</v>
      </c>
      <c r="B23" s="60">
        <v>0.0</v>
      </c>
      <c r="C23" s="60">
        <v>0.0</v>
      </c>
      <c r="D23" s="60">
        <v>0.0</v>
      </c>
      <c r="E23" s="60">
        <v>15000.0</v>
      </c>
      <c r="F23" s="61">
        <v>0.03449682927674902</v>
      </c>
      <c r="G23" s="61">
        <v>0.11428334458206801</v>
      </c>
      <c r="H23" s="61">
        <v>0.09142667566565442</v>
      </c>
      <c r="I23" s="60">
        <v>535.4704067676521</v>
      </c>
      <c r="J23" s="60">
        <v>999.6005316782812</v>
      </c>
      <c r="K23" s="60">
        <v>-58.17780872201642</v>
      </c>
      <c r="L23" s="60">
        <v>15180.208333333327</v>
      </c>
      <c r="M23" s="60">
        <v>16057.778340400298</v>
      </c>
      <c r="N23" s="62">
        <v>15999.600531678281</v>
      </c>
      <c r="O23" s="63" t="s">
        <v>50</v>
      </c>
    </row>
    <row r="24">
      <c r="A24" s="59">
        <v>43497.0</v>
      </c>
      <c r="B24" s="60">
        <v>0.0</v>
      </c>
      <c r="C24" s="60">
        <v>0.0</v>
      </c>
      <c r="D24" s="60">
        <v>0.0</v>
      </c>
      <c r="E24" s="60">
        <v>15000.0</v>
      </c>
      <c r="F24" s="61">
        <v>0.04107233145116107</v>
      </c>
      <c r="G24" s="61">
        <v>0.079786515305319</v>
      </c>
      <c r="H24" s="61">
        <v>0.06838844169027342</v>
      </c>
      <c r="I24" s="60">
        <v>373.3496002993197</v>
      </c>
      <c r="J24" s="60">
        <v>493.58099728285015</v>
      </c>
      <c r="K24" s="60">
        <v>-28.726936349795555</v>
      </c>
      <c r="L24" s="60">
        <v>15164.583333333327</v>
      </c>
      <c r="M24" s="60">
        <v>15522.307933632646</v>
      </c>
      <c r="N24" s="62">
        <v>15493.58099728285</v>
      </c>
      <c r="O24" s="63" t="s">
        <v>50</v>
      </c>
    </row>
    <row r="25">
      <c r="A25" s="59">
        <v>43466.0</v>
      </c>
      <c r="B25" s="60">
        <v>-1000.0</v>
      </c>
      <c r="C25" s="60">
        <v>0.0</v>
      </c>
      <c r="D25" s="60">
        <v>-1000.0</v>
      </c>
      <c r="E25" s="60">
        <v>15000.0</v>
      </c>
      <c r="F25" s="61">
        <v>-0.024314741161841652</v>
      </c>
      <c r="G25" s="61">
        <v>0.038714183854157924</v>
      </c>
      <c r="H25" s="61">
        <v>0.035736169711530395</v>
      </c>
      <c r="I25" s="60">
        <v>-157.4504235641234</v>
      </c>
      <c r="J25" s="60">
        <v>140.76562499999454</v>
      </c>
      <c r="K25" s="60">
        <v>-8.19270833333297</v>
      </c>
      <c r="L25" s="60">
        <v>15148.958333333327</v>
      </c>
      <c r="M25" s="60">
        <v>14909.9226486943</v>
      </c>
      <c r="N25" s="62">
        <v>15140.765624999995</v>
      </c>
      <c r="O25" s="63" t="s">
        <v>50</v>
      </c>
    </row>
    <row r="26">
      <c r="A26" s="59">
        <v>43435.0</v>
      </c>
      <c r="B26" s="60">
        <v>6000.0</v>
      </c>
      <c r="C26" s="60">
        <v>0.0</v>
      </c>
      <c r="D26" s="60">
        <v>6000.0</v>
      </c>
      <c r="E26" s="60">
        <v>16000.0</v>
      </c>
      <c r="F26" s="61">
        <v>0.059176449934818486</v>
      </c>
      <c r="G26" s="61">
        <v>0.06302892501599958</v>
      </c>
      <c r="H26" s="61">
        <v>0.06302892501599958</v>
      </c>
      <c r="I26" s="60">
        <v>191.8254235641234</v>
      </c>
      <c r="J26" s="60">
        <v>289.55627526809076</v>
      </c>
      <c r="K26" s="60">
        <v>-16.852481629359758</v>
      </c>
      <c r="L26" s="60">
        <v>16132.29166666666</v>
      </c>
      <c r="M26" s="60">
        <v>16306.40875689745</v>
      </c>
      <c r="N26" s="62">
        <v>16289.55627526809</v>
      </c>
      <c r="O26" s="63" t="s">
        <v>50</v>
      </c>
    </row>
    <row r="27">
      <c r="A27" s="59">
        <v>43405.0</v>
      </c>
      <c r="B27" s="60">
        <v>7000.0</v>
      </c>
      <c r="C27" s="60">
        <v>7000.0</v>
      </c>
      <c r="D27" s="60">
        <v>0.0</v>
      </c>
      <c r="E27" s="60">
        <v>10000.0</v>
      </c>
      <c r="F27" s="61">
        <v>-0.06412073646906129</v>
      </c>
      <c r="G27" s="61">
        <v>0.0038524750811810976</v>
      </c>
      <c r="H27" s="61">
        <v>0.004202700088561198</v>
      </c>
      <c r="I27" s="60">
        <v>-275.32832818211136</v>
      </c>
      <c r="J27" s="60">
        <v>108.28124999999454</v>
      </c>
      <c r="K27" s="60">
        <v>-6.302083333332968</v>
      </c>
      <c r="L27" s="60">
        <v>10114.583333333327</v>
      </c>
      <c r="M27" s="60">
        <v>9723.70287393058</v>
      </c>
      <c r="N27" s="62">
        <v>10108.281249999995</v>
      </c>
      <c r="O27" s="63" t="s">
        <v>50</v>
      </c>
    </row>
    <row r="28">
      <c r="A28" s="59">
        <v>43374.0</v>
      </c>
      <c r="B28" s="60">
        <v>0.0</v>
      </c>
      <c r="C28" s="60">
        <v>0.0</v>
      </c>
      <c r="D28" s="60">
        <v>0.0</v>
      </c>
      <c r="E28" s="60">
        <v>10000.0</v>
      </c>
      <c r="F28" s="61">
        <v>-0.028896114427261484</v>
      </c>
      <c r="G28" s="61">
        <v>0.06797321155024239</v>
      </c>
      <c r="H28" s="61">
        <v>0.08156785386029086</v>
      </c>
      <c r="I28" s="60">
        <v>-309.16164657627814</v>
      </c>
      <c r="J28" s="60">
        <v>368.4665201320895</v>
      </c>
      <c r="K28" s="60">
        <v>-21.445141383349092</v>
      </c>
      <c r="L28" s="60">
        <v>10104.16666666666</v>
      </c>
      <c r="M28" s="60">
        <v>10389.911661515438</v>
      </c>
      <c r="N28" s="62">
        <v>10368.46652013209</v>
      </c>
      <c r="O28" s="63" t="s">
        <v>50</v>
      </c>
    </row>
    <row r="29">
      <c r="A29" s="59">
        <v>43344.0</v>
      </c>
      <c r="B29" s="60">
        <v>0.0</v>
      </c>
      <c r="C29" s="60">
        <v>0.0</v>
      </c>
      <c r="D29" s="60">
        <v>0.0</v>
      </c>
      <c r="E29" s="60">
        <v>10000.0</v>
      </c>
      <c r="F29" s="61">
        <v>0.08865378226331043</v>
      </c>
      <c r="G29" s="61">
        <v>0.09686932597750388</v>
      </c>
      <c r="H29" s="61">
        <v>0.1291591013033385</v>
      </c>
      <c r="I29" s="60">
        <v>615.7399747583877</v>
      </c>
      <c r="J29" s="60">
        <v>660.624276146671</v>
      </c>
      <c r="K29" s="60">
        <v>-38.44903194504439</v>
      </c>
      <c r="L29" s="60">
        <v>10093.749999999995</v>
      </c>
      <c r="M29" s="60">
        <v>10699.073308091716</v>
      </c>
      <c r="N29" s="62">
        <v>10660.624276146671</v>
      </c>
      <c r="O29" s="63" t="s">
        <v>50</v>
      </c>
    </row>
    <row r="30">
      <c r="A30" s="59">
        <v>43313.0</v>
      </c>
      <c r="B30" s="60">
        <v>0.0</v>
      </c>
      <c r="C30" s="60">
        <v>0.0</v>
      </c>
      <c r="D30" s="60">
        <v>0.0</v>
      </c>
      <c r="E30" s="60">
        <v>10000.0</v>
      </c>
      <c r="F30" s="61">
        <v>-0.02448824447309521</v>
      </c>
      <c r="G30" s="61">
        <v>0.00821554371419345</v>
      </c>
      <c r="H30" s="61">
        <v>0.012323315571290175</v>
      </c>
      <c r="I30" s="60">
        <v>8.824773747366635</v>
      </c>
      <c r="J30" s="60">
        <v>78.74999999999454</v>
      </c>
      <c r="K30" s="60">
        <v>-4.583333333333067</v>
      </c>
      <c r="L30" s="60">
        <v>10083.333333333328</v>
      </c>
      <c r="M30" s="60">
        <v>9827.80153103253</v>
      </c>
      <c r="N30" s="62">
        <v>10078.749999999995</v>
      </c>
      <c r="O30" s="63" t="s">
        <v>50</v>
      </c>
    </row>
    <row r="31">
      <c r="A31" s="59">
        <v>43282.0</v>
      </c>
      <c r="B31" s="60">
        <v>0.0</v>
      </c>
      <c r="C31" s="60">
        <v>0.0</v>
      </c>
      <c r="D31" s="60">
        <v>0.0</v>
      </c>
      <c r="E31" s="60">
        <v>10000.0</v>
      </c>
      <c r="F31" s="61">
        <v>0.010858996309905966</v>
      </c>
      <c r="G31" s="61">
        <v>0.03270378818728866</v>
      </c>
      <c r="H31" s="61">
        <v>0.056063636892494856</v>
      </c>
      <c r="I31" s="60">
        <v>12.008559585965486</v>
      </c>
      <c r="J31" s="60">
        <v>70.41058880873425</v>
      </c>
      <c r="K31" s="60">
        <v>-4.097970777227902</v>
      </c>
      <c r="L31" s="60">
        <v>10072.916666666662</v>
      </c>
      <c r="M31" s="60">
        <v>10074.508559585962</v>
      </c>
      <c r="N31" s="62">
        <v>10070.410588808734</v>
      </c>
      <c r="O31" s="63" t="s">
        <v>50</v>
      </c>
    </row>
    <row r="32">
      <c r="A32" s="59">
        <v>43252.0</v>
      </c>
      <c r="B32" s="60">
        <v>0.0</v>
      </c>
      <c r="C32" s="60">
        <v>0.0</v>
      </c>
      <c r="D32" s="60">
        <v>0.0</v>
      </c>
      <c r="E32" s="60">
        <v>10000.0</v>
      </c>
      <c r="F32" s="61">
        <v>0.12647428034130279</v>
      </c>
      <c r="G32" s="61">
        <v>0.021844791877382697</v>
      </c>
      <c r="H32" s="61">
        <v>0.04368958375476539</v>
      </c>
      <c r="I32" s="60">
        <v>10.41666666666606</v>
      </c>
      <c r="J32" s="60">
        <v>59.06249999999636</v>
      </c>
      <c r="K32" s="60">
        <v>-3.4374999999997997</v>
      </c>
      <c r="L32" s="60">
        <v>10062.499999999996</v>
      </c>
      <c r="M32" s="60">
        <v>9966.284710689117</v>
      </c>
      <c r="N32" s="62">
        <v>10059.062499999996</v>
      </c>
      <c r="O32" s="63" t="s">
        <v>50</v>
      </c>
    </row>
    <row r="33">
      <c r="A33" s="59">
        <v>43221.0</v>
      </c>
      <c r="B33" s="60">
        <v>0.0</v>
      </c>
      <c r="C33" s="60">
        <v>0.0</v>
      </c>
      <c r="D33" s="60">
        <v>0.0</v>
      </c>
      <c r="E33" s="60">
        <v>10000.0</v>
      </c>
      <c r="F33" s="61">
        <v>0.07661146740532812</v>
      </c>
      <c r="G33" s="61">
        <v>-0.10462948846392009</v>
      </c>
      <c r="H33" s="61">
        <v>-0.25111077231340817</v>
      </c>
      <c r="I33" s="60">
        <v>10.41666666666606</v>
      </c>
      <c r="J33" s="60">
        <v>49.21874999999636</v>
      </c>
      <c r="K33" s="60">
        <v>-2.8645833333331665</v>
      </c>
      <c r="L33" s="60">
        <v>10052.08333333333</v>
      </c>
      <c r="M33" s="60">
        <v>8847.325575573283</v>
      </c>
      <c r="N33" s="62">
        <v>10049.218749999996</v>
      </c>
      <c r="O33" s="63" t="s">
        <v>50</v>
      </c>
    </row>
    <row r="34">
      <c r="A34" s="59">
        <v>43191.0</v>
      </c>
      <c r="B34" s="60">
        <v>0.0</v>
      </c>
      <c r="C34" s="60">
        <v>0.0</v>
      </c>
      <c r="D34" s="60">
        <v>0.0</v>
      </c>
      <c r="E34" s="60">
        <v>10000.0</v>
      </c>
      <c r="F34" s="61">
        <v>-0.0394470506102503</v>
      </c>
      <c r="G34" s="61">
        <v>-0.1812409558692482</v>
      </c>
      <c r="H34" s="61">
        <v>-0.5437228676077446</v>
      </c>
      <c r="I34" s="60">
        <v>10.41666666666606</v>
      </c>
      <c r="J34" s="60">
        <v>39.37499999999818</v>
      </c>
      <c r="K34" s="60">
        <v>-2.2916666666665333</v>
      </c>
      <c r="L34" s="60">
        <v>10041.666666666664</v>
      </c>
      <c r="M34" s="60">
        <v>8217.751569092656</v>
      </c>
      <c r="N34" s="62">
        <v>10039.374999999998</v>
      </c>
      <c r="O34" s="63" t="s">
        <v>50</v>
      </c>
    </row>
    <row r="35">
      <c r="A35" s="59">
        <v>43160.0</v>
      </c>
      <c r="B35" s="60">
        <v>0.0</v>
      </c>
      <c r="C35" s="60">
        <v>0.0</v>
      </c>
      <c r="D35" s="60">
        <v>0.0</v>
      </c>
      <c r="E35" s="60">
        <v>10000.0</v>
      </c>
      <c r="F35" s="61">
        <v>-0.052153074609364886</v>
      </c>
      <c r="G35" s="61">
        <v>-0.1417939052589979</v>
      </c>
      <c r="H35" s="61">
        <v>-0.5671756210359916</v>
      </c>
      <c r="I35" s="60">
        <v>10.41666666666606</v>
      </c>
      <c r="J35" s="60">
        <v>29.53124999999818</v>
      </c>
      <c r="K35" s="60">
        <v>-1.7187499999999</v>
      </c>
      <c r="L35" s="60">
        <v>10031.249999999998</v>
      </c>
      <c r="M35" s="60">
        <v>8555.230166450989</v>
      </c>
      <c r="N35" s="62">
        <v>10029.531249999998</v>
      </c>
      <c r="O35" s="63" t="s">
        <v>50</v>
      </c>
    </row>
    <row r="36">
      <c r="A36" s="59">
        <v>43132.0</v>
      </c>
      <c r="B36" s="60">
        <v>0.0</v>
      </c>
      <c r="C36" s="60">
        <v>0.0</v>
      </c>
      <c r="D36" s="60">
        <v>0.0</v>
      </c>
      <c r="E36" s="60">
        <v>10000.0</v>
      </c>
      <c r="F36" s="61">
        <v>-0.09834304329279307</v>
      </c>
      <c r="G36" s="61">
        <v>-0.08964083064963302</v>
      </c>
      <c r="H36" s="61">
        <v>-0.5378449838977981</v>
      </c>
      <c r="I36" s="60">
        <v>10.41666666666606</v>
      </c>
      <c r="J36" s="60">
        <v>19.68749999999818</v>
      </c>
      <c r="K36" s="60">
        <v>-1.1458333333332666</v>
      </c>
      <c r="L36" s="60">
        <v>10020.833333333332</v>
      </c>
      <c r="M36" s="60">
        <v>9025.961827037769</v>
      </c>
      <c r="N36" s="62">
        <v>10019.687499999998</v>
      </c>
      <c r="O36" s="63" t="s">
        <v>50</v>
      </c>
    </row>
    <row r="37">
      <c r="A37" s="59">
        <v>43101.0</v>
      </c>
      <c r="B37" s="60">
        <v>10000.0</v>
      </c>
      <c r="C37" s="60">
        <v>0.0</v>
      </c>
      <c r="D37" s="60">
        <v>10000.0</v>
      </c>
      <c r="E37" s="60">
        <v>10000.0</v>
      </c>
      <c r="F37" s="61">
        <v>0.008702212643160052</v>
      </c>
      <c r="G37" s="61">
        <v>0.008702212643160052</v>
      </c>
      <c r="H37" s="61">
        <v>0.10442655171792062</v>
      </c>
      <c r="I37" s="60">
        <v>10.41666666666606</v>
      </c>
      <c r="J37" s="60">
        <v>9.84375</v>
      </c>
      <c r="K37" s="60">
        <v>-0.5729166666666333</v>
      </c>
      <c r="L37" s="60">
        <v>10010.416666666666</v>
      </c>
      <c r="M37" s="60">
        <v>10010.416666666666</v>
      </c>
      <c r="N37" s="62">
        <v>10009.84375</v>
      </c>
      <c r="O37" s="63" t="s">
        <v>50</v>
      </c>
    </row>
    <row r="38">
      <c r="A38" s="59">
        <v>43070.0</v>
      </c>
      <c r="B38" s="60">
        <v>10000.0</v>
      </c>
      <c r="C38" s="60">
        <v>10000.0</v>
      </c>
      <c r="D38" s="60">
        <v>0.0</v>
      </c>
      <c r="E38" s="60">
        <v>0.0</v>
      </c>
      <c r="F38" s="61">
        <v>0.0</v>
      </c>
      <c r="G38" s="61">
        <v>0.0</v>
      </c>
      <c r="H38" s="61">
        <v>0.0</v>
      </c>
      <c r="I38" s="60">
        <v>0.0</v>
      </c>
      <c r="J38" s="60">
        <v>0.0</v>
      </c>
      <c r="K38" s="60">
        <v>0.0</v>
      </c>
      <c r="L38" s="60">
        <v>0.0</v>
      </c>
      <c r="M38" s="60">
        <v>0.0</v>
      </c>
      <c r="N38" s="62">
        <v>0.0</v>
      </c>
      <c r="O38" s="63"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8" t="s">
        <v>1</v>
      </c>
      <c r="B1" s="58" t="s">
        <v>97</v>
      </c>
      <c r="C1" s="58" t="s">
        <v>270</v>
      </c>
      <c r="D1" s="58" t="s">
        <v>274</v>
      </c>
      <c r="E1" s="58" t="s">
        <v>278</v>
      </c>
      <c r="F1" s="58" t="s">
        <v>282</v>
      </c>
      <c r="G1" s="58" t="s">
        <v>286</v>
      </c>
      <c r="H1" s="58" t="s">
        <v>25</v>
      </c>
      <c r="I1" s="58" t="s">
        <v>293</v>
      </c>
      <c r="J1" s="58" t="s">
        <v>24</v>
      </c>
      <c r="K1" s="58" t="s">
        <v>16</v>
      </c>
      <c r="L1" s="58" t="s">
        <v>303</v>
      </c>
      <c r="M1" s="58" t="s">
        <v>307</v>
      </c>
      <c r="N1" s="58" t="s">
        <v>26</v>
      </c>
      <c r="O1" s="58" t="s">
        <v>372</v>
      </c>
    </row>
    <row r="2">
      <c r="A2" s="59">
        <f t="array" ref="A2">EOMONTH(IF(ROW()=2,DateTime!$B$1-TIME(3,0,0),INDEX($A:$A,ROW()-1)-1),-1)+1</f>
        <v>44166</v>
      </c>
      <c r="B2" s="6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0">
        <f>MAX($B2+IF($B2&gt;0,SUMIFS(Historic!$G:$G,Historic!$D:$D,"BUY",Historic!$A:$A,"&gt;"&amp;MAX(EOMONTH($A2,-2),MAXIFS(AssociateHistoric!$A:$A,AssociateHistoric!$A:$A,"&gt;"&amp;EOMONTH($A2,-2),AssociateHistoric!$A:$A,"&lt;"&amp;$A2,AssociateHistoric!$B:$B,$O$2,AssociateHistoric!$C:$C,"&gt;0")),Historic!$A:$A,"&lt;"&amp;$A2),0),0)</f>
        <v>0</v>
      </c>
      <c r="D2" s="60">
        <f t="shared" ref="D2:D18" si="1">$B2-$C2</f>
        <v>300</v>
      </c>
      <c r="E2" s="60">
        <f t="shared" ref="E2:E18" si="2">INDEX($E:$E,ROW()+1)+$D2</f>
        <v>600</v>
      </c>
      <c r="F2" s="61">
        <f t="array" ref="F2">IF(INDEX($A:$A,ROW()+1),MAXIFS(AllocationHistoric!$I:$I,AllocationHistoric!$A:$A,$A2),0)</f>
        <v>0.0329042922</v>
      </c>
      <c r="G2" s="61">
        <f t="shared" ref="G2:G18" si="3">$F2+INDEX($G:$G,ROW()+1)</f>
        <v>0.319813211</v>
      </c>
      <c r="H2" s="61">
        <f t="shared" ref="H2:H18" si="4">IF(INDEX($A:$A,ROW()+1),$G2/ROWS($A3:$A18)*12,0)</f>
        <v>0.2398599083</v>
      </c>
      <c r="I2" s="60">
        <f t="shared" ref="I2:I18" si="5">MAX($L2,$M2)-$E2-SUM($I3:$I18)</f>
        <v>11.04684281</v>
      </c>
      <c r="J2" s="60">
        <f t="shared" ref="J2:J18" si="6">$N2-$E2</f>
        <v>38.2175457</v>
      </c>
      <c r="K2" s="60">
        <f t="array" ref="K2">-$I2*5.5/100+INDEX($K:$K,ROW()+1)+SUMIFS(AssociateHistoric!$D:$D,AssociateHistoric!$A:$A,"&gt;"&amp;EOMONTH($A2,-2),AssociateHistoric!$A:$A,"&lt;"&amp;$A2,AssociateHistoric!$B:$B,$O$2)</f>
        <v>-2.224301602</v>
      </c>
      <c r="L2" s="60">
        <f t="array" ref="L2">(INDEX($E:$E,ROW()+1)+INDEX($C:$C,ROW()+1))*Dashboard!$B$57/12+$D2+INDEX($L:$L,ROW()+1)</f>
        <v>603.0208333</v>
      </c>
      <c r="M2" s="60">
        <f t="array" ref="M2">INDEX($M:$M,ROW()+1)+$D2+INDEX($M:$M,ROW()+1)*$F2+INDEX($C:$C,ROW()+1)*Dashboard!$B$57/12</f>
        <v>640.4418473</v>
      </c>
      <c r="N2" s="62">
        <f t="shared" ref="N2:N18" si="7">MAX($M2,$L2)+$K2</f>
        <v>638.2175457</v>
      </c>
      <c r="O2" s="63" t="str">
        <f t="shared" ref="O2:O18" si="8">IF(ROW()=2,"Paclone",INDEX(O:O,ROW()-1))</f>
        <v>Paclone</v>
      </c>
    </row>
    <row r="3">
      <c r="A3" s="59">
        <f t="array" ref="A3">EOMONTH(IF(ROW()=2,DateTime!$B$1-TIME(3,0,0),INDEX($A:$A,ROW()-1)-1),-1)+1</f>
        <v>44136</v>
      </c>
      <c r="B3" s="60">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0">
        <f>MAX($B3+IF($B3&gt;0,SUMIFS(Historic!$G:$G,Historic!$D:$D,"BUY",Historic!$A:$A,"&gt;"&amp;MAX(EOMONTH($A3,-2),MAXIFS(AssociateHistoric!$A:$A,AssociateHistoric!$A:$A,"&gt;"&amp;EOMONTH($A3,-2),AssociateHistoric!$A:$A,"&lt;"&amp;$A3,AssociateHistoric!$B:$B,$O$2,AssociateHistoric!$C:$C,"&gt;0")),Historic!$A:$A,"&lt;"&amp;$A3),0),0)</f>
        <v>200</v>
      </c>
      <c r="D3" s="60">
        <f t="shared" si="1"/>
        <v>0</v>
      </c>
      <c r="E3" s="60">
        <f t="shared" si="2"/>
        <v>300</v>
      </c>
      <c r="F3" s="61">
        <f t="array" ref="F3">IF(INDEX($A:$A,ROW()+1),MAXIFS(AllocationHistoric!$I:$I,AllocationHistoric!$A:$A,$A3),0)</f>
        <v>-0.0164328313</v>
      </c>
      <c r="G3" s="61">
        <f t="shared" si="3"/>
        <v>0.2869089188</v>
      </c>
      <c r="H3" s="61">
        <f t="shared" si="4"/>
        <v>0.229527135</v>
      </c>
      <c r="I3" s="60">
        <f t="shared" si="5"/>
        <v>-5.503327796</v>
      </c>
      <c r="J3" s="60">
        <f t="shared" si="6"/>
        <v>27.77827925</v>
      </c>
      <c r="K3" s="60">
        <f t="array" ref="K3">-$I3*5.5/100+INDEX($K:$K,ROW()+1)+SUMIFS(AssociateHistoric!$D:$D,AssociateHistoric!$A:$A,"&gt;"&amp;EOMONTH($A3,-2),AssociateHistoric!$A:$A,"&lt;"&amp;$A3,AssociateHistoric!$B:$B,$O$2)</f>
        <v>-1.616725247</v>
      </c>
      <c r="L3" s="60">
        <f t="array" ref="L3">(INDEX($E:$E,ROW()+1)+INDEX($C:$C,ROW()+1))*Dashboard!$B$57/12+$D3+INDEX($L:$L,ROW()+1)</f>
        <v>302.5</v>
      </c>
      <c r="M3" s="60">
        <f t="array" ref="M3">INDEX($M:$M,ROW()+1)+$D3+INDEX($M:$M,ROW()+1)*$F3+INDEX($C:$C,ROW()+1)*Dashboard!$B$57/12</f>
        <v>329.3950045</v>
      </c>
      <c r="N3" s="62">
        <f t="shared" si="7"/>
        <v>327.7782792</v>
      </c>
      <c r="O3" s="63" t="str">
        <f t="shared" si="8"/>
        <v>Paclone</v>
      </c>
    </row>
    <row r="4">
      <c r="A4" s="59">
        <f t="array" ref="A4">EOMONTH(IF(ROW()=2,DateTime!$B$1-TIME(3,0,0),INDEX($A:$A,ROW()-1)-1),-1)+1</f>
        <v>44105</v>
      </c>
      <c r="B4" s="60">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0">
        <f>MAX($B4+IF($B4&gt;0,SUMIFS(Historic!$G:$G,Historic!$D:$D,"BUY",Historic!$A:$A,"&gt;"&amp;MAX(EOMONTH($A4,-2),MAXIFS(AssociateHistoric!$A:$A,AssociateHistoric!$A:$A,"&gt;"&amp;EOMONTH($A4,-2),AssociateHistoric!$A:$A,"&lt;"&amp;$A4,AssociateHistoric!$B:$B,$O$2,AssociateHistoric!$C:$C,"&gt;0")),Historic!$A:$A,"&lt;"&amp;$A4),0),0)</f>
        <v>0</v>
      </c>
      <c r="D4" s="60">
        <f t="shared" si="1"/>
        <v>100</v>
      </c>
      <c r="E4" s="60">
        <f t="shared" si="2"/>
        <v>300</v>
      </c>
      <c r="F4" s="61">
        <f t="array" ref="F4">IF(INDEX($A:$A,ROW()+1),MAXIFS(AllocationHistoric!$I:$I,AllocationHistoric!$A:$A,$A4),0)</f>
        <v>-0.003035883482</v>
      </c>
      <c r="G4" s="61">
        <f t="shared" si="3"/>
        <v>0.3033417501</v>
      </c>
      <c r="H4" s="61">
        <f t="shared" si="4"/>
        <v>0.2600072144</v>
      </c>
      <c r="I4" s="60">
        <f t="shared" si="5"/>
        <v>-0.7152955209</v>
      </c>
      <c r="J4" s="60">
        <f t="shared" si="6"/>
        <v>32.97892401</v>
      </c>
      <c r="K4" s="60">
        <f t="array" ref="K4">-$I4*5.5/100+INDEX($K:$K,ROW()+1)+SUMIFS(AssociateHistoric!$D:$D,AssociateHistoric!$A:$A,"&gt;"&amp;EOMONTH($A4,-2),AssociateHistoric!$A:$A,"&lt;"&amp;$A4,AssociateHistoric!$B:$B,$O$2)</f>
        <v>-1.919408276</v>
      </c>
      <c r="L4" s="60">
        <f t="array" ref="L4">(INDEX($E:$E,ROW()+1)+INDEX($C:$C,ROW()+1))*Dashboard!$B$57/12+$D4+INDEX($L:$L,ROW()+1)</f>
        <v>302.1875</v>
      </c>
      <c r="M4" s="60">
        <f t="array" ref="M4">INDEX($M:$M,ROW()+1)+$D4+INDEX($M:$M,ROW()+1)*$F4+INDEX($C:$C,ROW()+1)*Dashboard!$B$57/12</f>
        <v>334.8983323</v>
      </c>
      <c r="N4" s="62">
        <f t="shared" si="7"/>
        <v>332.978924</v>
      </c>
      <c r="O4" s="63" t="str">
        <f t="shared" si="8"/>
        <v>Paclone</v>
      </c>
    </row>
    <row r="5">
      <c r="A5" s="59">
        <f t="array" ref="A5">EOMONTH(IF(ROW()=2,DateTime!$B$1-TIME(3,0,0),INDEX($A:$A,ROW()-1)-1),-1)+1</f>
        <v>44075</v>
      </c>
      <c r="B5" s="60">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0">
        <f>MAX($B5+IF($B5&gt;0,SUMIFS(Historic!$G:$G,Historic!$D:$D,"BUY",Historic!$A:$A,"&gt;"&amp;MAX(EOMONTH($A5,-2),MAXIFS(AssociateHistoric!$A:$A,AssociateHistoric!$A:$A,"&gt;"&amp;EOMONTH($A5,-2),AssociateHistoric!$A:$A,"&lt;"&amp;$A5,AssociateHistoric!$B:$B,$O$2,AssociateHistoric!$C:$C,"&gt;0")),Historic!$A:$A,"&lt;"&amp;$A5),0),0)</f>
        <v>0</v>
      </c>
      <c r="D5" s="60">
        <f t="shared" si="1"/>
        <v>0</v>
      </c>
      <c r="E5" s="60">
        <f t="shared" si="2"/>
        <v>200</v>
      </c>
      <c r="F5" s="61">
        <f t="array" ref="F5">IF(INDEX($A:$A,ROW()+1),MAXIFS(AllocationHistoric!$I:$I,AllocationHistoric!$A:$A,$A5),0)</f>
        <v>0.06950114423</v>
      </c>
      <c r="G5" s="61">
        <f t="shared" si="3"/>
        <v>0.3063776336</v>
      </c>
      <c r="H5" s="61">
        <f t="shared" si="4"/>
        <v>0.2828101233</v>
      </c>
      <c r="I5" s="60">
        <f t="shared" si="5"/>
        <v>15.31126621</v>
      </c>
      <c r="J5" s="60">
        <f t="shared" si="6"/>
        <v>33.65487828</v>
      </c>
      <c r="K5" s="60">
        <f t="array" ref="K5">-$I5*5.5/100+INDEX($K:$K,ROW()+1)+SUMIFS(AssociateHistoric!$D:$D,AssociateHistoric!$A:$A,"&gt;"&amp;EOMONTH($A5,-2),AssociateHistoric!$A:$A,"&lt;"&amp;$A5,AssociateHistoric!$B:$B,$O$2)</f>
        <v>-1.95874953</v>
      </c>
      <c r="L5" s="60">
        <f t="array" ref="L5">(INDEX($E:$E,ROW()+1)+INDEX($C:$C,ROW()+1))*Dashboard!$B$57/12+$D5+INDEX($L:$L,ROW()+1)</f>
        <v>201.9791667</v>
      </c>
      <c r="M5" s="60">
        <f t="array" ref="M5">INDEX($M:$M,ROW()+1)+$D5+INDEX($M:$M,ROW()+1)*$F5+INDEX($C:$C,ROW()+1)*Dashboard!$B$57/12</f>
        <v>235.6136278</v>
      </c>
      <c r="N5" s="62">
        <f t="shared" si="7"/>
        <v>233.6548783</v>
      </c>
      <c r="O5" s="63" t="str">
        <f t="shared" si="8"/>
        <v>Paclone</v>
      </c>
    </row>
    <row r="6">
      <c r="A6" s="59">
        <f t="array" ref="A6">EOMONTH(IF(ROW()=2,DateTime!$B$1-TIME(3,0,0),INDEX($A:$A,ROW()-1)-1),-1)+1</f>
        <v>44044</v>
      </c>
      <c r="B6" s="60">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0">
        <f>MAX($B6+IF($B6&gt;0,SUMIFS(Historic!$G:$G,Historic!$D:$D,"BUY",Historic!$A:$A,"&gt;"&amp;MAX(EOMONTH($A6,-2),MAXIFS(AssociateHistoric!$A:$A,AssociateHistoric!$A:$A,"&gt;"&amp;EOMONTH($A6,-2),AssociateHistoric!$A:$A,"&lt;"&amp;$A6,AssociateHistoric!$B:$B,$O$2,AssociateHistoric!$C:$C,"&gt;0")),Historic!$A:$A,"&lt;"&amp;$A6),0),0)</f>
        <v>0</v>
      </c>
      <c r="D6" s="60">
        <f t="shared" si="1"/>
        <v>0</v>
      </c>
      <c r="E6" s="60">
        <f t="shared" si="2"/>
        <v>200</v>
      </c>
      <c r="F6" s="61">
        <f t="array" ref="F6">IF(INDEX($A:$A,ROW()+1),MAXIFS(AllocationHistoric!$I:$I,AllocationHistoric!$A:$A,$A6),0)</f>
        <v>-0.001185159315</v>
      </c>
      <c r="G6" s="61">
        <f t="shared" si="3"/>
        <v>0.2368764894</v>
      </c>
      <c r="H6" s="61">
        <f t="shared" si="4"/>
        <v>0.2368764894</v>
      </c>
      <c r="I6" s="60">
        <f t="shared" si="5"/>
        <v>-0.2614032004</v>
      </c>
      <c r="J6" s="60">
        <f t="shared" si="6"/>
        <v>19.18573171</v>
      </c>
      <c r="K6" s="60">
        <f t="array" ref="K6">-$I6*5.5/100+INDEX($K:$K,ROW()+1)+SUMIFS(AssociateHistoric!$D:$D,AssociateHistoric!$A:$A,"&gt;"&amp;EOMONTH($A6,-2),AssociateHistoric!$A:$A,"&lt;"&amp;$A6,AssociateHistoric!$B:$B,$O$2)</f>
        <v>-1.116629888</v>
      </c>
      <c r="L6" s="60">
        <f t="array" ref="L6">(INDEX($E:$E,ROW()+1)+INDEX($C:$C,ROW()+1))*Dashboard!$B$57/12+$D6+INDEX($L:$L,ROW()+1)</f>
        <v>201.7708333</v>
      </c>
      <c r="M6" s="60">
        <f t="array" ref="M6">INDEX($M:$M,ROW()+1)+$D6+INDEX($M:$M,ROW()+1)*$F6+INDEX($C:$C,ROW()+1)*Dashboard!$B$57/12</f>
        <v>220.3023616</v>
      </c>
      <c r="N6" s="62">
        <f t="shared" si="7"/>
        <v>219.1857317</v>
      </c>
      <c r="O6" s="63" t="str">
        <f t="shared" si="8"/>
        <v>Paclone</v>
      </c>
    </row>
    <row r="7">
      <c r="A7" s="59">
        <f t="array" ref="A7">EOMONTH(IF(ROW()=2,DateTime!$B$1-TIME(3,0,0),INDEX($A:$A,ROW()-1)-1),-1)+1</f>
        <v>44013</v>
      </c>
      <c r="B7" s="60">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0">
        <f>MAX($B7+IF($B7&gt;0,SUMIFS(Historic!$G:$G,Historic!$D:$D,"BUY",Historic!$A:$A,"&gt;"&amp;MAX(EOMONTH($A7,-2),MAXIFS(AssociateHistoric!$A:$A,AssociateHistoric!$A:$A,"&gt;"&amp;EOMONTH($A7,-2),AssociateHistoric!$A:$A,"&lt;"&amp;$A7,AssociateHistoric!$B:$B,$O$2,AssociateHistoric!$C:$C,"&gt;0")),Historic!$A:$A,"&lt;"&amp;$A7),0),0)</f>
        <v>0</v>
      </c>
      <c r="D7" s="60">
        <f t="shared" si="1"/>
        <v>0</v>
      </c>
      <c r="E7" s="60">
        <f t="shared" si="2"/>
        <v>200</v>
      </c>
      <c r="F7" s="61">
        <f t="array" ref="F7">IF(INDEX($A:$A,ROW()+1),MAXIFS(AllocationHistoric!$I:$I,AllocationHistoric!$A:$A,$A7),0)</f>
        <v>0.01670595001</v>
      </c>
      <c r="G7" s="61">
        <f t="shared" si="3"/>
        <v>0.2380616487</v>
      </c>
      <c r="H7" s="61">
        <f t="shared" si="4"/>
        <v>0.2597036167</v>
      </c>
      <c r="I7" s="60">
        <f t="shared" si="5"/>
        <v>3.624181829</v>
      </c>
      <c r="J7" s="60">
        <f t="shared" si="6"/>
        <v>19.43275774</v>
      </c>
      <c r="K7" s="60">
        <f t="array" ref="K7">-$I7*5.5/100+INDEX($K:$K,ROW()+1)+SUMIFS(AssociateHistoric!$D:$D,AssociateHistoric!$A:$A,"&gt;"&amp;EOMONTH($A7,-2),AssociateHistoric!$A:$A,"&lt;"&amp;$A7,AssociateHistoric!$B:$B,$O$2)</f>
        <v>-1.131007064</v>
      </c>
      <c r="L7" s="60">
        <f t="array" ref="L7">(INDEX($E:$E,ROW()+1)+INDEX($C:$C,ROW()+1))*Dashboard!$B$57/12+$D7+INDEX($L:$L,ROW()+1)</f>
        <v>201.5625</v>
      </c>
      <c r="M7" s="60">
        <f t="array" ref="M7">INDEX($M:$M,ROW()+1)+$D7+INDEX($M:$M,ROW()+1)*$F7+INDEX($C:$C,ROW()+1)*Dashboard!$B$57/12</f>
        <v>220.5637648</v>
      </c>
      <c r="N7" s="62">
        <f t="shared" si="7"/>
        <v>219.4327577</v>
      </c>
      <c r="O7" s="63" t="str">
        <f t="shared" si="8"/>
        <v>Paclone</v>
      </c>
    </row>
    <row r="8">
      <c r="A8" s="59">
        <f t="array" ref="A8">EOMONTH(IF(ROW()=2,DateTime!$B$1-TIME(3,0,0),INDEX($A:$A,ROW()-1)-1),-1)+1</f>
        <v>43983</v>
      </c>
      <c r="B8" s="60">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0">
        <f>MAX($B8+IF($B8&gt;0,SUMIFS(Historic!$G:$G,Historic!$D:$D,"BUY",Historic!$A:$A,"&gt;"&amp;MAX(EOMONTH($A8,-2),MAXIFS(AssociateHistoric!$A:$A,AssociateHistoric!$A:$A,"&gt;"&amp;EOMONTH($A8,-2),AssociateHistoric!$A:$A,"&lt;"&amp;$A8,AssociateHistoric!$B:$B,$O$2,AssociateHistoric!$C:$C,"&gt;0")),Historic!$A:$A,"&lt;"&amp;$A8),0),0)</f>
        <v>0</v>
      </c>
      <c r="D8" s="60">
        <f t="shared" si="1"/>
        <v>0</v>
      </c>
      <c r="E8" s="60">
        <f t="shared" si="2"/>
        <v>200</v>
      </c>
      <c r="F8" s="61">
        <f t="array" ref="F8">IF(INDEX($A:$A,ROW()+1),MAXIFS(AllocationHistoric!$I:$I,AllocationHistoric!$A:$A,$A8),0)</f>
        <v>-0.006593872955</v>
      </c>
      <c r="G8" s="61">
        <f t="shared" si="3"/>
        <v>0.2213556987</v>
      </c>
      <c r="H8" s="61">
        <f t="shared" si="4"/>
        <v>0.2656268384</v>
      </c>
      <c r="I8" s="60">
        <f t="shared" si="5"/>
        <v>-1.439967008</v>
      </c>
      <c r="J8" s="60">
        <f t="shared" si="6"/>
        <v>16.00790591</v>
      </c>
      <c r="K8" s="60">
        <f t="array" ref="K8">-$I8*5.5/100+INDEX($K:$K,ROW()+1)+SUMIFS(AssociateHistoric!$D:$D,AssociateHistoric!$A:$A,"&gt;"&amp;EOMONTH($A8,-2),AssociateHistoric!$A:$A,"&lt;"&amp;$A8,AssociateHistoric!$B:$B,$O$2)</f>
        <v>-0.9316770635</v>
      </c>
      <c r="L8" s="60">
        <f t="array" ref="L8">(INDEX($E:$E,ROW()+1)+INDEX($C:$C,ROW()+1))*Dashboard!$B$57/12+$D8+INDEX($L:$L,ROW()+1)</f>
        <v>201.3541667</v>
      </c>
      <c r="M8" s="60">
        <f t="array" ref="M8">INDEX($M:$M,ROW()+1)+$D8+INDEX($M:$M,ROW()+1)*$F8+INDEX($C:$C,ROW()+1)*Dashboard!$B$57/12</f>
        <v>216.939583</v>
      </c>
      <c r="N8" s="62">
        <f t="shared" si="7"/>
        <v>216.0079059</v>
      </c>
      <c r="O8" s="63" t="str">
        <f t="shared" si="8"/>
        <v>Paclone</v>
      </c>
    </row>
    <row r="9">
      <c r="A9" s="59">
        <f t="array" ref="A9">EOMONTH(IF(ROW()=2,DateTime!$B$1-TIME(3,0,0),INDEX($A:$A,ROW()-1)-1),-1)+1</f>
        <v>43952</v>
      </c>
      <c r="B9" s="60">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0">
        <f>MAX($B9+IF($B9&gt;0,SUMIFS(Historic!$G:$G,Historic!$D:$D,"BUY",Historic!$A:$A,"&gt;"&amp;MAX(EOMONTH($A9,-2),MAXIFS(AssociateHistoric!$A:$A,AssociateHistoric!$A:$A,"&gt;"&amp;EOMONTH($A9,-2),AssociateHistoric!$A:$A,"&lt;"&amp;$A9,AssociateHistoric!$B:$B,$O$2,AssociateHistoric!$C:$C,"&gt;0")),Historic!$A:$A,"&lt;"&amp;$A9),0),0)</f>
        <v>0</v>
      </c>
      <c r="D9" s="60">
        <f t="shared" si="1"/>
        <v>0</v>
      </c>
      <c r="E9" s="60">
        <f t="shared" si="2"/>
        <v>200</v>
      </c>
      <c r="F9" s="61">
        <f t="array" ref="F9">IF(INDEX($A:$A,ROW()+1),MAXIFS(AllocationHistoric!$I:$I,AllocationHistoric!$A:$A,$A9),0)</f>
        <v>0.1716787041</v>
      </c>
      <c r="G9" s="61">
        <f t="shared" si="3"/>
        <v>0.2279495716</v>
      </c>
      <c r="H9" s="61">
        <f t="shared" si="4"/>
        <v>0.3039327622</v>
      </c>
      <c r="I9" s="60">
        <f t="shared" si="5"/>
        <v>17.44204998</v>
      </c>
      <c r="J9" s="60">
        <f t="shared" si="6"/>
        <v>17.36867473</v>
      </c>
      <c r="K9" s="60">
        <f t="array" ref="K9">-$I9*5.5/100+INDEX($K:$K,ROW()+1)+SUMIFS(AssociateHistoric!$D:$D,AssociateHistoric!$A:$A,"&gt;"&amp;EOMONTH($A9,-2),AssociateHistoric!$A:$A,"&lt;"&amp;$A9,AssociateHistoric!$B:$B,$O$2)</f>
        <v>-1.010875249</v>
      </c>
      <c r="L9" s="60">
        <f t="array" ref="L9">(INDEX($E:$E,ROW()+1)+INDEX($C:$C,ROW()+1))*Dashboard!$B$57/12+$D9+INDEX($L:$L,ROW()+1)</f>
        <v>201.1458333</v>
      </c>
      <c r="M9" s="60">
        <f t="array" ref="M9">INDEX($M:$M,ROW()+1)+$D9+INDEX($M:$M,ROW()+1)*$F9+INDEX($C:$C,ROW()+1)*Dashboard!$B$57/12</f>
        <v>218.37955</v>
      </c>
      <c r="N9" s="62">
        <f t="shared" si="7"/>
        <v>217.3686747</v>
      </c>
      <c r="O9" s="63" t="str">
        <f t="shared" si="8"/>
        <v>Paclone</v>
      </c>
    </row>
    <row r="10">
      <c r="A10" s="59">
        <f t="array" ref="A10">EOMONTH(IF(ROW()=2,DateTime!$B$1-TIME(3,0,0),INDEX($A:$A,ROW()-1)-1),-1)+1</f>
        <v>43922</v>
      </c>
      <c r="B10" s="60">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0">
        <f>MAX($B10+IF($B10&gt;0,SUMIFS(Historic!$G:$G,Historic!$D:$D,"BUY",Historic!$A:$A,"&gt;"&amp;MAX(EOMONTH($A10,-2),MAXIFS(AssociateHistoric!$A:$A,AssociateHistoric!$A:$A,"&gt;"&amp;EOMONTH($A10,-2),AssociateHistoric!$A:$A,"&lt;"&amp;$A10,AssociateHistoric!$B:$B,$O$2,AssociateHistoric!$C:$C,"&gt;0")),Historic!$A:$A,"&lt;"&amp;$A10),0),0)</f>
        <v>0</v>
      </c>
      <c r="D10" s="60">
        <f t="shared" si="1"/>
        <v>0</v>
      </c>
      <c r="E10" s="60">
        <f t="shared" si="2"/>
        <v>200</v>
      </c>
      <c r="F10" s="61">
        <f t="array" ref="F10">IF(INDEX($A:$A,ROW()+1),MAXIFS(AllocationHistoric!$I:$I,AllocationHistoric!$A:$A,$A10),0)</f>
        <v>-0.09031985768</v>
      </c>
      <c r="G10" s="61">
        <f t="shared" si="3"/>
        <v>0.0562708675</v>
      </c>
      <c r="H10" s="61">
        <f t="shared" si="4"/>
        <v>0.08440630126</v>
      </c>
      <c r="I10" s="60">
        <f t="shared" si="5"/>
        <v>-3.949647339</v>
      </c>
      <c r="J10" s="60">
        <f t="shared" si="6"/>
        <v>0.8859375</v>
      </c>
      <c r="K10" s="60">
        <f t="array" ref="K10">-$I10*5.5/100+INDEX($K:$K,ROW()+1)+SUMIFS(AssociateHistoric!$D:$D,AssociateHistoric!$A:$A,"&gt;"&amp;EOMONTH($A10,-2),AssociateHistoric!$A:$A,"&lt;"&amp;$A10,AssociateHistoric!$B:$B,$O$2)</f>
        <v>-0.0515625</v>
      </c>
      <c r="L10" s="60">
        <f t="array" ref="L10">(INDEX($E:$E,ROW()+1)+INDEX($C:$C,ROW()+1))*Dashboard!$B$57/12+$D10+INDEX($L:$L,ROW()+1)</f>
        <v>200.9375</v>
      </c>
      <c r="M10" s="60">
        <f t="array" ref="M10">INDEX($M:$M,ROW()+1)+$D10+INDEX($M:$M,ROW()+1)*$F10+INDEX($C:$C,ROW()+1)*Dashboard!$B$57/12</f>
        <v>186.3817694</v>
      </c>
      <c r="N10" s="62">
        <f t="shared" si="7"/>
        <v>200.8859375</v>
      </c>
      <c r="O10" s="63" t="str">
        <f t="shared" si="8"/>
        <v>Paclone</v>
      </c>
    </row>
    <row r="11">
      <c r="A11" s="59">
        <f t="array" ref="A11">EOMONTH(IF(ROW()=2,DateTime!$B$1-TIME(3,0,0),INDEX($A:$A,ROW()-1)-1),-1)+1</f>
        <v>43891</v>
      </c>
      <c r="B11" s="60">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0">
        <f>MAX($B11+IF($B11&gt;0,SUMIFS(Historic!$G:$G,Historic!$D:$D,"BUY",Historic!$A:$A,"&gt;"&amp;MAX(EOMONTH($A11,-2),MAXIFS(AssociateHistoric!$A:$A,AssociateHistoric!$A:$A,"&gt;"&amp;EOMONTH($A11,-2),AssociateHistoric!$A:$A,"&lt;"&amp;$A11,AssociateHistoric!$B:$B,$O$2,AssociateHistoric!$C:$C,"&gt;0")),Historic!$A:$A,"&lt;"&amp;$A11),0),0)</f>
        <v>0</v>
      </c>
      <c r="D11" s="60">
        <f t="shared" si="1"/>
        <v>100</v>
      </c>
      <c r="E11" s="60">
        <f t="shared" si="2"/>
        <v>200</v>
      </c>
      <c r="F11" s="61">
        <f t="array" ref="F11">IF(INDEX($A:$A,ROW()+1),MAXIFS(AllocationHistoric!$I:$I,AllocationHistoric!$A:$A,$A11),0)</f>
        <v>-0.0006988944889</v>
      </c>
      <c r="G11" s="61">
        <f t="shared" si="3"/>
        <v>0.1465907252</v>
      </c>
      <c r="H11" s="61">
        <f t="shared" si="4"/>
        <v>0.251298386</v>
      </c>
      <c r="I11" s="60">
        <f t="shared" si="5"/>
        <v>-0.07335631756</v>
      </c>
      <c r="J11" s="60">
        <f t="shared" si="6"/>
        <v>4.618354235</v>
      </c>
      <c r="K11" s="60">
        <f t="array" ref="K11">-$I11*5.5/100+INDEX($K:$K,ROW()+1)+SUMIFS(AssociateHistoric!$D:$D,AssociateHistoric!$A:$A,"&gt;"&amp;EOMONTH($A11,-2),AssociateHistoric!$A:$A,"&lt;"&amp;$A11,AssociateHistoric!$B:$B,$O$2)</f>
        <v>-0.2687931036</v>
      </c>
      <c r="L11" s="60">
        <f t="array" ref="L11">(INDEX($E:$E,ROW()+1)+INDEX($C:$C,ROW()+1))*Dashboard!$B$57/12+$D11+INDEX($L:$L,ROW()+1)</f>
        <v>200.7291667</v>
      </c>
      <c r="M11" s="60">
        <f t="array" ref="M11">INDEX($M:$M,ROW()+1)+$D11+INDEX($M:$M,ROW()+1)*$F11+INDEX($C:$C,ROW()+1)*Dashboard!$B$57/12</f>
        <v>204.8871473</v>
      </c>
      <c r="N11" s="62">
        <f t="shared" si="7"/>
        <v>204.6183542</v>
      </c>
      <c r="O11" s="63" t="str">
        <f t="shared" si="8"/>
        <v>Paclone</v>
      </c>
    </row>
    <row r="12">
      <c r="A12" s="59">
        <f t="array" ref="A12">EOMONTH(IF(ROW()=2,DateTime!$B$1-TIME(3,0,0),INDEX($A:$A,ROW()-1)-1),-1)+1</f>
        <v>43862</v>
      </c>
      <c r="B12" s="60">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0">
        <f>MAX($B12+IF($B12&gt;0,SUMIFS(Historic!$G:$G,Historic!$D:$D,"BUY",Historic!$A:$A,"&gt;"&amp;MAX(EOMONTH($A12,-2),MAXIFS(AssociateHistoric!$A:$A,AssociateHistoric!$A:$A,"&gt;"&amp;EOMONTH($A12,-2),AssociateHistoric!$A:$A,"&lt;"&amp;$A12,AssociateHistoric!$B:$B,$O$2,AssociateHistoric!$C:$C,"&gt;0")),Historic!$A:$A,"&lt;"&amp;$A12),0),0)</f>
        <v>0</v>
      </c>
      <c r="D12" s="60">
        <f t="shared" si="1"/>
        <v>0</v>
      </c>
      <c r="E12" s="60">
        <f t="shared" si="2"/>
        <v>100</v>
      </c>
      <c r="F12" s="61">
        <f t="array" ref="F12">IF(INDEX($A:$A,ROW()+1),MAXIFS(AllocationHistoric!$I:$I,AllocationHistoric!$A:$A,$A12),0)</f>
        <v>-0.01357148377</v>
      </c>
      <c r="G12" s="61">
        <f t="shared" si="3"/>
        <v>0.1472896197</v>
      </c>
      <c r="H12" s="61">
        <f t="shared" si="4"/>
        <v>0.2945792394</v>
      </c>
      <c r="I12" s="60">
        <f t="shared" si="5"/>
        <v>-1.444067917</v>
      </c>
      <c r="J12" s="60">
        <f t="shared" si="6"/>
        <v>4.687675955</v>
      </c>
      <c r="K12" s="60">
        <f t="array" ref="K12">-$I12*5.5/100+INDEX($K:$K,ROW()+1)+SUMIFS(AssociateHistoric!$D:$D,AssociateHistoric!$A:$A,"&gt;"&amp;EOMONTH($A12,-2),AssociateHistoric!$A:$A,"&lt;"&amp;$A12,AssociateHistoric!$B:$B,$O$2)</f>
        <v>-0.2728277011</v>
      </c>
      <c r="L12" s="60">
        <f t="array" ref="L12">(INDEX($E:$E,ROW()+1)+INDEX($C:$C,ROW()+1))*Dashboard!$B$57/12+$D12+INDEX($L:$L,ROW()+1)</f>
        <v>100.625</v>
      </c>
      <c r="M12" s="60">
        <f t="array" ref="M12">INDEX($M:$M,ROW()+1)+$D12+INDEX($M:$M,ROW()+1)*$F12+INDEX($C:$C,ROW()+1)*Dashboard!$B$57/12</f>
        <v>104.9605037</v>
      </c>
      <c r="N12" s="62">
        <f t="shared" si="7"/>
        <v>104.687676</v>
      </c>
      <c r="O12" s="63" t="str">
        <f t="shared" si="8"/>
        <v>Paclone</v>
      </c>
    </row>
    <row r="13">
      <c r="A13" s="59">
        <f t="array" ref="A13">EOMONTH(IF(ROW()=2,DateTime!$B$1-TIME(3,0,0),INDEX($A:$A,ROW()-1)-1),-1)+1</f>
        <v>43831</v>
      </c>
      <c r="B13" s="60">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0">
        <f>MAX($B13+IF($B13&gt;0,SUMIFS(Historic!$G:$G,Historic!$D:$D,"BUY",Historic!$A:$A,"&gt;"&amp;MAX(EOMONTH($A13,-2),MAXIFS(AssociateHistoric!$A:$A,AssociateHistoric!$A:$A,"&gt;"&amp;EOMONTH($A13,-2),AssociateHistoric!$A:$A,"&lt;"&amp;$A13,AssociateHistoric!$B:$B,$O$2,AssociateHistoric!$C:$C,"&gt;0")),Historic!$A:$A,"&lt;"&amp;$A13),0),0)</f>
        <v>0</v>
      </c>
      <c r="D13" s="60">
        <f t="shared" si="1"/>
        <v>0</v>
      </c>
      <c r="E13" s="60">
        <f t="shared" si="2"/>
        <v>100</v>
      </c>
      <c r="F13" s="61">
        <f t="array" ref="F13">IF(INDEX($A:$A,ROW()+1),MAXIFS(AllocationHistoric!$I:$I,AllocationHistoric!$A:$A,$A13),0)</f>
        <v>0.06953970792</v>
      </c>
      <c r="G13" s="61">
        <f t="shared" si="3"/>
        <v>0.1608611035</v>
      </c>
      <c r="H13" s="61">
        <f t="shared" si="4"/>
        <v>0.3860666483</v>
      </c>
      <c r="I13" s="60">
        <f t="shared" si="5"/>
        <v>5.987904906</v>
      </c>
      <c r="J13" s="60">
        <f t="shared" si="6"/>
        <v>6.052320137</v>
      </c>
      <c r="K13" s="60">
        <f t="array" ref="K13">-$I13*5.5/100+INDEX($K:$K,ROW()+1)+SUMIFS(AssociateHistoric!$D:$D,AssociateHistoric!$A:$A,"&gt;"&amp;EOMONTH($A13,-2),AssociateHistoric!$A:$A,"&lt;"&amp;$A13,AssociateHistoric!$B:$B,$O$2)</f>
        <v>-0.3522514365</v>
      </c>
      <c r="L13" s="60">
        <f t="array" ref="L13">(INDEX($E:$E,ROW()+1)+INDEX($C:$C,ROW()+1))*Dashboard!$B$57/12+$D13+INDEX($L:$L,ROW()+1)</f>
        <v>100.5208333</v>
      </c>
      <c r="M13" s="60">
        <f t="array" ref="M13">INDEX($M:$M,ROW()+1)+$D13+INDEX($M:$M,ROW()+1)*$F13+INDEX($C:$C,ROW()+1)*Dashboard!$B$57/12</f>
        <v>106.4045716</v>
      </c>
      <c r="N13" s="62">
        <f t="shared" si="7"/>
        <v>106.0523201</v>
      </c>
      <c r="O13" s="63" t="str">
        <f t="shared" si="8"/>
        <v>Paclone</v>
      </c>
    </row>
    <row r="14">
      <c r="A14" s="59">
        <f t="array" ref="A14">EOMONTH(IF(ROW()=2,DateTime!$B$1-TIME(3,0,0),INDEX($A:$A,ROW()-1)-1),-1)+1</f>
        <v>43800</v>
      </c>
      <c r="B14" s="60">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0">
        <f>MAX($B14+IF($B14&gt;0,SUMIFS(Historic!$G:$G,Historic!$D:$D,"BUY",Historic!$A:$A,"&gt;"&amp;MAX(EOMONTH($A14,-2),MAXIFS(AssociateHistoric!$A:$A,AssociateHistoric!$A:$A,"&gt;"&amp;EOMONTH($A14,-2),AssociateHistoric!$A:$A,"&lt;"&amp;$A14,AssociateHistoric!$B:$B,$O$2,AssociateHistoric!$C:$C,"&gt;0")),Historic!$A:$A,"&lt;"&amp;$A14),0),0)</f>
        <v>0</v>
      </c>
      <c r="D14" s="60">
        <f t="shared" si="1"/>
        <v>0</v>
      </c>
      <c r="E14" s="60">
        <f t="shared" si="2"/>
        <v>100</v>
      </c>
      <c r="F14" s="61">
        <f t="array" ref="F14">IF(INDEX($A:$A,ROW()+1),MAXIFS(AllocationHistoric!$I:$I,AllocationHistoric!$A:$A,$A14),0)</f>
        <v>0.02764486097</v>
      </c>
      <c r="G14" s="61">
        <f t="shared" si="3"/>
        <v>0.09132139553</v>
      </c>
      <c r="H14" s="61">
        <f t="shared" si="4"/>
        <v>0.2739641866</v>
      </c>
      <c r="I14" s="60">
        <f t="shared" si="5"/>
        <v>0.1041666667</v>
      </c>
      <c r="J14" s="60">
        <f t="shared" si="6"/>
        <v>0.39375</v>
      </c>
      <c r="K14" s="60">
        <f t="array" ref="K14">-$I14*5.5/100+INDEX($K:$K,ROW()+1)+SUMIFS(AssociateHistoric!$D:$D,AssociateHistoric!$A:$A,"&gt;"&amp;EOMONTH($A14,-2),AssociateHistoric!$A:$A,"&lt;"&amp;$A14,AssociateHistoric!$B:$B,$O$2)</f>
        <v>-0.02291666667</v>
      </c>
      <c r="L14" s="60">
        <f t="array" ref="L14">(INDEX($E:$E,ROW()+1)+INDEX($C:$C,ROW()+1))*Dashboard!$B$57/12+$D14+INDEX($L:$L,ROW()+1)</f>
        <v>100.4166667</v>
      </c>
      <c r="M14" s="60">
        <f t="array" ref="M14">INDEX($M:$M,ROW()+1)+$D14+INDEX($M:$M,ROW()+1)*$F14+INDEX($C:$C,ROW()+1)*Dashboard!$B$57/12</f>
        <v>99.48632181</v>
      </c>
      <c r="N14" s="62">
        <f t="shared" si="7"/>
        <v>100.39375</v>
      </c>
      <c r="O14" s="63" t="str">
        <f t="shared" si="8"/>
        <v>Paclone</v>
      </c>
    </row>
    <row r="15">
      <c r="A15" s="59">
        <f t="array" ref="A15">EOMONTH(IF(ROW()=2,DateTime!$B$1-TIME(3,0,0),INDEX($A:$A,ROW()-1)-1),-1)+1</f>
        <v>43770</v>
      </c>
      <c r="B15" s="60">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0">
        <f>MAX($B15+IF($B15&gt;0,SUMIFS(Historic!$G:$G,Historic!$D:$D,"BUY",Historic!$A:$A,"&gt;"&amp;MAX(EOMONTH($A15,-2),MAXIFS(AssociateHistoric!$A:$A,AssociateHistoric!$A:$A,"&gt;"&amp;EOMONTH($A15,-2),AssociateHistoric!$A:$A,"&lt;"&amp;$A15,AssociateHistoric!$B:$B,$O$2,AssociateHistoric!$C:$C,"&gt;0")),Historic!$A:$A,"&lt;"&amp;$A15),0),0)</f>
        <v>0</v>
      </c>
      <c r="D15" s="60">
        <f t="shared" si="1"/>
        <v>0</v>
      </c>
      <c r="E15" s="60">
        <f t="shared" si="2"/>
        <v>100</v>
      </c>
      <c r="F15" s="61">
        <f t="array" ref="F15">IF(INDEX($A:$A,ROW()+1),MAXIFS(AllocationHistoric!$I:$I,AllocationHistoric!$A:$A,$A15),0)</f>
        <v>-0.03120425194</v>
      </c>
      <c r="G15" s="61">
        <f t="shared" si="3"/>
        <v>0.06367653456</v>
      </c>
      <c r="H15" s="61">
        <f t="shared" si="4"/>
        <v>0.2547061382</v>
      </c>
      <c r="I15" s="60">
        <f t="shared" si="5"/>
        <v>0.1041666667</v>
      </c>
      <c r="J15" s="60">
        <f t="shared" si="6"/>
        <v>0.2953125</v>
      </c>
      <c r="K15" s="60">
        <f t="array" ref="K15">-$I15*5.5/100+INDEX($K:$K,ROW()+1)+SUMIFS(AssociateHistoric!$D:$D,AssociateHistoric!$A:$A,"&gt;"&amp;EOMONTH($A15,-2),AssociateHistoric!$A:$A,"&lt;"&amp;$A15,AssociateHistoric!$B:$B,$O$2)</f>
        <v>-0.0171875</v>
      </c>
      <c r="L15" s="60">
        <f t="array" ref="L15">(INDEX($E:$E,ROW()+1)+INDEX($C:$C,ROW()+1))*Dashboard!$B$57/12+$D15+INDEX($L:$L,ROW()+1)</f>
        <v>100.3125</v>
      </c>
      <c r="M15" s="60">
        <f t="array" ref="M15">INDEX($M:$M,ROW()+1)+$D15+INDEX($M:$M,ROW()+1)*$F15+INDEX($C:$C,ROW()+1)*Dashboard!$B$57/12</f>
        <v>96.81002221</v>
      </c>
      <c r="N15" s="62">
        <f t="shared" si="7"/>
        <v>100.2953125</v>
      </c>
      <c r="O15" s="63" t="str">
        <f t="shared" si="8"/>
        <v>Paclone</v>
      </c>
    </row>
    <row r="16">
      <c r="A16" s="59">
        <f t="array" ref="A16">EOMONTH(IF(ROW()=2,DateTime!$B$1-TIME(3,0,0),INDEX($A:$A,ROW()-1)-1),-1)+1</f>
        <v>43739</v>
      </c>
      <c r="B16" s="60">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0">
        <f>MAX($B16+IF($B16&gt;0,SUMIFS(Historic!$G:$G,Historic!$D:$D,"BUY",Historic!$A:$A,"&gt;"&amp;MAX(EOMONTH($A16,-2),MAXIFS(AssociateHistoric!$A:$A,AssociateHistoric!$A:$A,"&gt;"&amp;EOMONTH($A16,-2),AssociateHistoric!$A:$A,"&lt;"&amp;$A16,AssociateHistoric!$B:$B,$O$2,AssociateHistoric!$C:$C,"&gt;0")),Historic!$A:$A,"&lt;"&amp;$A16),0),0)</f>
        <v>0</v>
      </c>
      <c r="D16" s="60">
        <f t="shared" si="1"/>
        <v>0</v>
      </c>
      <c r="E16" s="60">
        <f t="shared" si="2"/>
        <v>100</v>
      </c>
      <c r="F16" s="61">
        <f t="array" ref="F16">IF(INDEX($A:$A,ROW()+1),MAXIFS(AllocationHistoric!$I:$I,AllocationHistoric!$A:$A,$A16),0)</f>
        <v>-0.001757764068</v>
      </c>
      <c r="G16" s="61">
        <f t="shared" si="3"/>
        <v>0.0948807865</v>
      </c>
      <c r="H16" s="61">
        <f t="shared" si="4"/>
        <v>0.569284719</v>
      </c>
      <c r="I16" s="60">
        <f t="shared" si="5"/>
        <v>0.1041666667</v>
      </c>
      <c r="J16" s="60">
        <f t="shared" si="6"/>
        <v>0.196875</v>
      </c>
      <c r="K16" s="60">
        <f t="array" ref="K16">-$I16*5.5/100+INDEX($K:$K,ROW()+1)+SUMIFS(AssociateHistoric!$D:$D,AssociateHistoric!$A:$A,"&gt;"&amp;EOMONTH($A16,-2),AssociateHistoric!$A:$A,"&lt;"&amp;$A16,AssociateHistoric!$B:$B,$O$2)</f>
        <v>-0.01145833333</v>
      </c>
      <c r="L16" s="60">
        <f t="array" ref="L16">(INDEX($E:$E,ROW()+1)+INDEX($C:$C,ROW()+1))*Dashboard!$B$57/12+$D16+INDEX($L:$L,ROW()+1)</f>
        <v>100.2083333</v>
      </c>
      <c r="M16" s="60">
        <f t="array" ref="M16">INDEX($M:$M,ROW()+1)+$D16+INDEX($M:$M,ROW()+1)*$F16+INDEX($C:$C,ROW()+1)*Dashboard!$B$57/12</f>
        <v>99.92820716</v>
      </c>
      <c r="N16" s="62">
        <f t="shared" si="7"/>
        <v>100.196875</v>
      </c>
      <c r="O16" s="63" t="str">
        <f t="shared" si="8"/>
        <v>Paclone</v>
      </c>
    </row>
    <row r="17">
      <c r="A17" s="59">
        <f t="array" ref="A17">EOMONTH(IF(ROW()=2,DateTime!$B$1-TIME(3,0,0),INDEX($A:$A,ROW()-1)-1),-1)+1</f>
        <v>43709</v>
      </c>
      <c r="B17" s="60">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0">
        <f>MAX($B17+IF($B17&gt;0,SUMIFS(Historic!$G:$G,Historic!$D:$D,"BUY",Historic!$A:$A,"&gt;"&amp;MAX(EOMONTH($A17,-2),MAXIFS(AssociateHistoric!$A:$A,AssociateHistoric!$A:$A,"&gt;"&amp;EOMONTH($A17,-2),AssociateHistoric!$A:$A,"&lt;"&amp;$A17,AssociateHistoric!$B:$B,$O$2,AssociateHistoric!$C:$C,"&gt;0")),Historic!$A:$A,"&lt;"&amp;$A17),0),0)</f>
        <v>0</v>
      </c>
      <c r="D17" s="60">
        <f t="shared" si="1"/>
        <v>100</v>
      </c>
      <c r="E17" s="60">
        <f t="shared" si="2"/>
        <v>100</v>
      </c>
      <c r="F17" s="61">
        <f t="array" ref="F17">IF(INDEX($A:$A,ROW()+1),MAXIFS(AllocationHistoric!$I:$I,AllocationHistoric!$A:$A,$A17),0)</f>
        <v>0.09663855056</v>
      </c>
      <c r="G17" s="61">
        <f t="shared" si="3"/>
        <v>0.09663855056</v>
      </c>
      <c r="H17" s="61">
        <f t="shared" si="4"/>
        <v>1.159662607</v>
      </c>
      <c r="I17" s="60">
        <f t="shared" si="5"/>
        <v>0.1041666667</v>
      </c>
      <c r="J17" s="60">
        <f t="shared" si="6"/>
        <v>0.0984375</v>
      </c>
      <c r="K17" s="60">
        <f t="array" ref="K17">-$I17*5.5/100+INDEX($K:$K,ROW()+1)+SUMIFS(AssociateHistoric!$D:$D,AssociateHistoric!$A:$A,"&gt;"&amp;EOMONTH($A17,-2),AssociateHistoric!$A:$A,"&lt;"&amp;$A17,AssociateHistoric!$B:$B,$O$2)</f>
        <v>-0.005729166667</v>
      </c>
      <c r="L17" s="60">
        <f t="array" ref="L17">(INDEX($E:$E,ROW()+1)+INDEX($C:$C,ROW()+1))*Dashboard!$B$57/12+$D17+INDEX($L:$L,ROW()+1)</f>
        <v>100.1041667</v>
      </c>
      <c r="M17" s="60">
        <f t="array" ref="M17">INDEX($M:$M,ROW()+1)+$D17+INDEX($M:$M,ROW()+1)*$F17+INDEX($C:$C,ROW()+1)*Dashboard!$B$57/12</f>
        <v>100.1041667</v>
      </c>
      <c r="N17" s="62">
        <f t="shared" si="7"/>
        <v>100.0984375</v>
      </c>
      <c r="O17" s="63" t="str">
        <f t="shared" si="8"/>
        <v>Paclone</v>
      </c>
    </row>
    <row r="18">
      <c r="A18" s="59">
        <f t="array" ref="A18">EOMONTH(IF(ROW()=2,DateTime!$B$1-TIME(3,0,0),INDEX($A:$A,ROW()-1)-1),-1)+1</f>
        <v>43678</v>
      </c>
      <c r="B18" s="60">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0">
        <f>MAX($B18+IF($B18&gt;0,SUMIFS(Historic!$G:$G,Historic!$D:$D,"BUY",Historic!$A:$A,"&gt;"&amp;MAX(EOMONTH($A18,-2),MAXIFS(AssociateHistoric!$A:$A,AssociateHistoric!$A:$A,"&gt;"&amp;EOMONTH($A18,-2),AssociateHistoric!$A:$A,"&lt;"&amp;$A18,AssociateHistoric!$B:$B,$O$2,AssociateHistoric!$C:$C,"&gt;0")),Historic!$A:$A,"&lt;"&amp;$A18),0),0)</f>
        <v>100</v>
      </c>
      <c r="D18" s="60">
        <f t="shared" si="1"/>
        <v>0</v>
      </c>
      <c r="E18" s="60">
        <f t="shared" si="2"/>
        <v>0</v>
      </c>
      <c r="F18" s="61">
        <f t="array" ref="F18">IF(INDEX($A:$A,ROW()+1),MAXIFS(AllocationHistoric!$I:$I,AllocationHistoric!$A:$A,$A18),0)</f>
        <v>0</v>
      </c>
      <c r="G18" s="61">
        <f t="shared" si="3"/>
        <v>0</v>
      </c>
      <c r="H18" s="61">
        <f t="shared" si="4"/>
        <v>0</v>
      </c>
      <c r="I18" s="60">
        <f t="shared" si="5"/>
        <v>0</v>
      </c>
      <c r="J18" s="60">
        <f t="shared" si="6"/>
        <v>0</v>
      </c>
      <c r="K18" s="60">
        <f t="array" ref="K18">-$I18*5.5/100+INDEX($K:$K,ROW()+1)+SUMIFS(AssociateHistoric!$D:$D,AssociateHistoric!$A:$A,"&gt;"&amp;EOMONTH($A18,-2),AssociateHistoric!$A:$A,"&lt;"&amp;$A18,AssociateHistoric!$B:$B,$O$2)</f>
        <v>0</v>
      </c>
      <c r="L18" s="60">
        <f t="array" ref="L18">(INDEX($E:$E,ROW()+1)+INDEX($C:$C,ROW()+1))*Dashboard!$B$57/12+$D18+INDEX($L:$L,ROW()+1)</f>
        <v>0</v>
      </c>
      <c r="M18" s="60">
        <f t="array" ref="M18">INDEX($M:$M,ROW()+1)+$D18+INDEX($M:$M,ROW()+1)*$F18+INDEX($C:$C,ROW()+1)*Dashboard!$B$57/12</f>
        <v>0</v>
      </c>
      <c r="N18" s="62">
        <f t="shared" si="7"/>
        <v>0</v>
      </c>
      <c r="O18" s="63"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8" t="s">
        <v>1</v>
      </c>
      <c r="B1" s="58" t="s">
        <v>97</v>
      </c>
      <c r="C1" s="58" t="s">
        <v>270</v>
      </c>
      <c r="D1" s="58" t="s">
        <v>274</v>
      </c>
      <c r="E1" s="58" t="s">
        <v>278</v>
      </c>
      <c r="F1" s="58" t="s">
        <v>282</v>
      </c>
      <c r="G1" s="58" t="s">
        <v>286</v>
      </c>
      <c r="H1" s="58" t="s">
        <v>25</v>
      </c>
      <c r="I1" s="58" t="s">
        <v>293</v>
      </c>
      <c r="J1" s="58" t="s">
        <v>24</v>
      </c>
      <c r="K1" s="58" t="s">
        <v>16</v>
      </c>
      <c r="L1" s="58" t="s">
        <v>303</v>
      </c>
      <c r="M1" s="58" t="s">
        <v>307</v>
      </c>
      <c r="N1" s="58" t="s">
        <v>26</v>
      </c>
      <c r="O1" s="58" t="s">
        <v>372</v>
      </c>
    </row>
    <row r="2">
      <c r="A2" s="59">
        <f t="array" ref="A2">EOMONTH(IF(ROW()=2,DateTime!$B$1-TIME(3,0,0),INDEX($A:$A,ROW()-1)-1),-1)+1</f>
        <v>44166</v>
      </c>
      <c r="B2" s="6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0">
        <f>MAX($B2+IF($B2&gt;0,SUMIFS(Historic!$G:$G,Historic!$D:$D,"BUY",Historic!$A:$A,"&gt;"&amp;MAX(EOMONTH($A2,-2),MAXIFS(AssociateHistoric!$A:$A,AssociateHistoric!$A:$A,"&gt;"&amp;EOMONTH($A2,-2),AssociateHistoric!$A:$A,"&lt;"&amp;$A2,AssociateHistoric!$B:$B,$O$2,AssociateHistoric!$C:$C,"&gt;0")),Historic!$A:$A,"&lt;"&amp;$A2),0),0)</f>
        <v>0</v>
      </c>
      <c r="D2" s="60">
        <f t="shared" ref="D2:D4" si="1">$B2-$C2</f>
        <v>0</v>
      </c>
      <c r="E2" s="60">
        <f t="shared" ref="E2:E4" si="2">INDEX($E:$E,ROW()+1)+$D2</f>
        <v>40000</v>
      </c>
      <c r="F2" s="61">
        <f t="array" ref="F2">IF(INDEX($A:$A,ROW()+1),MAXIFS(AllocationHistoric!$I:$I,AllocationHistoric!$A:$A,$A2),0)</f>
        <v>0.0329042922</v>
      </c>
      <c r="G2" s="61">
        <f t="shared" ref="G2:G4" si="3">$F2+INDEX($G:$G,ROW()+1)</f>
        <v>0.0164714609</v>
      </c>
      <c r="H2" s="61">
        <f t="shared" ref="H2:H4" si="4">IF(INDEX($A:$A,ROW()+1),$G2/ROWS($A3:$A4)*12,0)</f>
        <v>0.09882876541</v>
      </c>
      <c r="I2" s="60">
        <f t="shared" ref="I2:I4" si="5">MAX($L2,$M2)-$E2-SUM($I3:$I4)</f>
        <v>1145.025732</v>
      </c>
      <c r="J2" s="60">
        <f t="shared" ref="J2:J4" si="6">$N2-$E2</f>
        <v>1121.424317</v>
      </c>
      <c r="K2" s="60">
        <f t="array" ref="K2">-$I2*5.5/100+INDEX($K:$K,ROW()+1)+SUMIFS(AssociateHistoric!$D:$D,AssociateHistoric!$A:$A,"&gt;"&amp;EOMONTH($A2,-2),AssociateHistoric!$A:$A,"&lt;"&amp;$A2,AssociateHistoric!$B:$B,$O$2)</f>
        <v>-65.26808195</v>
      </c>
      <c r="L2" s="60">
        <f t="array" ref="L2">(INDEX($E:$E,ROW()+1)+INDEX($C:$C,ROW()+1))*Dashboard!$B$57/12+$D2+INDEX($L:$L,ROW()+1)</f>
        <v>40083.33333</v>
      </c>
      <c r="M2" s="60">
        <f t="array" ref="M2">INDEX($M:$M,ROW()+1)+$D2+INDEX($M:$M,ROW()+1)*$F2+INDEX($C:$C,ROW()+1)*Dashboard!$B$57/12</f>
        <v>41186.6924</v>
      </c>
      <c r="N2" s="62">
        <f t="shared" ref="N2:N4" si="7">MAX($M2,$L2)+$K2</f>
        <v>41121.42432</v>
      </c>
      <c r="O2" s="63" t="str">
        <f t="shared" ref="O2:O4" si="8">IF(ROW()=2,"Philo",INDEX(O:O,ROW()-1))</f>
        <v>Philo</v>
      </c>
    </row>
    <row r="3">
      <c r="A3" s="59">
        <f t="array" ref="A3">EOMONTH(IF(ROW()=2,DateTime!$B$1-TIME(3,0,0),INDEX($A:$A,ROW()-1)-1),-1)+1</f>
        <v>44136</v>
      </c>
      <c r="B3" s="60">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0">
        <f>MAX($B3+IF($B3&gt;0,SUMIFS(Historic!$G:$G,Historic!$D:$D,"BUY",Historic!$A:$A,"&gt;"&amp;MAX(EOMONTH($A3,-2),MAXIFS(AssociateHistoric!$A:$A,AssociateHistoric!$A:$A,"&gt;"&amp;EOMONTH($A3,-2),AssociateHistoric!$A:$A,"&lt;"&amp;$A3,AssociateHistoric!$B:$B,$O$2,AssociateHistoric!$C:$C,"&gt;0")),Historic!$A:$A,"&lt;"&amp;$A3),0),0)</f>
        <v>0</v>
      </c>
      <c r="D3" s="60">
        <f t="shared" si="1"/>
        <v>30442</v>
      </c>
      <c r="E3" s="60">
        <f t="shared" si="2"/>
        <v>40000</v>
      </c>
      <c r="F3" s="61">
        <f t="array" ref="F3">IF(INDEX($A:$A,ROW()+1),MAXIFS(AllocationHistoric!$I:$I,AllocationHistoric!$A:$A,$A3),0)</f>
        <v>-0.0164328313</v>
      </c>
      <c r="G3" s="61">
        <f t="shared" si="3"/>
        <v>-0.0164328313</v>
      </c>
      <c r="H3" s="61">
        <f t="shared" si="4"/>
        <v>-0.1971939755</v>
      </c>
      <c r="I3" s="60">
        <f t="shared" si="5"/>
        <v>41.66666667</v>
      </c>
      <c r="J3" s="60">
        <f t="shared" si="6"/>
        <v>39.375</v>
      </c>
      <c r="K3" s="60">
        <f t="array" ref="K3">-$I3*5.5/100+INDEX($K:$K,ROW()+1)+SUMIFS(AssociateHistoric!$D:$D,AssociateHistoric!$A:$A,"&gt;"&amp;EOMONTH($A3,-2),AssociateHistoric!$A:$A,"&lt;"&amp;$A3,AssociateHistoric!$B:$B,$O$2)</f>
        <v>-2.291666667</v>
      </c>
      <c r="L3" s="60">
        <f t="array" ref="L3">(INDEX($E:$E,ROW()+1)+INDEX($C:$C,ROW()+1))*Dashboard!$B$57/12+$D3+INDEX($L:$L,ROW()+1)</f>
        <v>40041.66667</v>
      </c>
      <c r="M3" s="60">
        <f t="array" ref="M3">INDEX($M:$M,ROW()+1)+$D3+INDEX($M:$M,ROW()+1)*$F3+INDEX($C:$C,ROW()+1)*Dashboard!$B$57/12</f>
        <v>39874.64542</v>
      </c>
      <c r="N3" s="62">
        <f t="shared" si="7"/>
        <v>40039.375</v>
      </c>
      <c r="O3" s="63" t="str">
        <f t="shared" si="8"/>
        <v>Philo</v>
      </c>
    </row>
    <row r="4">
      <c r="A4" s="59">
        <f t="array" ref="A4">EOMONTH(IF(ROW()=2,DateTime!$B$1-TIME(3,0,0),INDEX($A:$A,ROW()-1)-1),-1)+1</f>
        <v>44105</v>
      </c>
      <c r="B4" s="60">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0">
        <f>MAX($B4+IF($B4&gt;0,SUMIFS(Historic!$G:$G,Historic!$D:$D,"BUY",Historic!$A:$A,"&gt;"&amp;MAX(EOMONTH($A4,-2),MAXIFS(AssociateHistoric!$A:$A,AssociateHistoric!$A:$A,"&gt;"&amp;EOMONTH($A4,-2),AssociateHistoric!$A:$A,"&lt;"&amp;$A4,AssociateHistoric!$B:$B,$O$2,AssociateHistoric!$C:$C,"&gt;0")),Historic!$A:$A,"&lt;"&amp;$A4),0),0)</f>
        <v>30442</v>
      </c>
      <c r="D4" s="60">
        <f t="shared" si="1"/>
        <v>9558</v>
      </c>
      <c r="E4" s="60">
        <f t="shared" si="2"/>
        <v>9558</v>
      </c>
      <c r="F4" s="61">
        <f t="array" ref="F4">IF(INDEX($A:$A,ROW()+1),MAXIFS(AllocationHistoric!$I:$I,AllocationHistoric!$A:$A,$A4),0)</f>
        <v>0</v>
      </c>
      <c r="G4" s="61">
        <f t="shared" si="3"/>
        <v>0</v>
      </c>
      <c r="H4" s="61">
        <f t="shared" si="4"/>
        <v>0</v>
      </c>
      <c r="I4" s="60">
        <f t="shared" si="5"/>
        <v>0</v>
      </c>
      <c r="J4" s="60">
        <f t="shared" si="6"/>
        <v>0</v>
      </c>
      <c r="K4" s="60">
        <f t="array" ref="K4">-$I4*5.5/100+INDEX($K:$K,ROW()+1)+SUMIFS(AssociateHistoric!$D:$D,AssociateHistoric!$A:$A,"&gt;"&amp;EOMONTH($A4,-2),AssociateHistoric!$A:$A,"&lt;"&amp;$A4,AssociateHistoric!$B:$B,$O$2)</f>
        <v>0</v>
      </c>
      <c r="L4" s="60">
        <f t="array" ref="L4">(INDEX($E:$E,ROW()+1)+INDEX($C:$C,ROW()+1))*Dashboard!$B$57/12+$D4+INDEX($L:$L,ROW()+1)</f>
        <v>9558</v>
      </c>
      <c r="M4" s="60">
        <f t="array" ref="M4">INDEX($M:$M,ROW()+1)+$D4+INDEX($M:$M,ROW()+1)*$F4+INDEX($C:$C,ROW()+1)*Dashboard!$B$57/12</f>
        <v>9558</v>
      </c>
      <c r="N4" s="62">
        <f t="shared" si="7"/>
        <v>9558</v>
      </c>
      <c r="O4" s="63"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8" t="s">
        <v>1</v>
      </c>
      <c r="B1" s="58" t="s">
        <v>97</v>
      </c>
      <c r="C1" s="58" t="s">
        <v>270</v>
      </c>
      <c r="D1" s="58" t="s">
        <v>274</v>
      </c>
      <c r="E1" s="58" t="s">
        <v>278</v>
      </c>
      <c r="F1" s="58" t="s">
        <v>282</v>
      </c>
      <c r="G1" s="58" t="s">
        <v>286</v>
      </c>
      <c r="H1" s="58" t="s">
        <v>25</v>
      </c>
      <c r="I1" s="58" t="s">
        <v>293</v>
      </c>
      <c r="J1" s="58" t="s">
        <v>24</v>
      </c>
      <c r="K1" s="58" t="s">
        <v>16</v>
      </c>
      <c r="L1" s="58" t="s">
        <v>303</v>
      </c>
      <c r="M1" s="58" t="s">
        <v>307</v>
      </c>
      <c r="N1" s="58" t="s">
        <v>26</v>
      </c>
      <c r="O1" s="58" t="s">
        <v>372</v>
      </c>
    </row>
    <row r="2">
      <c r="A2" s="59">
        <f t="array" ref="A2">EOMONTH(IF(ROW()=2,DateTime!$B$1-TIME(3,0,0),INDEX($A:$A,ROW()-1)-1),-1)+1</f>
        <v>44166</v>
      </c>
      <c r="B2" s="6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0">
        <f>MAX($B2+IF($B2&gt;0,SUMIFS(Historic!$G:$G,Historic!$D:$D,"BUY",Historic!$A:$A,"&gt;"&amp;MAX(EOMONTH($A2,-2),MAXIFS(AssociateHistoric!$A:$A,AssociateHistoric!$A:$A,"&gt;"&amp;EOMONTH($A2,-2),AssociateHistoric!$A:$A,"&lt;"&amp;$A2,AssociateHistoric!$B:$B,$O$2,AssociateHistoric!$C:$C,"&gt;0")),Historic!$A:$A,"&lt;"&amp;$A2),0),0)</f>
        <v>0</v>
      </c>
      <c r="D2" s="60">
        <f>$B2-$C2</f>
        <v>0</v>
      </c>
      <c r="E2" s="60">
        <f t="array" ref="E2">INDEX($E:$E,ROW()+1)+$D2</f>
        <v>0</v>
      </c>
      <c r="F2" s="61">
        <f t="array" ref="F2">IF(INDEX($A:$A,ROW()+1),MAXIFS(AllocationHistoric!$I:$I,AllocationHistoric!$A:$A,$A2),0)</f>
        <v>0</v>
      </c>
      <c r="G2" s="61">
        <f t="array" ref="G2">$F2+INDEX($G:$G,ROW()+1)</f>
        <v>0</v>
      </c>
      <c r="H2" s="61">
        <f t="array" ref="H2">IF(INDEX($A:$A,ROW()+1),$G2/ROWS($A2:$A3)*12,0)</f>
        <v>0</v>
      </c>
      <c r="I2" s="60">
        <f>MAX($L2,$M2)-$E2-SUM($I2:$I3)</f>
        <v>0</v>
      </c>
      <c r="J2" s="60">
        <f>$N2-$E2</f>
        <v>0</v>
      </c>
      <c r="K2" s="60">
        <f t="array" ref="K2">-$I2*5.5/100+INDEX($K:$K,ROW()+1)+SUMIFS(AssociateHistoric!$D:$D,AssociateHistoric!$A:$A,"&gt;"&amp;EOMONTH($A2,-2),AssociateHistoric!$A:$A,"&lt;"&amp;$A2,AssociateHistoric!$B:$B,$O$2)</f>
        <v>0</v>
      </c>
      <c r="L2" s="60">
        <f t="array" ref="L2">(INDEX($E:$E,ROW()+1)+INDEX($C:$C,ROW()+1))*Dashboard!$B$57/12+$D2+INDEX($L:$L,ROW()+1)</f>
        <v>0</v>
      </c>
      <c r="M2" s="60">
        <f t="array" ref="M2">INDEX($M:$M,ROW()+1)+$D2+INDEX($M:$M,ROW()+1)*$F2+INDEX($C:$C,ROW()+1)*Dashboard!$B$57/12</f>
        <v>0</v>
      </c>
      <c r="N2" s="62">
        <f>MAX($M2,$L2)+$K2</f>
        <v>0</v>
      </c>
      <c r="O2" s="63" t="str">
        <f>IF(ROW()=2,"Tester",ROW()-1)</f>
        <v>Tester</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8" t="s">
        <v>1</v>
      </c>
      <c r="B1" s="58" t="s">
        <v>97</v>
      </c>
      <c r="C1" s="58" t="s">
        <v>270</v>
      </c>
      <c r="D1" s="58" t="s">
        <v>274</v>
      </c>
      <c r="E1" s="58" t="s">
        <v>278</v>
      </c>
      <c r="F1" s="58" t="s">
        <v>282</v>
      </c>
      <c r="G1" s="58" t="s">
        <v>286</v>
      </c>
      <c r="H1" s="58" t="s">
        <v>25</v>
      </c>
      <c r="I1" s="58" t="s">
        <v>293</v>
      </c>
      <c r="J1" s="58" t="s">
        <v>24</v>
      </c>
      <c r="K1" s="58" t="s">
        <v>16</v>
      </c>
      <c r="L1" s="58" t="s">
        <v>303</v>
      </c>
      <c r="M1" s="58" t="s">
        <v>307</v>
      </c>
      <c r="N1" s="58" t="s">
        <v>26</v>
      </c>
      <c r="O1" s="58" t="s">
        <v>372</v>
      </c>
    </row>
    <row r="2">
      <c r="A2" s="59">
        <f t="array" ref="A2">EOMONTH(IF(ROW()=2,DateTime!$B$1-TIME(3,0,0),INDEX($A:$A,ROW()-1)-1),-1)+1</f>
        <v>44166</v>
      </c>
      <c r="B2" s="6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0">
        <f>MAX($B2+IF($B2&gt;0,SUMIFS(Historic!$G:$G,Historic!$D:$D,"BUY",Historic!$A:$A,"&gt;"&amp;MAX(EOMONTH($A2,-2),MAXIFS(AssociateHistoric!$A:$A,AssociateHistoric!$A:$A,"&gt;"&amp;EOMONTH($A2,-2),AssociateHistoric!$A:$A,"&lt;"&amp;$A2,AssociateHistoric!$B:$B,$O$2,AssociateHistoric!$C:$C,"&gt;0")),Historic!$A:$A,"&lt;"&amp;$A2),0),0)</f>
        <v>4999</v>
      </c>
      <c r="D2" s="60">
        <f>$B2-$C2</f>
        <v>0</v>
      </c>
      <c r="E2" s="60">
        <f t="array" ref="E2">INDEX($E:$E,ROW()+1)+$D2</f>
        <v>0</v>
      </c>
      <c r="F2" s="61">
        <f t="array" ref="F2">IF(INDEX($A:$A,ROW()+1),MAXIFS(AllocationHistoric!$I:$I,AllocationHistoric!$A:$A,$A2),0)</f>
        <v>0</v>
      </c>
      <c r="G2" s="61">
        <f t="array" ref="G2">$F2+INDEX($G:$G,ROW()+1)</f>
        <v>0</v>
      </c>
      <c r="H2" s="61">
        <f t="array" ref="H2">IF(INDEX($A:$A,ROW()+1),$G2/ROWS($A2:$A3)*12,0)</f>
        <v>0</v>
      </c>
      <c r="I2" s="60">
        <f>MAX($L2,$M2)-$E2-SUM($I2:$I3)</f>
        <v>0</v>
      </c>
      <c r="J2" s="60">
        <f>$N2-$E2</f>
        <v>0</v>
      </c>
      <c r="K2" s="60">
        <f t="array" ref="K2">-$I2*5.5/100+INDEX($K:$K,ROW()+1)+SUMIFS(AssociateHistoric!$D:$D,AssociateHistoric!$A:$A,"&gt;"&amp;EOMONTH($A2,-2),AssociateHistoric!$A:$A,"&lt;"&amp;$A2,AssociateHistoric!$B:$B,$O$2)</f>
        <v>0</v>
      </c>
      <c r="L2" s="60">
        <f t="array" ref="L2">(INDEX($E:$E,ROW()+1)+INDEX($C:$C,ROW()+1))*Dashboard!$B$57/12+$D2+INDEX($L:$L,ROW()+1)</f>
        <v>0</v>
      </c>
      <c r="M2" s="60">
        <f t="array" ref="M2">INDEX($M:$M,ROW()+1)+$D2+INDEX($M:$M,ROW()+1)*$F2+INDEX($C:$C,ROW()+1)*Dashboard!$B$57/12</f>
        <v>0</v>
      </c>
      <c r="N2" s="62">
        <f>MAX($M2,$L2)+$K2</f>
        <v>0</v>
      </c>
      <c r="O2" s="63"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8" t="s">
        <v>1</v>
      </c>
      <c r="B1" s="58" t="s">
        <v>97</v>
      </c>
      <c r="C1" s="58" t="s">
        <v>270</v>
      </c>
      <c r="D1" s="58" t="s">
        <v>274</v>
      </c>
      <c r="E1" s="58" t="s">
        <v>278</v>
      </c>
      <c r="F1" s="58" t="s">
        <v>282</v>
      </c>
      <c r="G1" s="58" t="s">
        <v>286</v>
      </c>
      <c r="H1" s="58" t="s">
        <v>25</v>
      </c>
      <c r="I1" s="58" t="s">
        <v>293</v>
      </c>
      <c r="J1" s="58" t="s">
        <v>24</v>
      </c>
      <c r="K1" s="58" t="s">
        <v>16</v>
      </c>
      <c r="L1" s="58" t="s">
        <v>303</v>
      </c>
      <c r="M1" s="58" t="s">
        <v>307</v>
      </c>
      <c r="N1" s="58" t="s">
        <v>26</v>
      </c>
      <c r="O1" s="58" t="s">
        <v>372</v>
      </c>
    </row>
    <row r="2">
      <c r="A2" s="59">
        <f t="array" ref="A2">EOMONTH(IF(ROW()=2,DateTime!$B$1-TIME(3,0,0),INDEX($A:$A,ROW()-1)-1),-1)+1</f>
        <v>44166</v>
      </c>
      <c r="B2" s="6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0">
        <f>MAX($B2+IF($B2&gt;0,SUMIFS(Historic!$G:$G,Historic!$D:$D,"BUY",Historic!$A:$A,"&gt;"&amp;MAX(EOMONTH($A2,-2),MAXIFS(AssociateHistoric!$A:$A,AssociateHistoric!$A:$A,"&gt;"&amp;EOMONTH($A2,-2),AssociateHistoric!$A:$A,"&lt;"&amp;$A2,AssociateHistoric!$B:$B,$O$2,AssociateHistoric!$C:$C,"&gt;0")),Historic!$A:$A,"&lt;"&amp;$A2),0),0)</f>
        <v>4999</v>
      </c>
      <c r="D2" s="60">
        <f>$B2-$C2</f>
        <v>0</v>
      </c>
      <c r="E2" s="60">
        <f t="array" ref="E2">INDEX($E:$E,ROW()+1)+$D2</f>
        <v>0</v>
      </c>
      <c r="F2" s="61">
        <f t="array" ref="F2">IF(INDEX($A:$A,ROW()+1),MAXIFS(AllocationHistoric!$I:$I,AllocationHistoric!$A:$A,$A2),0)</f>
        <v>0</v>
      </c>
      <c r="G2" s="61">
        <f t="array" ref="G2">$F2+INDEX($G:$G,ROW()+1)</f>
        <v>0</v>
      </c>
      <c r="H2" s="61">
        <f t="array" ref="H2">IF(INDEX($A:$A,ROW()+1),$G2/ROWS($A2:$A3)*12,0)</f>
        <v>0</v>
      </c>
      <c r="I2" s="60">
        <f>MAX($L2,$M2)-$E2-SUM($I2:$I3)</f>
        <v>0</v>
      </c>
      <c r="J2" s="60">
        <f>$N2-$E2</f>
        <v>0</v>
      </c>
      <c r="K2" s="60">
        <f t="array" ref="K2">-$I2*5.5/100+INDEX($K:$K,ROW()+1)+SUMIFS(AssociateHistoric!$D:$D,AssociateHistoric!$A:$A,"&gt;"&amp;EOMONTH($A2,-2),AssociateHistoric!$A:$A,"&lt;"&amp;$A2,AssociateHistoric!$B:$B,$O$2)</f>
        <v>0</v>
      </c>
      <c r="L2" s="60">
        <f t="array" ref="L2">(INDEX($E:$E,ROW()+1)+INDEX($C:$C,ROW()+1))*Dashboard!$B$57/12+$D2+INDEX($L:$L,ROW()+1)</f>
        <v>0</v>
      </c>
      <c r="M2" s="60">
        <f t="array" ref="M2">INDEX($M:$M,ROW()+1)+$D2+INDEX($M:$M,ROW()+1)*$F2+INDEX($C:$C,ROW()+1)*Dashboard!$B$57/12</f>
        <v>0</v>
      </c>
      <c r="N2" s="62">
        <f>MAX($M2,$L2)+$K2</f>
        <v>0</v>
      </c>
      <c r="O2" s="63"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58" t="s">
        <v>1</v>
      </c>
      <c r="B1" s="58" t="s">
        <v>97</v>
      </c>
      <c r="C1" s="58" t="s">
        <v>270</v>
      </c>
      <c r="D1" s="58" t="s">
        <v>274</v>
      </c>
      <c r="E1" s="58" t="s">
        <v>278</v>
      </c>
      <c r="F1" s="58" t="s">
        <v>282</v>
      </c>
      <c r="G1" s="58" t="s">
        <v>286</v>
      </c>
      <c r="H1" s="58" t="s">
        <v>25</v>
      </c>
      <c r="I1" s="58" t="s">
        <v>293</v>
      </c>
      <c r="J1" s="58" t="s">
        <v>24</v>
      </c>
      <c r="K1" s="58" t="s">
        <v>16</v>
      </c>
      <c r="L1" s="58" t="s">
        <v>303</v>
      </c>
      <c r="M1" s="58" t="s">
        <v>307</v>
      </c>
      <c r="N1" s="58" t="s">
        <v>26</v>
      </c>
      <c r="O1" s="58" t="s">
        <v>372</v>
      </c>
    </row>
    <row r="2">
      <c r="A2" s="59">
        <f t="array" ref="A2">EOMONTH(IF(ROW()=2,DateTime!$B$1-TIME(3,0,0),INDEX($A:$A,ROW()-1)-1),-1)+1</f>
        <v>44166</v>
      </c>
      <c r="B2" s="6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0">
        <f>MAX($B2+IF($B2&gt;0,SUMIFS(Historic!$G:$G,Historic!$D:$D,"BUY",Historic!$A:$A,"&gt;"&amp;MAX(EOMONTH($A2,-2),MAXIFS(AssociateHistoric!$A:$A,AssociateHistoric!$A:$A,"&gt;"&amp;EOMONTH($A2,-2),AssociateHistoric!$A:$A,"&lt;"&amp;$A2,AssociateHistoric!$B:$B,$O$2,AssociateHistoric!$C:$C,"&gt;0")),Historic!$A:$A,"&lt;"&amp;$A2),0),0)</f>
        <v>0</v>
      </c>
      <c r="D2" s="60">
        <f>$B2-$C2</f>
        <v>0</v>
      </c>
      <c r="E2" s="60">
        <f t="array" ref="E2">INDEX($E:$E,ROW()+1)+$D2</f>
        <v>0</v>
      </c>
      <c r="F2" s="61">
        <f t="array" ref="F2">IF(INDEX($A:$A,ROW()+1),MAXIFS(AllocationHistoric!$I:$I,AllocationHistoric!$A:$A,$A2),0)</f>
        <v>0</v>
      </c>
      <c r="G2" s="61">
        <f t="array" ref="G2">$F2+INDEX($G:$G,ROW()+1)</f>
        <v>0</v>
      </c>
      <c r="H2" s="61">
        <f t="array" ref="H2">IF(INDEX($A:$A,ROW()+1),$G2/ROWS($A2:$A3)*12,0)</f>
        <v>0</v>
      </c>
      <c r="I2" s="60">
        <f>MAX($L2,$M2)-$E2-SUM($I2:$I3)</f>
        <v>0</v>
      </c>
      <c r="J2" s="60">
        <f>$N2-$E2</f>
        <v>0</v>
      </c>
      <c r="K2" s="60">
        <f t="array" ref="K2">-$I2*5.5/100+INDEX($K:$K,ROW()+1)+SUMIFS(AssociateHistoric!$D:$D,AssociateHistoric!$A:$A,"&gt;"&amp;EOMONTH($A2,-2),AssociateHistoric!$A:$A,"&lt;"&amp;$A2,AssociateHistoric!$B:$B,$O$2)</f>
        <v>0</v>
      </c>
      <c r="L2" s="60">
        <f t="array" ref="L2">(INDEX($E:$E,ROW()+1)+INDEX($C:$C,ROW()+1))*Dashboard!$B$57/12+$D2+INDEX($L:$L,ROW()+1)</f>
        <v>0</v>
      </c>
      <c r="M2" s="60">
        <f t="array" ref="M2">INDEX($M:$M,ROW()+1)+$D2+INDEX($M:$M,ROW()+1)*$F2+INDEX($C:$C,ROW()+1)*Dashboard!$B$57/12</f>
        <v>0</v>
      </c>
      <c r="N2" s="62">
        <f>MAX($M2,$L2)+$K2</f>
        <v>0</v>
      </c>
      <c r="O2" s="63" t="str">
        <f t="array" ref="O2">IF(ROW()=2,"SheetName",INDEX(O:O,ROW()-1))</f>
        <v>SheetName</v>
      </c>
    </row>
  </sheetData>
  <drawing r:id="rId2"/>
  <legacyDrawing r:id="rId3"/>
</worksheet>
</file>